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7.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3.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5.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6.xml" ContentType="application/vnd.openxmlformats-officedocument.drawingml.chartshap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FB0E395A-F06B-4A7F-A9E1-92476431D2C8}" xr6:coauthVersionLast="40" xr6:coauthVersionMax="40" xr10:uidLastSave="{00000000-0000-0000-0000-000000000000}"/>
  <bookViews>
    <workbookView xWindow="-1950" yWindow="195" windowWidth="20760" windowHeight="11130" tabRatio="774" xr2:uid="{00000000-000D-0000-FFFF-FFFF00000000}"/>
  </bookViews>
  <sheets>
    <sheet name="Cover sheet" sheetId="27" r:id="rId1"/>
    <sheet name="1. FWA mmwave" sheetId="30" r:id="rId2"/>
    <sheet name="2. FWA at 3 GHz" sheetId="32" r:id="rId3"/>
    <sheet name="3.  USA OVERALL" sheetId="39" r:id="rId4"/>
    <sheet name="3.  USA Dense Urban" sheetId="35" r:id="rId5"/>
    <sheet name="3.  USA Urban" sheetId="36" r:id="rId6"/>
    <sheet name="3.  USA Suburban" sheetId="37" r:id="rId7"/>
    <sheet name="3.  USA Rural" sheetId="38" r:id="rId8"/>
    <sheet name="4.  New TMo OVERALL" sheetId="40" r:id="rId9"/>
    <sheet name="4. New TMo Dense Urban" sheetId="49" r:id="rId10"/>
    <sheet name="4. New TMo Urban" sheetId="50" r:id="rId11"/>
    <sheet name="4. New TMo Suburban" sheetId="51" r:id="rId12"/>
    <sheet name="4. New TMo Rural" sheetId="52" r:id="rId13"/>
    <sheet name="5. EU MNO" sheetId="53" r:id="rId14"/>
    <sheet name="Cost per Cell" sheetId="45" state="hidden" r:id="rId15"/>
  </sheet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32" l="1"/>
  <c r="D42" i="37" l="1"/>
  <c r="H14" i="30" l="1"/>
  <c r="J43" i="53" l="1"/>
  <c r="K43" i="53"/>
  <c r="L43" i="53"/>
  <c r="M43" i="53"/>
  <c r="N43" i="53"/>
  <c r="O43" i="53"/>
  <c r="P43" i="53"/>
  <c r="J42" i="53"/>
  <c r="K42" i="53"/>
  <c r="L42" i="53"/>
  <c r="M42" i="53"/>
  <c r="N42" i="53"/>
  <c r="O42" i="53"/>
  <c r="P42" i="53"/>
  <c r="I43" i="53"/>
  <c r="I42" i="53"/>
  <c r="J41" i="53"/>
  <c r="K41" i="53"/>
  <c r="L41" i="53"/>
  <c r="M41" i="53"/>
  <c r="N41" i="53"/>
  <c r="O41" i="53"/>
  <c r="P41" i="53"/>
  <c r="I41" i="53"/>
  <c r="H41" i="53"/>
  <c r="J55" i="38" l="1"/>
  <c r="K55" i="38"/>
  <c r="L55" i="38"/>
  <c r="M55" i="38"/>
  <c r="N55" i="38"/>
  <c r="O55" i="38"/>
  <c r="P55" i="38"/>
  <c r="I55" i="38"/>
  <c r="J54" i="38"/>
  <c r="K54" i="38"/>
  <c r="L54" i="38"/>
  <c r="M54" i="38"/>
  <c r="N54" i="38"/>
  <c r="O54" i="38"/>
  <c r="P54" i="38"/>
  <c r="I54" i="38"/>
  <c r="J53" i="38"/>
  <c r="K53" i="38"/>
  <c r="L53" i="38"/>
  <c r="M53" i="38"/>
  <c r="N53" i="38"/>
  <c r="O53" i="38"/>
  <c r="P53" i="38"/>
  <c r="I53" i="38"/>
  <c r="J54" i="37"/>
  <c r="K54" i="37"/>
  <c r="L54" i="37"/>
  <c r="M54" i="37"/>
  <c r="N54" i="37"/>
  <c r="O54" i="37"/>
  <c r="P54" i="37"/>
  <c r="I54" i="37"/>
  <c r="J53" i="37"/>
  <c r="K53" i="37"/>
  <c r="L53" i="37"/>
  <c r="M53" i="37"/>
  <c r="N53" i="37"/>
  <c r="O53" i="37"/>
  <c r="P53" i="37"/>
  <c r="I53" i="37"/>
  <c r="J52" i="37"/>
  <c r="K52" i="37"/>
  <c r="L52" i="37"/>
  <c r="M52" i="37"/>
  <c r="N52" i="37"/>
  <c r="O52" i="37"/>
  <c r="P52" i="37"/>
  <c r="I52" i="37"/>
  <c r="H54" i="37"/>
  <c r="H53" i="37"/>
  <c r="H52" i="37"/>
  <c r="J54" i="36"/>
  <c r="K54" i="36"/>
  <c r="L54" i="36"/>
  <c r="M54" i="36"/>
  <c r="N54" i="36"/>
  <c r="O54" i="36"/>
  <c r="P54" i="36"/>
  <c r="I54" i="36"/>
  <c r="J53" i="36"/>
  <c r="K53" i="36"/>
  <c r="L53" i="36"/>
  <c r="M53" i="36"/>
  <c r="N53" i="36"/>
  <c r="O53" i="36"/>
  <c r="P53" i="36"/>
  <c r="I53" i="36"/>
  <c r="J52" i="36"/>
  <c r="K52" i="36"/>
  <c r="L52" i="36"/>
  <c r="M52" i="36"/>
  <c r="N52" i="36"/>
  <c r="O52" i="36"/>
  <c r="P52" i="36"/>
  <c r="I52" i="36"/>
  <c r="H54" i="36"/>
  <c r="H53" i="36"/>
  <c r="H52" i="36"/>
  <c r="J54" i="35"/>
  <c r="K54" i="35"/>
  <c r="L54" i="35"/>
  <c r="M54" i="35"/>
  <c r="N54" i="35"/>
  <c r="O54" i="35"/>
  <c r="P54" i="35"/>
  <c r="I54" i="35"/>
  <c r="H54" i="35"/>
  <c r="J53" i="35"/>
  <c r="K53" i="35"/>
  <c r="L53" i="35"/>
  <c r="M53" i="35"/>
  <c r="N53" i="35"/>
  <c r="O53" i="35"/>
  <c r="P53" i="35"/>
  <c r="I53" i="35"/>
  <c r="H53" i="35"/>
  <c r="J52" i="35"/>
  <c r="K52" i="35"/>
  <c r="L52" i="35"/>
  <c r="M52" i="35"/>
  <c r="N52" i="35"/>
  <c r="O52" i="35"/>
  <c r="P52" i="35"/>
  <c r="I52" i="35"/>
  <c r="H52" i="35"/>
  <c r="I59" i="32" l="1"/>
  <c r="J59" i="32"/>
  <c r="K59" i="32"/>
  <c r="L59" i="32"/>
  <c r="M59" i="32"/>
  <c r="N59" i="32"/>
  <c r="O59" i="32"/>
  <c r="P59" i="32"/>
  <c r="D14" i="32" l="1"/>
  <c r="D20" i="32" l="1"/>
  <c r="D29" i="32" l="1"/>
  <c r="H67" i="36" l="1"/>
  <c r="I67" i="36" s="1"/>
  <c r="J67" i="36" s="1"/>
  <c r="K67" i="36" s="1"/>
  <c r="L67" i="36" s="1"/>
  <c r="M67" i="36" s="1"/>
  <c r="N67" i="36" s="1"/>
  <c r="O67" i="36" s="1"/>
  <c r="P67" i="36" s="1"/>
  <c r="H67" i="37"/>
  <c r="I67" i="37" s="1"/>
  <c r="J67" i="37" s="1"/>
  <c r="K67" i="37" s="1"/>
  <c r="L67" i="37" s="1"/>
  <c r="M67" i="37" s="1"/>
  <c r="N67" i="37" s="1"/>
  <c r="O67" i="37" s="1"/>
  <c r="P67" i="37" s="1"/>
  <c r="H68" i="38"/>
  <c r="I68" i="38" s="1"/>
  <c r="J68" i="38" s="1"/>
  <c r="K68" i="38" s="1"/>
  <c r="L68" i="38" s="1"/>
  <c r="M68" i="38" s="1"/>
  <c r="N68" i="38" s="1"/>
  <c r="O68" i="38" s="1"/>
  <c r="P68" i="38" s="1"/>
  <c r="D42" i="38"/>
  <c r="D42" i="36"/>
  <c r="D42" i="35"/>
  <c r="E86" i="30" l="1"/>
  <c r="F86" i="30"/>
  <c r="G86" i="30"/>
  <c r="H86" i="30"/>
  <c r="I86" i="30"/>
  <c r="J86" i="30"/>
  <c r="K86" i="30"/>
  <c r="D86" i="30"/>
  <c r="E72" i="30"/>
  <c r="F72" i="30"/>
  <c r="G72" i="30"/>
  <c r="H72" i="30"/>
  <c r="I72" i="30"/>
  <c r="J72" i="30"/>
  <c r="K72" i="30"/>
  <c r="D72" i="30"/>
  <c r="I17" i="53" l="1"/>
  <c r="J17" i="53" l="1"/>
  <c r="D26" i="53"/>
  <c r="D28" i="53" s="1"/>
  <c r="D14" i="53"/>
  <c r="D16" i="53" s="1"/>
  <c r="D10" i="53"/>
  <c r="D12" i="53" s="1"/>
  <c r="H56" i="53"/>
  <c r="I56" i="53" s="1"/>
  <c r="J56" i="53" s="1"/>
  <c r="J60" i="53" s="1"/>
  <c r="J62" i="53" s="1"/>
  <c r="I10" i="53"/>
  <c r="J10" i="53" s="1"/>
  <c r="K10" i="53" s="1"/>
  <c r="L10" i="53" s="1"/>
  <c r="M10" i="53" s="1"/>
  <c r="N10" i="53" s="1"/>
  <c r="O10" i="53" s="1"/>
  <c r="P10" i="53" s="1"/>
  <c r="D6" i="53"/>
  <c r="K16" i="53"/>
  <c r="D4" i="53"/>
  <c r="D31" i="53"/>
  <c r="D32" i="53" s="1"/>
  <c r="D33" i="53" s="1"/>
  <c r="D22" i="53"/>
  <c r="D24" i="53" s="1"/>
  <c r="J27" i="53" s="1"/>
  <c r="D20" i="53"/>
  <c r="D42" i="52"/>
  <c r="D42" i="51"/>
  <c r="D42" i="50"/>
  <c r="D42" i="49"/>
  <c r="H10" i="49"/>
  <c r="H59" i="32"/>
  <c r="L16" i="53" l="1"/>
  <c r="L24" i="53" s="1"/>
  <c r="K38" i="53"/>
  <c r="M40" i="53"/>
  <c r="P38" i="53"/>
  <c r="I38" i="53"/>
  <c r="H39" i="53"/>
  <c r="J40" i="53"/>
  <c r="K40" i="53"/>
  <c r="L40" i="53"/>
  <c r="H38" i="53"/>
  <c r="N40" i="53"/>
  <c r="J38" i="53"/>
  <c r="O40" i="53"/>
  <c r="P40" i="53"/>
  <c r="I40" i="53"/>
  <c r="K17" i="53"/>
  <c r="J39" i="53"/>
  <c r="I39" i="53"/>
  <c r="H12" i="53"/>
  <c r="H55" i="53" s="1"/>
  <c r="N12" i="53"/>
  <c r="N13" i="53" s="1"/>
  <c r="L28" i="53"/>
  <c r="I24" i="53"/>
  <c r="J25" i="53"/>
  <c r="P12" i="53"/>
  <c r="P13" i="53" s="1"/>
  <c r="I12" i="53"/>
  <c r="I55" i="53" s="1"/>
  <c r="J12" i="53"/>
  <c r="J13" i="53" s="1"/>
  <c r="M27" i="53"/>
  <c r="M30" i="53"/>
  <c r="J30" i="53"/>
  <c r="P30" i="53"/>
  <c r="L30" i="53"/>
  <c r="I28" i="53"/>
  <c r="K26" i="53"/>
  <c r="K28" i="53"/>
  <c r="O28" i="53"/>
  <c r="P28" i="53"/>
  <c r="H27" i="53"/>
  <c r="K56" i="53"/>
  <c r="L56" i="53" s="1"/>
  <c r="M56" i="53" s="1"/>
  <c r="N56" i="53" s="1"/>
  <c r="O56" i="53" s="1"/>
  <c r="P56" i="53" s="1"/>
  <c r="I60" i="53"/>
  <c r="I62" i="53" s="1"/>
  <c r="P26" i="53"/>
  <c r="L26" i="53"/>
  <c r="H26" i="53"/>
  <c r="P24" i="53"/>
  <c r="H24" i="53"/>
  <c r="J24" i="53"/>
  <c r="O24" i="53"/>
  <c r="I27" i="53"/>
  <c r="O12" i="53"/>
  <c r="K12" i="53"/>
  <c r="L12" i="53"/>
  <c r="K24" i="53"/>
  <c r="I26" i="53"/>
  <c r="H30" i="53"/>
  <c r="N28" i="53"/>
  <c r="J28" i="53"/>
  <c r="O27" i="53"/>
  <c r="K27" i="53"/>
  <c r="M26" i="53"/>
  <c r="N27" i="53"/>
  <c r="O30" i="53"/>
  <c r="K30" i="53"/>
  <c r="H25" i="53"/>
  <c r="N26" i="53"/>
  <c r="P27" i="53"/>
  <c r="M12" i="53"/>
  <c r="I25" i="53"/>
  <c r="J26" i="53"/>
  <c r="O26" i="53"/>
  <c r="L27" i="53"/>
  <c r="H28" i="53"/>
  <c r="M28" i="53"/>
  <c r="I30" i="53"/>
  <c r="N30" i="53"/>
  <c r="K25" i="53"/>
  <c r="D5" i="49"/>
  <c r="D5" i="52"/>
  <c r="H10" i="52"/>
  <c r="D4" i="52"/>
  <c r="I75" i="52"/>
  <c r="J75" i="52" s="1"/>
  <c r="K75" i="52" s="1"/>
  <c r="L75" i="52" s="1"/>
  <c r="M75" i="52" s="1"/>
  <c r="N75" i="52" s="1"/>
  <c r="O75" i="52" s="1"/>
  <c r="P75" i="52" s="1"/>
  <c r="D51" i="52"/>
  <c r="D50" i="52"/>
  <c r="D46" i="52"/>
  <c r="D48" i="52" s="1"/>
  <c r="D44" i="52"/>
  <c r="D40" i="52"/>
  <c r="D36" i="52"/>
  <c r="D32" i="52"/>
  <c r="D28" i="52"/>
  <c r="D24" i="52"/>
  <c r="D20" i="52"/>
  <c r="D16" i="52"/>
  <c r="D12" i="52"/>
  <c r="M58" i="49" l="1"/>
  <c r="I57" i="49"/>
  <c r="N58" i="49"/>
  <c r="J56" i="49"/>
  <c r="H58" i="49"/>
  <c r="O58" i="49"/>
  <c r="K56" i="49"/>
  <c r="H57" i="49"/>
  <c r="P58" i="49"/>
  <c r="L56" i="49"/>
  <c r="H56" i="49"/>
  <c r="P57" i="49"/>
  <c r="I58" i="49"/>
  <c r="M56" i="49"/>
  <c r="J57" i="49"/>
  <c r="N56" i="49"/>
  <c r="K57" i="49"/>
  <c r="O56" i="49"/>
  <c r="L57" i="49"/>
  <c r="P56" i="49"/>
  <c r="M57" i="49"/>
  <c r="I56" i="49"/>
  <c r="L58" i="49"/>
  <c r="J58" i="49"/>
  <c r="N57" i="49"/>
  <c r="K58" i="49"/>
  <c r="O57" i="49"/>
  <c r="L17" i="53"/>
  <c r="K39" i="53"/>
  <c r="M57" i="52"/>
  <c r="I57" i="52"/>
  <c r="N57" i="52"/>
  <c r="I56" i="52"/>
  <c r="J56" i="52"/>
  <c r="O57" i="52"/>
  <c r="K56" i="52"/>
  <c r="P57" i="52"/>
  <c r="L56" i="52"/>
  <c r="J58" i="52"/>
  <c r="M56" i="52"/>
  <c r="K58" i="52"/>
  <c r="N56" i="52"/>
  <c r="L58" i="52"/>
  <c r="O56" i="52"/>
  <c r="M58" i="52"/>
  <c r="I58" i="52"/>
  <c r="P56" i="52"/>
  <c r="N58" i="52"/>
  <c r="L57" i="52"/>
  <c r="J57" i="52"/>
  <c r="O58" i="52"/>
  <c r="K57" i="52"/>
  <c r="P58" i="52"/>
  <c r="O55" i="52"/>
  <c r="J49" i="52"/>
  <c r="N48" i="52"/>
  <c r="P55" i="52"/>
  <c r="K49" i="52"/>
  <c r="O48" i="52"/>
  <c r="I55" i="52"/>
  <c r="L49" i="52"/>
  <c r="P48" i="52"/>
  <c r="M49" i="52"/>
  <c r="I48" i="52"/>
  <c r="J50" i="52"/>
  <c r="N49" i="52"/>
  <c r="H58" i="52"/>
  <c r="K50" i="52"/>
  <c r="O49" i="52"/>
  <c r="H57" i="52"/>
  <c r="L50" i="52"/>
  <c r="P49" i="52"/>
  <c r="H56" i="52"/>
  <c r="M48" i="52"/>
  <c r="J55" i="52"/>
  <c r="M50" i="52"/>
  <c r="I49" i="52"/>
  <c r="H55" i="52"/>
  <c r="K55" i="52"/>
  <c r="N50" i="52"/>
  <c r="J48" i="52"/>
  <c r="L55" i="52"/>
  <c r="O50" i="52"/>
  <c r="K48" i="52"/>
  <c r="H50" i="52"/>
  <c r="I50" i="52"/>
  <c r="M55" i="52"/>
  <c r="P50" i="52"/>
  <c r="L48" i="52"/>
  <c r="H48" i="52"/>
  <c r="N55" i="52"/>
  <c r="H49" i="52"/>
  <c r="M16" i="53"/>
  <c r="L38" i="53"/>
  <c r="H29" i="52"/>
  <c r="C42" i="40"/>
  <c r="C40" i="40"/>
  <c r="C39" i="40"/>
  <c r="O30" i="52"/>
  <c r="O33" i="52"/>
  <c r="D52" i="52"/>
  <c r="K40" i="52" s="1"/>
  <c r="J55" i="53"/>
  <c r="H29" i="53"/>
  <c r="H31" i="53" s="1"/>
  <c r="I13" i="53"/>
  <c r="L25" i="53"/>
  <c r="L29" i="53" s="1"/>
  <c r="L31" i="53" s="1"/>
  <c r="I29" i="53"/>
  <c r="I31" i="53" s="1"/>
  <c r="J29" i="53"/>
  <c r="J31" i="53" s="1"/>
  <c r="O13" i="53"/>
  <c r="K29" i="53"/>
  <c r="K31" i="53" s="1"/>
  <c r="M13" i="53"/>
  <c r="L13" i="53"/>
  <c r="H60" i="53"/>
  <c r="H13" i="53"/>
  <c r="K13" i="53"/>
  <c r="P32" i="52"/>
  <c r="I36" i="52"/>
  <c r="O29" i="52"/>
  <c r="N34" i="52"/>
  <c r="N37" i="52"/>
  <c r="M38" i="52"/>
  <c r="M31" i="52"/>
  <c r="J35" i="52"/>
  <c r="M29" i="52"/>
  <c r="P30" i="52"/>
  <c r="I32" i="52"/>
  <c r="L33" i="52"/>
  <c r="O34" i="52"/>
  <c r="N38" i="52"/>
  <c r="J38" i="52"/>
  <c r="O37" i="52"/>
  <c r="K37" i="52"/>
  <c r="P38" i="52"/>
  <c r="L38" i="52"/>
  <c r="H38" i="52"/>
  <c r="M37" i="52"/>
  <c r="I37" i="52"/>
  <c r="J29" i="52"/>
  <c r="N29" i="52"/>
  <c r="I30" i="52"/>
  <c r="M30" i="52"/>
  <c r="K31" i="52"/>
  <c r="O31" i="52"/>
  <c r="J32" i="52"/>
  <c r="N32" i="52"/>
  <c r="I33" i="52"/>
  <c r="M33" i="52"/>
  <c r="H34" i="52"/>
  <c r="L34" i="52"/>
  <c r="P34" i="52"/>
  <c r="H37" i="52"/>
  <c r="P37" i="52"/>
  <c r="O38" i="52"/>
  <c r="O40" i="52"/>
  <c r="N40" i="52"/>
  <c r="M40" i="52"/>
  <c r="I40" i="52"/>
  <c r="P40" i="52"/>
  <c r="L40" i="52"/>
  <c r="H30" i="52"/>
  <c r="J31" i="52"/>
  <c r="M32" i="52"/>
  <c r="K34" i="52"/>
  <c r="P35" i="52"/>
  <c r="K29" i="52"/>
  <c r="J30" i="52"/>
  <c r="N30" i="52"/>
  <c r="H31" i="52"/>
  <c r="L31" i="52"/>
  <c r="P31" i="52"/>
  <c r="K32" i="52"/>
  <c r="O32" i="52"/>
  <c r="J33" i="52"/>
  <c r="N33" i="52"/>
  <c r="I34" i="52"/>
  <c r="M34" i="52"/>
  <c r="M35" i="52"/>
  <c r="O35" i="52"/>
  <c r="K35" i="52"/>
  <c r="L35" i="52"/>
  <c r="K36" i="52"/>
  <c r="J37" i="52"/>
  <c r="I38" i="52"/>
  <c r="P36" i="52"/>
  <c r="L36" i="52"/>
  <c r="H36" i="52"/>
  <c r="N36" i="52"/>
  <c r="J36" i="52"/>
  <c r="I29" i="52"/>
  <c r="L30" i="52"/>
  <c r="N31" i="52"/>
  <c r="H33" i="52"/>
  <c r="P33" i="52"/>
  <c r="I35" i="52"/>
  <c r="O36" i="52"/>
  <c r="L29" i="52"/>
  <c r="P29" i="52"/>
  <c r="K30" i="52"/>
  <c r="I31" i="52"/>
  <c r="H32" i="52"/>
  <c r="L32" i="52"/>
  <c r="K33" i="52"/>
  <c r="J34" i="52"/>
  <c r="H35" i="52"/>
  <c r="N35" i="52"/>
  <c r="M36" i="52"/>
  <c r="L37" i="52"/>
  <c r="K38" i="52"/>
  <c r="H40" i="52" l="1"/>
  <c r="N16" i="53"/>
  <c r="M38" i="53"/>
  <c r="M24" i="53"/>
  <c r="M17" i="53"/>
  <c r="L39" i="53"/>
  <c r="J40" i="52"/>
  <c r="H62" i="53"/>
  <c r="L39" i="52"/>
  <c r="L41" i="52" s="1"/>
  <c r="H39" i="52"/>
  <c r="O39" i="52"/>
  <c r="O41" i="52" s="1"/>
  <c r="J39" i="52"/>
  <c r="J41" i="52" s="1"/>
  <c r="K39" i="52"/>
  <c r="K41" i="52" s="1"/>
  <c r="P39" i="52"/>
  <c r="P41" i="52" s="1"/>
  <c r="I39" i="52"/>
  <c r="I41" i="52" s="1"/>
  <c r="N39" i="52"/>
  <c r="N41" i="52" s="1"/>
  <c r="M39" i="52"/>
  <c r="M41" i="52" s="1"/>
  <c r="N17" i="53" l="1"/>
  <c r="M39" i="53"/>
  <c r="M25" i="53"/>
  <c r="M29" i="53" s="1"/>
  <c r="M31" i="53" s="1"/>
  <c r="O38" i="53"/>
  <c r="N38" i="53"/>
  <c r="N24" i="53"/>
  <c r="H41" i="52"/>
  <c r="H10" i="51"/>
  <c r="I75" i="51"/>
  <c r="J75" i="51" s="1"/>
  <c r="K75" i="51" s="1"/>
  <c r="L75" i="51" s="1"/>
  <c r="M75" i="51" s="1"/>
  <c r="N75" i="51" s="1"/>
  <c r="O75" i="51" s="1"/>
  <c r="P75" i="51" s="1"/>
  <c r="D51" i="51"/>
  <c r="D50" i="51"/>
  <c r="D46" i="51"/>
  <c r="D48" i="51" s="1"/>
  <c r="D44" i="51"/>
  <c r="D40" i="51"/>
  <c r="D36" i="51"/>
  <c r="D32" i="51"/>
  <c r="D28" i="51"/>
  <c r="D24" i="51"/>
  <c r="D20" i="51"/>
  <c r="D16" i="51"/>
  <c r="D12" i="51"/>
  <c r="D5" i="51"/>
  <c r="D4" i="51"/>
  <c r="P16" i="50"/>
  <c r="O16" i="50"/>
  <c r="N16" i="50"/>
  <c r="M16" i="50"/>
  <c r="L16" i="50"/>
  <c r="K16" i="50"/>
  <c r="J16" i="50"/>
  <c r="I16" i="50"/>
  <c r="H10" i="50"/>
  <c r="D4" i="50"/>
  <c r="I75" i="50"/>
  <c r="J75" i="50" s="1"/>
  <c r="K75" i="50" s="1"/>
  <c r="L75" i="50" s="1"/>
  <c r="M75" i="50" s="1"/>
  <c r="N75" i="50" s="1"/>
  <c r="O75" i="50" s="1"/>
  <c r="P75" i="50" s="1"/>
  <c r="D51" i="50"/>
  <c r="D50" i="50"/>
  <c r="D46" i="50"/>
  <c r="D48" i="50" s="1"/>
  <c r="D44" i="50"/>
  <c r="D40" i="50"/>
  <c r="D36" i="50"/>
  <c r="D32" i="50"/>
  <c r="D28" i="50"/>
  <c r="D24" i="50"/>
  <c r="D20" i="50"/>
  <c r="D16" i="50"/>
  <c r="M30" i="50" s="1"/>
  <c r="D12" i="50"/>
  <c r="D5" i="50"/>
  <c r="I75" i="49"/>
  <c r="J75" i="49" s="1"/>
  <c r="K75" i="49" s="1"/>
  <c r="L75" i="49" s="1"/>
  <c r="M75" i="49" s="1"/>
  <c r="N75" i="49" s="1"/>
  <c r="O75" i="49" s="1"/>
  <c r="P75" i="49" s="1"/>
  <c r="P48" i="50" l="1"/>
  <c r="K48" i="50"/>
  <c r="M48" i="50"/>
  <c r="J55" i="51"/>
  <c r="J52" i="51"/>
  <c r="N51" i="51"/>
  <c r="J49" i="51"/>
  <c r="N48" i="51"/>
  <c r="K55" i="51"/>
  <c r="K52" i="51"/>
  <c r="O51" i="51"/>
  <c r="K49" i="51"/>
  <c r="O48" i="51"/>
  <c r="L55" i="51"/>
  <c r="L52" i="51"/>
  <c r="P51" i="51"/>
  <c r="L49" i="51"/>
  <c r="P48" i="51"/>
  <c r="M55" i="51"/>
  <c r="M52" i="51"/>
  <c r="I51" i="51"/>
  <c r="M49" i="51"/>
  <c r="I48" i="51"/>
  <c r="N55" i="51"/>
  <c r="J53" i="51"/>
  <c r="N52" i="51"/>
  <c r="J50" i="51"/>
  <c r="N49" i="51"/>
  <c r="O55" i="51"/>
  <c r="K53" i="51"/>
  <c r="O52" i="51"/>
  <c r="K50" i="51"/>
  <c r="O49" i="51"/>
  <c r="P55" i="51"/>
  <c r="L53" i="51"/>
  <c r="P52" i="51"/>
  <c r="L50" i="51"/>
  <c r="P49" i="51"/>
  <c r="M48" i="51"/>
  <c r="I55" i="51"/>
  <c r="M53" i="51"/>
  <c r="I52" i="51"/>
  <c r="M50" i="51"/>
  <c r="I49" i="51"/>
  <c r="H50" i="51"/>
  <c r="I53" i="51"/>
  <c r="N53" i="51"/>
  <c r="J51" i="51"/>
  <c r="N50" i="51"/>
  <c r="J48" i="51"/>
  <c r="H49" i="51"/>
  <c r="O53" i="51"/>
  <c r="K51" i="51"/>
  <c r="O50" i="51"/>
  <c r="K48" i="51"/>
  <c r="H48" i="51"/>
  <c r="M51" i="51"/>
  <c r="P53" i="51"/>
  <c r="L51" i="51"/>
  <c r="P50" i="51"/>
  <c r="L48" i="51"/>
  <c r="I50" i="51"/>
  <c r="J58" i="51"/>
  <c r="N57" i="51"/>
  <c r="K58" i="51"/>
  <c r="O57" i="51"/>
  <c r="L58" i="51"/>
  <c r="P57" i="51"/>
  <c r="M58" i="51"/>
  <c r="I57" i="51"/>
  <c r="N58" i="51"/>
  <c r="J56" i="51"/>
  <c r="H58" i="51"/>
  <c r="O58" i="51"/>
  <c r="K56" i="51"/>
  <c r="H57" i="51"/>
  <c r="P58" i="51"/>
  <c r="L56" i="51"/>
  <c r="H56" i="51"/>
  <c r="I58" i="51"/>
  <c r="M56" i="51"/>
  <c r="J57" i="51"/>
  <c r="N56" i="51"/>
  <c r="K57" i="51"/>
  <c r="O56" i="51"/>
  <c r="L57" i="51"/>
  <c r="P56" i="51"/>
  <c r="M57" i="51"/>
  <c r="I56" i="51"/>
  <c r="L55" i="50"/>
  <c r="L52" i="50"/>
  <c r="P51" i="50"/>
  <c r="L49" i="50"/>
  <c r="M55" i="50"/>
  <c r="M52" i="50"/>
  <c r="I51" i="50"/>
  <c r="M49" i="50"/>
  <c r="N55" i="50"/>
  <c r="J53" i="50"/>
  <c r="N52" i="50"/>
  <c r="J50" i="50"/>
  <c r="N49" i="50"/>
  <c r="O55" i="50"/>
  <c r="K53" i="50"/>
  <c r="O52" i="50"/>
  <c r="K50" i="50"/>
  <c r="O49" i="50"/>
  <c r="P55" i="50"/>
  <c r="L53" i="50"/>
  <c r="P52" i="50"/>
  <c r="L50" i="50"/>
  <c r="P49" i="50"/>
  <c r="H51" i="50"/>
  <c r="I55" i="50"/>
  <c r="M53" i="50"/>
  <c r="I52" i="50"/>
  <c r="M50" i="50"/>
  <c r="I49" i="50"/>
  <c r="H50" i="50"/>
  <c r="N53" i="50"/>
  <c r="J51" i="50"/>
  <c r="N50" i="50"/>
  <c r="H49" i="50"/>
  <c r="K49" i="50"/>
  <c r="O53" i="50"/>
  <c r="K51" i="50"/>
  <c r="O50" i="50"/>
  <c r="H48" i="50"/>
  <c r="O51" i="50"/>
  <c r="P53" i="50"/>
  <c r="L51" i="50"/>
  <c r="P50" i="50"/>
  <c r="K55" i="50"/>
  <c r="I53" i="50"/>
  <c r="M51" i="50"/>
  <c r="I50" i="50"/>
  <c r="J55" i="50"/>
  <c r="J52" i="50"/>
  <c r="N51" i="50"/>
  <c r="J49" i="50"/>
  <c r="K52" i="50"/>
  <c r="L58" i="50"/>
  <c r="P57" i="50"/>
  <c r="M58" i="50"/>
  <c r="I57" i="50"/>
  <c r="H58" i="50"/>
  <c r="N58" i="50"/>
  <c r="J56" i="50"/>
  <c r="H57" i="50"/>
  <c r="O58" i="50"/>
  <c r="K56" i="50"/>
  <c r="H56" i="50"/>
  <c r="C43" i="40" s="1"/>
  <c r="P58" i="50"/>
  <c r="L56" i="50"/>
  <c r="I58" i="50"/>
  <c r="M56" i="50"/>
  <c r="J57" i="50"/>
  <c r="N56" i="50"/>
  <c r="K57" i="50"/>
  <c r="O56" i="50"/>
  <c r="K58" i="50"/>
  <c r="L57" i="50"/>
  <c r="P56" i="50"/>
  <c r="M57" i="50"/>
  <c r="I56" i="50"/>
  <c r="J58" i="50"/>
  <c r="N57" i="50"/>
  <c r="O57" i="50"/>
  <c r="I48" i="50"/>
  <c r="J48" i="50"/>
  <c r="L48" i="50"/>
  <c r="N48" i="50"/>
  <c r="O48" i="50"/>
  <c r="O17" i="53"/>
  <c r="N39" i="53"/>
  <c r="N25" i="53"/>
  <c r="N29" i="53" s="1"/>
  <c r="N31" i="53" s="1"/>
  <c r="P60" i="52"/>
  <c r="I60" i="52"/>
  <c r="H60" i="52"/>
  <c r="L60" i="52"/>
  <c r="K60" i="52"/>
  <c r="O60" i="52"/>
  <c r="N60" i="52"/>
  <c r="M60" i="52"/>
  <c r="J60" i="52"/>
  <c r="D52" i="51"/>
  <c r="N40" i="51" s="1"/>
  <c r="O31" i="50"/>
  <c r="N32" i="50"/>
  <c r="M33" i="50"/>
  <c r="D52" i="50"/>
  <c r="M40" i="50" s="1"/>
  <c r="H29" i="50"/>
  <c r="P34" i="50"/>
  <c r="K29" i="50"/>
  <c r="I34" i="50"/>
  <c r="O29" i="50"/>
  <c r="H31" i="50"/>
  <c r="M34" i="50"/>
  <c r="J30" i="50"/>
  <c r="L31" i="50"/>
  <c r="N30" i="50"/>
  <c r="P31" i="50"/>
  <c r="P32" i="51"/>
  <c r="O30" i="51"/>
  <c r="N35" i="50"/>
  <c r="O40" i="51"/>
  <c r="H29" i="51"/>
  <c r="M31" i="51"/>
  <c r="N33" i="51"/>
  <c r="P37" i="51"/>
  <c r="M34" i="51"/>
  <c r="O38" i="51"/>
  <c r="H37" i="51"/>
  <c r="L35" i="51"/>
  <c r="O60" i="51"/>
  <c r="K60" i="51"/>
  <c r="N60" i="51"/>
  <c r="J60" i="51"/>
  <c r="M60" i="51"/>
  <c r="I60" i="51"/>
  <c r="H30" i="51"/>
  <c r="J31" i="51"/>
  <c r="M32" i="51"/>
  <c r="P33" i="51"/>
  <c r="O34" i="51"/>
  <c r="N38" i="51"/>
  <c r="J38" i="51"/>
  <c r="O37" i="51"/>
  <c r="K37" i="51"/>
  <c r="P38" i="51"/>
  <c r="L38" i="51"/>
  <c r="H38" i="51"/>
  <c r="M37" i="51"/>
  <c r="I37" i="51"/>
  <c r="J29" i="51"/>
  <c r="N29" i="51"/>
  <c r="I30" i="51"/>
  <c r="M30" i="51"/>
  <c r="K31" i="51"/>
  <c r="O31" i="51"/>
  <c r="J32" i="51"/>
  <c r="N32" i="51"/>
  <c r="I33" i="51"/>
  <c r="M33" i="51"/>
  <c r="H34" i="51"/>
  <c r="L34" i="51"/>
  <c r="P34" i="51"/>
  <c r="K36" i="51"/>
  <c r="J37" i="51"/>
  <c r="I38" i="51"/>
  <c r="P36" i="51"/>
  <c r="M29" i="51"/>
  <c r="P30" i="51"/>
  <c r="I32" i="51"/>
  <c r="L33" i="51"/>
  <c r="J35" i="51"/>
  <c r="I36" i="51"/>
  <c r="M40" i="51"/>
  <c r="I40" i="51"/>
  <c r="P60" i="51"/>
  <c r="K29" i="51"/>
  <c r="O29" i="51"/>
  <c r="J30" i="51"/>
  <c r="N30" i="51"/>
  <c r="H31" i="51"/>
  <c r="L31" i="51"/>
  <c r="P31" i="51"/>
  <c r="K32" i="51"/>
  <c r="O32" i="51"/>
  <c r="J33" i="51"/>
  <c r="I34" i="51"/>
  <c r="M35" i="51"/>
  <c r="I35" i="51"/>
  <c r="O35" i="51"/>
  <c r="K35" i="51"/>
  <c r="N35" i="51"/>
  <c r="M36" i="51"/>
  <c r="L37" i="51"/>
  <c r="K38" i="51"/>
  <c r="H60" i="51"/>
  <c r="I29" i="51"/>
  <c r="L30" i="51"/>
  <c r="N31" i="51"/>
  <c r="H33" i="51"/>
  <c r="K34" i="51"/>
  <c r="L29" i="51"/>
  <c r="P29" i="51"/>
  <c r="K30" i="51"/>
  <c r="I31" i="51"/>
  <c r="H32" i="51"/>
  <c r="L32" i="51"/>
  <c r="K33" i="51"/>
  <c r="O33" i="51"/>
  <c r="J34" i="51"/>
  <c r="N34" i="51"/>
  <c r="H35" i="51"/>
  <c r="P35" i="51"/>
  <c r="O36" i="51"/>
  <c r="N37" i="51"/>
  <c r="M38" i="51"/>
  <c r="K40" i="51"/>
  <c r="L60" i="51"/>
  <c r="J36" i="51"/>
  <c r="N36" i="51"/>
  <c r="H36" i="51"/>
  <c r="L36" i="51"/>
  <c r="H60" i="50"/>
  <c r="K32" i="50"/>
  <c r="J33" i="50"/>
  <c r="P36" i="50"/>
  <c r="L36" i="50"/>
  <c r="H36" i="50"/>
  <c r="N36" i="50"/>
  <c r="J36" i="50"/>
  <c r="L29" i="50"/>
  <c r="P29" i="50"/>
  <c r="K30" i="50"/>
  <c r="O30" i="50"/>
  <c r="I31" i="50"/>
  <c r="M31" i="50"/>
  <c r="H32" i="50"/>
  <c r="L32" i="50"/>
  <c r="P32" i="50"/>
  <c r="K33" i="50"/>
  <c r="O33" i="50"/>
  <c r="J34" i="50"/>
  <c r="N34" i="50"/>
  <c r="H35" i="50"/>
  <c r="M36" i="50"/>
  <c r="L37" i="50"/>
  <c r="K38" i="50"/>
  <c r="L60" i="50"/>
  <c r="N38" i="50"/>
  <c r="J38" i="50"/>
  <c r="O37" i="50"/>
  <c r="K37" i="50"/>
  <c r="F45" i="40"/>
  <c r="P38" i="50"/>
  <c r="L38" i="50"/>
  <c r="H38" i="50"/>
  <c r="M37" i="50"/>
  <c r="I37" i="50"/>
  <c r="M35" i="50"/>
  <c r="O35" i="50"/>
  <c r="K35" i="50"/>
  <c r="K36" i="50"/>
  <c r="I29" i="50"/>
  <c r="M29" i="50"/>
  <c r="H30" i="50"/>
  <c r="L30" i="50"/>
  <c r="P30" i="50"/>
  <c r="J31" i="50"/>
  <c r="N31" i="50"/>
  <c r="I32" i="50"/>
  <c r="M32" i="50"/>
  <c r="H33" i="50"/>
  <c r="L33" i="50"/>
  <c r="P33" i="50"/>
  <c r="K34" i="50"/>
  <c r="O34" i="50"/>
  <c r="I35" i="50"/>
  <c r="P35" i="50"/>
  <c r="O36" i="50"/>
  <c r="N37" i="50"/>
  <c r="M38" i="50"/>
  <c r="I40" i="50"/>
  <c r="P40" i="50"/>
  <c r="L40" i="50"/>
  <c r="P60" i="50"/>
  <c r="O32" i="50"/>
  <c r="N33" i="50"/>
  <c r="L35" i="50"/>
  <c r="J37" i="50"/>
  <c r="I38" i="50"/>
  <c r="O60" i="50"/>
  <c r="K60" i="50"/>
  <c r="N60" i="50"/>
  <c r="J60" i="50"/>
  <c r="M60" i="50"/>
  <c r="I60" i="50"/>
  <c r="J29" i="50"/>
  <c r="N29" i="50"/>
  <c r="I30" i="50"/>
  <c r="K31" i="50"/>
  <c r="J32" i="50"/>
  <c r="I33" i="50"/>
  <c r="H34" i="50"/>
  <c r="L34" i="50"/>
  <c r="J35" i="50"/>
  <c r="I36" i="50"/>
  <c r="H37" i="50"/>
  <c r="P37" i="50"/>
  <c r="O38" i="50"/>
  <c r="K40" i="50"/>
  <c r="D50" i="49"/>
  <c r="E44" i="40" l="1"/>
  <c r="H40" i="51"/>
  <c r="P17" i="53"/>
  <c r="O39" i="53"/>
  <c r="O25" i="53"/>
  <c r="O29" i="53" s="1"/>
  <c r="O31" i="53" s="1"/>
  <c r="J40" i="50"/>
  <c r="L40" i="51"/>
  <c r="J40" i="51"/>
  <c r="H40" i="50"/>
  <c r="N40" i="50"/>
  <c r="O40" i="50"/>
  <c r="P40" i="51"/>
  <c r="C45" i="40"/>
  <c r="F43" i="40"/>
  <c r="C44" i="40"/>
  <c r="E43" i="40"/>
  <c r="E45" i="40"/>
  <c r="G44" i="40"/>
  <c r="I44" i="40"/>
  <c r="H45" i="40"/>
  <c r="J44" i="40"/>
  <c r="G43" i="40"/>
  <c r="G45" i="40"/>
  <c r="F44" i="40"/>
  <c r="K44" i="40"/>
  <c r="H43" i="40"/>
  <c r="H44" i="40"/>
  <c r="I43" i="40"/>
  <c r="I45" i="40"/>
  <c r="J43" i="40"/>
  <c r="J45" i="40"/>
  <c r="K43" i="40"/>
  <c r="K45" i="40"/>
  <c r="P39" i="51"/>
  <c r="H39" i="51"/>
  <c r="L39" i="51"/>
  <c r="L41" i="51" s="1"/>
  <c r="M39" i="51"/>
  <c r="M41" i="51" s="1"/>
  <c r="J39" i="51"/>
  <c r="N39" i="51"/>
  <c r="N41" i="51" s="1"/>
  <c r="O39" i="51"/>
  <c r="O41" i="51" s="1"/>
  <c r="I39" i="51"/>
  <c r="I41" i="51" s="1"/>
  <c r="K39" i="51"/>
  <c r="K41" i="51" s="1"/>
  <c r="H39" i="50"/>
  <c r="K39" i="50"/>
  <c r="K41" i="50" s="1"/>
  <c r="O39" i="50"/>
  <c r="M39" i="50"/>
  <c r="M41" i="50" s="1"/>
  <c r="N39" i="50"/>
  <c r="N41" i="50" s="1"/>
  <c r="I39" i="50"/>
  <c r="I41" i="50" s="1"/>
  <c r="P39" i="50"/>
  <c r="P41" i="50" s="1"/>
  <c r="J39" i="50"/>
  <c r="L39" i="50"/>
  <c r="L41" i="50" s="1"/>
  <c r="P16" i="49"/>
  <c r="O16" i="49"/>
  <c r="N16" i="49"/>
  <c r="M16" i="49"/>
  <c r="L16" i="49"/>
  <c r="K16" i="49"/>
  <c r="J16" i="49"/>
  <c r="I16" i="49"/>
  <c r="J41" i="50" l="1"/>
  <c r="O41" i="50"/>
  <c r="I48" i="49"/>
  <c r="J48" i="49"/>
  <c r="L48" i="49"/>
  <c r="O48" i="49"/>
  <c r="P48" i="49"/>
  <c r="P39" i="53"/>
  <c r="P25" i="53"/>
  <c r="P29" i="53" s="1"/>
  <c r="P31" i="53" s="1"/>
  <c r="J41" i="51"/>
  <c r="P41" i="51"/>
  <c r="H41" i="50"/>
  <c r="H41" i="51"/>
  <c r="D4" i="49"/>
  <c r="D45" i="40"/>
  <c r="D44" i="40"/>
  <c r="D51" i="49"/>
  <c r="D52" i="49" s="1"/>
  <c r="D53" i="49" s="1"/>
  <c r="D43" i="40"/>
  <c r="D46" i="49"/>
  <c r="D48" i="49" s="1"/>
  <c r="D44" i="49"/>
  <c r="M37" i="49" s="1"/>
  <c r="H24" i="40" s="1"/>
  <c r="D40" i="49"/>
  <c r="O36" i="49" s="1"/>
  <c r="J23" i="40" s="1"/>
  <c r="D36" i="49"/>
  <c r="N35" i="49" s="1"/>
  <c r="I22" i="40" s="1"/>
  <c r="D32" i="49"/>
  <c r="D28" i="49"/>
  <c r="K33" i="49" s="1"/>
  <c r="F20" i="40" s="1"/>
  <c r="D24" i="49"/>
  <c r="D20" i="49"/>
  <c r="O31" i="49" s="1"/>
  <c r="J18" i="40" s="1"/>
  <c r="D16" i="49"/>
  <c r="N30" i="49" s="1"/>
  <c r="I17" i="40" s="1"/>
  <c r="D12" i="49"/>
  <c r="P29" i="49" s="1"/>
  <c r="K16" i="40" s="1"/>
  <c r="C40" i="39"/>
  <c r="C41" i="39"/>
  <c r="C42" i="39"/>
  <c r="C43" i="39"/>
  <c r="D43" i="39"/>
  <c r="E43" i="39"/>
  <c r="F43" i="39"/>
  <c r="G43" i="39"/>
  <c r="H43" i="39"/>
  <c r="I43" i="39"/>
  <c r="J43" i="39"/>
  <c r="K43" i="39"/>
  <c r="H67" i="35"/>
  <c r="I67" i="35" s="1"/>
  <c r="J67" i="35" s="1"/>
  <c r="K67" i="35" s="1"/>
  <c r="L67" i="35" s="1"/>
  <c r="M67" i="35" s="1"/>
  <c r="N67" i="35" s="1"/>
  <c r="O67" i="35" s="1"/>
  <c r="P67" i="35" s="1"/>
  <c r="L32" i="49" l="1"/>
  <c r="G19" i="40" s="1"/>
  <c r="M55" i="49"/>
  <c r="H42" i="40" s="1"/>
  <c r="M52" i="49"/>
  <c r="H39" i="40" s="1"/>
  <c r="I51" i="49"/>
  <c r="D38" i="40" s="1"/>
  <c r="M49" i="49"/>
  <c r="N55" i="49"/>
  <c r="I42" i="40" s="1"/>
  <c r="J53" i="49"/>
  <c r="E40" i="40" s="1"/>
  <c r="N52" i="49"/>
  <c r="I39" i="40" s="1"/>
  <c r="J50" i="49"/>
  <c r="N49" i="49"/>
  <c r="I36" i="40" s="1"/>
  <c r="O55" i="49"/>
  <c r="J42" i="40" s="1"/>
  <c r="K53" i="49"/>
  <c r="F40" i="40" s="1"/>
  <c r="O52" i="49"/>
  <c r="J39" i="40" s="1"/>
  <c r="K50" i="49"/>
  <c r="F37" i="40" s="1"/>
  <c r="O49" i="49"/>
  <c r="J36" i="40" s="1"/>
  <c r="P55" i="49"/>
  <c r="L53" i="49"/>
  <c r="P52" i="49"/>
  <c r="K39" i="40" s="1"/>
  <c r="L50" i="49"/>
  <c r="G37" i="40" s="1"/>
  <c r="P49" i="49"/>
  <c r="K36" i="40" s="1"/>
  <c r="I55" i="49"/>
  <c r="M53" i="49"/>
  <c r="H40" i="40" s="1"/>
  <c r="I52" i="49"/>
  <c r="D39" i="40" s="1"/>
  <c r="M50" i="49"/>
  <c r="H37" i="40" s="1"/>
  <c r="I49" i="49"/>
  <c r="D36" i="40" s="1"/>
  <c r="H51" i="49"/>
  <c r="C38" i="40" s="1"/>
  <c r="N53" i="49"/>
  <c r="I40" i="40" s="1"/>
  <c r="J51" i="49"/>
  <c r="E38" i="40" s="1"/>
  <c r="N50" i="49"/>
  <c r="I37" i="40" s="1"/>
  <c r="H50" i="49"/>
  <c r="O53" i="49"/>
  <c r="J40" i="40" s="1"/>
  <c r="K51" i="49"/>
  <c r="F38" i="40" s="1"/>
  <c r="O50" i="49"/>
  <c r="J37" i="40" s="1"/>
  <c r="H49" i="49"/>
  <c r="C36" i="40" s="1"/>
  <c r="P53" i="49"/>
  <c r="K40" i="40" s="1"/>
  <c r="L51" i="49"/>
  <c r="G38" i="40" s="1"/>
  <c r="P50" i="49"/>
  <c r="K37" i="40" s="1"/>
  <c r="H48" i="49"/>
  <c r="C35" i="40" s="1"/>
  <c r="L52" i="49"/>
  <c r="G39" i="40" s="1"/>
  <c r="I53" i="49"/>
  <c r="D40" i="40" s="1"/>
  <c r="M51" i="49"/>
  <c r="H38" i="40" s="1"/>
  <c r="I50" i="49"/>
  <c r="D37" i="40" s="1"/>
  <c r="L49" i="49"/>
  <c r="G36" i="40" s="1"/>
  <c r="J55" i="49"/>
  <c r="E42" i="40" s="1"/>
  <c r="J52" i="49"/>
  <c r="E39" i="40" s="1"/>
  <c r="N51" i="49"/>
  <c r="J49" i="49"/>
  <c r="E36" i="40" s="1"/>
  <c r="P51" i="49"/>
  <c r="K38" i="40" s="1"/>
  <c r="K55" i="49"/>
  <c r="F42" i="40" s="1"/>
  <c r="K52" i="49"/>
  <c r="F39" i="40" s="1"/>
  <c r="O51" i="49"/>
  <c r="J38" i="40" s="1"/>
  <c r="K49" i="49"/>
  <c r="F36" i="40" s="1"/>
  <c r="L55" i="49"/>
  <c r="N48" i="49"/>
  <c r="I35" i="40" s="1"/>
  <c r="K48" i="49"/>
  <c r="F35" i="40" s="1"/>
  <c r="M48" i="49"/>
  <c r="H35" i="40" s="1"/>
  <c r="P34" i="49"/>
  <c r="K21" i="40" s="1"/>
  <c r="D33" i="49"/>
  <c r="F42" i="39"/>
  <c r="J42" i="39"/>
  <c r="C37" i="40"/>
  <c r="H31" i="49"/>
  <c r="C18" i="40" s="1"/>
  <c r="K29" i="49"/>
  <c r="F16" i="40" s="1"/>
  <c r="J36" i="49"/>
  <c r="E23" i="40" s="1"/>
  <c r="K36" i="49"/>
  <c r="F23" i="40" s="1"/>
  <c r="K42" i="39"/>
  <c r="G42" i="39"/>
  <c r="F41" i="39"/>
  <c r="J41" i="39"/>
  <c r="E42" i="39"/>
  <c r="I41" i="39"/>
  <c r="I42" i="39"/>
  <c r="D41" i="39"/>
  <c r="H41" i="39"/>
  <c r="D42" i="39"/>
  <c r="H42" i="39"/>
  <c r="E41" i="39"/>
  <c r="G41" i="39"/>
  <c r="K41" i="39"/>
  <c r="J60" i="49"/>
  <c r="E47" i="40" s="1"/>
  <c r="N60" i="49"/>
  <c r="I47" i="40" s="1"/>
  <c r="D42" i="40"/>
  <c r="D35" i="40"/>
  <c r="E35" i="40"/>
  <c r="M60" i="49"/>
  <c r="H47" i="40" s="1"/>
  <c r="K60" i="49"/>
  <c r="F47" i="40" s="1"/>
  <c r="O60" i="49"/>
  <c r="J47" i="40" s="1"/>
  <c r="I38" i="40"/>
  <c r="H60" i="49"/>
  <c r="C47" i="40" s="1"/>
  <c r="G42" i="40"/>
  <c r="K42" i="40"/>
  <c r="G40" i="40"/>
  <c r="G35" i="40"/>
  <c r="L60" i="49"/>
  <c r="G47" i="40" s="1"/>
  <c r="P60" i="49"/>
  <c r="K47" i="40" s="1"/>
  <c r="J35" i="40"/>
  <c r="I60" i="49"/>
  <c r="D47" i="40" s="1"/>
  <c r="K35" i="40"/>
  <c r="O35" i="49"/>
  <c r="J22" i="40" s="1"/>
  <c r="L37" i="49"/>
  <c r="G24" i="40" s="1"/>
  <c r="I30" i="49"/>
  <c r="D17" i="40" s="1"/>
  <c r="H35" i="49"/>
  <c r="C22" i="40" s="1"/>
  <c r="M30" i="49"/>
  <c r="H17" i="40" s="1"/>
  <c r="H34" i="49"/>
  <c r="C21" i="40" s="1"/>
  <c r="J35" i="49"/>
  <c r="E22" i="40" s="1"/>
  <c r="N34" i="49"/>
  <c r="I21" i="40" s="1"/>
  <c r="I34" i="49"/>
  <c r="D21" i="40" s="1"/>
  <c r="M34" i="49"/>
  <c r="H21" i="40" s="1"/>
  <c r="N38" i="49"/>
  <c r="I25" i="40" s="1"/>
  <c r="O38" i="49"/>
  <c r="J25" i="40" s="1"/>
  <c r="I38" i="49"/>
  <c r="D25" i="40" s="1"/>
  <c r="L38" i="49"/>
  <c r="G25" i="40" s="1"/>
  <c r="M38" i="49"/>
  <c r="H25" i="40" s="1"/>
  <c r="H38" i="49"/>
  <c r="C25" i="40" s="1"/>
  <c r="P38" i="49"/>
  <c r="K25" i="40" s="1"/>
  <c r="K38" i="49"/>
  <c r="F25" i="40" s="1"/>
  <c r="M31" i="49"/>
  <c r="H18" i="40" s="1"/>
  <c r="I31" i="49"/>
  <c r="D18" i="40" s="1"/>
  <c r="L29" i="49"/>
  <c r="G16" i="40" s="1"/>
  <c r="N40" i="49"/>
  <c r="I27" i="40" s="1"/>
  <c r="J40" i="49"/>
  <c r="E27" i="40" s="1"/>
  <c r="O40" i="49"/>
  <c r="J27" i="40" s="1"/>
  <c r="L40" i="49"/>
  <c r="G27" i="40" s="1"/>
  <c r="K40" i="49"/>
  <c r="F27" i="40" s="1"/>
  <c r="P40" i="49"/>
  <c r="K27" i="40" s="1"/>
  <c r="I40" i="49"/>
  <c r="D27" i="40" s="1"/>
  <c r="M40" i="49"/>
  <c r="H27" i="40" s="1"/>
  <c r="H40" i="49"/>
  <c r="C27" i="40" s="1"/>
  <c r="J32" i="49"/>
  <c r="E19" i="40" s="1"/>
  <c r="P33" i="49"/>
  <c r="K20" i="40" s="1"/>
  <c r="L33" i="49"/>
  <c r="G20" i="40" s="1"/>
  <c r="H33" i="49"/>
  <c r="C20" i="40" s="1"/>
  <c r="K32" i="49"/>
  <c r="F19" i="40" s="1"/>
  <c r="O32" i="49"/>
  <c r="J19" i="40" s="1"/>
  <c r="O37" i="49"/>
  <c r="J24" i="40" s="1"/>
  <c r="K37" i="49"/>
  <c r="F24" i="40" s="1"/>
  <c r="H37" i="49"/>
  <c r="C24" i="40" s="1"/>
  <c r="H36" i="40"/>
  <c r="P30" i="49"/>
  <c r="K17" i="40" s="1"/>
  <c r="L30" i="49"/>
  <c r="G17" i="40" s="1"/>
  <c r="H30" i="49"/>
  <c r="H29" i="49"/>
  <c r="C16" i="40" s="1"/>
  <c r="N29" i="49"/>
  <c r="I16" i="40" s="1"/>
  <c r="J30" i="49"/>
  <c r="E17" i="40" s="1"/>
  <c r="O30" i="49"/>
  <c r="J17" i="40" s="1"/>
  <c r="K31" i="49"/>
  <c r="F18" i="40" s="1"/>
  <c r="P31" i="49"/>
  <c r="K18" i="40" s="1"/>
  <c r="I33" i="49"/>
  <c r="D20" i="40" s="1"/>
  <c r="N33" i="49"/>
  <c r="I20" i="40" s="1"/>
  <c r="J34" i="49"/>
  <c r="E21" i="40" s="1"/>
  <c r="K35" i="49"/>
  <c r="F22" i="40" s="1"/>
  <c r="P35" i="49"/>
  <c r="K22" i="40" s="1"/>
  <c r="M36" i="49"/>
  <c r="H23" i="40" s="1"/>
  <c r="I37" i="49"/>
  <c r="D24" i="40" s="1"/>
  <c r="N37" i="49"/>
  <c r="I24" i="40" s="1"/>
  <c r="M32" i="49"/>
  <c r="H19" i="40" s="1"/>
  <c r="I32" i="49"/>
  <c r="D19" i="40" s="1"/>
  <c r="P32" i="49"/>
  <c r="K19" i="40" s="1"/>
  <c r="M33" i="49"/>
  <c r="H20" i="40" s="1"/>
  <c r="M29" i="49"/>
  <c r="H16" i="40" s="1"/>
  <c r="N31" i="49"/>
  <c r="I18" i="40" s="1"/>
  <c r="J29" i="49"/>
  <c r="E16" i="40" s="1"/>
  <c r="O29" i="49"/>
  <c r="J16" i="40" s="1"/>
  <c r="K30" i="49"/>
  <c r="F17" i="40" s="1"/>
  <c r="O34" i="49"/>
  <c r="J21" i="40" s="1"/>
  <c r="K34" i="49"/>
  <c r="F21" i="40" s="1"/>
  <c r="L31" i="49"/>
  <c r="G18" i="40" s="1"/>
  <c r="H32" i="49"/>
  <c r="C19" i="40" s="1"/>
  <c r="N32" i="49"/>
  <c r="I19" i="40" s="1"/>
  <c r="J33" i="49"/>
  <c r="E20" i="40" s="1"/>
  <c r="O33" i="49"/>
  <c r="J20" i="40" s="1"/>
  <c r="L34" i="49"/>
  <c r="G21" i="40" s="1"/>
  <c r="M35" i="49"/>
  <c r="H22" i="40" s="1"/>
  <c r="I35" i="49"/>
  <c r="D22" i="40" s="1"/>
  <c r="L35" i="49"/>
  <c r="G22" i="40" s="1"/>
  <c r="I36" i="49"/>
  <c r="D23" i="40" s="1"/>
  <c r="N36" i="49"/>
  <c r="I23" i="40" s="1"/>
  <c r="J37" i="49"/>
  <c r="E24" i="40" s="1"/>
  <c r="P37" i="49"/>
  <c r="K24" i="40" s="1"/>
  <c r="P36" i="49"/>
  <c r="K23" i="40" s="1"/>
  <c r="L36" i="49"/>
  <c r="G23" i="40" s="1"/>
  <c r="H36" i="49"/>
  <c r="C23" i="40" s="1"/>
  <c r="E37" i="40"/>
  <c r="I29" i="49"/>
  <c r="D16" i="40" s="1"/>
  <c r="J31" i="49"/>
  <c r="E18" i="40" s="1"/>
  <c r="J38" i="49"/>
  <c r="E25" i="40" s="1"/>
  <c r="G40" i="39"/>
  <c r="H40" i="39"/>
  <c r="I40" i="39"/>
  <c r="J40" i="39"/>
  <c r="K40" i="39"/>
  <c r="E40" i="39"/>
  <c r="F40" i="39"/>
  <c r="D40" i="39"/>
  <c r="C17" i="40" l="1"/>
  <c r="I39" i="49"/>
  <c r="P39" i="49"/>
  <c r="K39" i="49"/>
  <c r="O39" i="49"/>
  <c r="N39" i="49"/>
  <c r="L39" i="49"/>
  <c r="J39" i="49"/>
  <c r="M39" i="49"/>
  <c r="H39" i="49"/>
  <c r="L41" i="49" l="1"/>
  <c r="G26" i="40"/>
  <c r="I41" i="49"/>
  <c r="D26" i="40"/>
  <c r="M41" i="49"/>
  <c r="H26" i="40"/>
  <c r="N41" i="49"/>
  <c r="I26" i="40"/>
  <c r="K41" i="49"/>
  <c r="F26" i="40"/>
  <c r="H41" i="49"/>
  <c r="C26" i="40"/>
  <c r="J41" i="49"/>
  <c r="E26" i="40"/>
  <c r="O41" i="49"/>
  <c r="J26" i="40"/>
  <c r="P41" i="49"/>
  <c r="K26" i="40"/>
  <c r="D46" i="38" l="1"/>
  <c r="D46" i="37"/>
  <c r="D46" i="36"/>
  <c r="D46" i="35"/>
  <c r="D4" i="38"/>
  <c r="D4" i="37"/>
  <c r="D4" i="35"/>
  <c r="D4" i="36"/>
  <c r="D28" i="38"/>
  <c r="D16" i="38"/>
  <c r="D16" i="37"/>
  <c r="D16" i="36"/>
  <c r="D16" i="35"/>
  <c r="I10" i="38"/>
  <c r="I10" i="52" s="1"/>
  <c r="I10" i="37"/>
  <c r="I10" i="51" s="1"/>
  <c r="I10" i="36"/>
  <c r="K51" i="36" l="1"/>
  <c r="K48" i="36"/>
  <c r="H49" i="36"/>
  <c r="L51" i="36"/>
  <c r="H48" i="36"/>
  <c r="L48" i="36"/>
  <c r="J48" i="36"/>
  <c r="M51" i="36"/>
  <c r="M48" i="36"/>
  <c r="L49" i="36"/>
  <c r="N51" i="36"/>
  <c r="J49" i="36"/>
  <c r="N48" i="36"/>
  <c r="P48" i="36"/>
  <c r="O51" i="36"/>
  <c r="K49" i="36"/>
  <c r="O48" i="36"/>
  <c r="P51" i="36"/>
  <c r="I51" i="36"/>
  <c r="M49" i="36"/>
  <c r="I48" i="36"/>
  <c r="N49" i="36"/>
  <c r="P49" i="36"/>
  <c r="O49" i="36"/>
  <c r="J51" i="36"/>
  <c r="I49" i="36"/>
  <c r="H51" i="36"/>
  <c r="N52" i="38"/>
  <c r="J50" i="38"/>
  <c r="N49" i="38"/>
  <c r="O52" i="38"/>
  <c r="K50" i="38"/>
  <c r="O49" i="38"/>
  <c r="P52" i="38"/>
  <c r="L50" i="38"/>
  <c r="P49" i="38"/>
  <c r="I52" i="38"/>
  <c r="M50" i="38"/>
  <c r="I49" i="38"/>
  <c r="N50" i="38"/>
  <c r="H52" i="38"/>
  <c r="O50" i="38"/>
  <c r="P50" i="38"/>
  <c r="H50" i="38"/>
  <c r="I50" i="38"/>
  <c r="H49" i="38"/>
  <c r="J52" i="38"/>
  <c r="J49" i="38"/>
  <c r="M52" i="38"/>
  <c r="K52" i="38"/>
  <c r="K49" i="38"/>
  <c r="M49" i="38"/>
  <c r="L52" i="38"/>
  <c r="L49" i="38"/>
  <c r="N51" i="37"/>
  <c r="J49" i="37"/>
  <c r="N48" i="37"/>
  <c r="K49" i="37"/>
  <c r="O51" i="37"/>
  <c r="O48" i="37"/>
  <c r="P51" i="37"/>
  <c r="L49" i="37"/>
  <c r="P48" i="37"/>
  <c r="I51" i="37"/>
  <c r="M49" i="37"/>
  <c r="I48" i="37"/>
  <c r="O49" i="37"/>
  <c r="N49" i="37"/>
  <c r="M48" i="37"/>
  <c r="P49" i="37"/>
  <c r="M51" i="37"/>
  <c r="I49" i="37"/>
  <c r="H51" i="37"/>
  <c r="J51" i="37"/>
  <c r="J48" i="37"/>
  <c r="K51" i="37"/>
  <c r="K48" i="37"/>
  <c r="H49" i="37"/>
  <c r="L51" i="37"/>
  <c r="L48" i="37"/>
  <c r="H48" i="37"/>
  <c r="I51" i="35"/>
  <c r="M49" i="35"/>
  <c r="P48" i="35"/>
  <c r="I48" i="35"/>
  <c r="N49" i="35"/>
  <c r="O49" i="35"/>
  <c r="H48" i="35"/>
  <c r="L51" i="35"/>
  <c r="L49" i="35"/>
  <c r="J51" i="35"/>
  <c r="P49" i="35"/>
  <c r="K51" i="35"/>
  <c r="I49" i="35"/>
  <c r="H49" i="35"/>
  <c r="O48" i="35"/>
  <c r="M51" i="35"/>
  <c r="J48" i="35"/>
  <c r="J49" i="35"/>
  <c r="N51" i="35"/>
  <c r="K48" i="35"/>
  <c r="O51" i="35"/>
  <c r="L48" i="35"/>
  <c r="P51" i="35"/>
  <c r="M48" i="35"/>
  <c r="K49" i="35"/>
  <c r="N48" i="35"/>
  <c r="C36" i="39"/>
  <c r="J10" i="38"/>
  <c r="J10" i="36"/>
  <c r="I10" i="50"/>
  <c r="O30" i="37"/>
  <c r="K30" i="37"/>
  <c r="N30" i="37"/>
  <c r="J30" i="37"/>
  <c r="M30" i="37"/>
  <c r="I30" i="37"/>
  <c r="L30" i="37"/>
  <c r="P30" i="37"/>
  <c r="H30" i="37"/>
  <c r="P34" i="38"/>
  <c r="L34" i="38"/>
  <c r="H34" i="38"/>
  <c r="O31" i="38"/>
  <c r="K31" i="38"/>
  <c r="O34" i="38"/>
  <c r="K34" i="38"/>
  <c r="N31" i="38"/>
  <c r="J31" i="38"/>
  <c r="N34" i="38"/>
  <c r="J34" i="38"/>
  <c r="M31" i="38"/>
  <c r="I31" i="38"/>
  <c r="L31" i="38"/>
  <c r="I34" i="38"/>
  <c r="M34" i="38"/>
  <c r="H31" i="38"/>
  <c r="P31" i="38"/>
  <c r="P30" i="36"/>
  <c r="L30" i="36"/>
  <c r="H30" i="36"/>
  <c r="K30" i="36"/>
  <c r="N30" i="36"/>
  <c r="O30" i="36"/>
  <c r="J30" i="36"/>
  <c r="I30" i="36"/>
  <c r="M30" i="36"/>
  <c r="C37" i="39" l="1"/>
  <c r="C39" i="39"/>
  <c r="O49" i="32"/>
  <c r="I49" i="32"/>
  <c r="N48" i="32"/>
  <c r="I48" i="32"/>
  <c r="M47" i="32"/>
  <c r="I47" i="32"/>
  <c r="L49" i="32"/>
  <c r="P49" i="32"/>
  <c r="K48" i="32"/>
  <c r="O48" i="32"/>
  <c r="J47" i="32"/>
  <c r="N47" i="32"/>
  <c r="M49" i="32"/>
  <c r="K49" i="32"/>
  <c r="L48" i="32"/>
  <c r="P48" i="32"/>
  <c r="K47" i="32"/>
  <c r="O47" i="32"/>
  <c r="H49" i="32"/>
  <c r="N49" i="32"/>
  <c r="J49" i="32"/>
  <c r="M48" i="32"/>
  <c r="J48" i="32"/>
  <c r="L47" i="32"/>
  <c r="P47" i="32"/>
  <c r="H48" i="32"/>
  <c r="D37" i="39"/>
  <c r="H39" i="39"/>
  <c r="K10" i="38"/>
  <c r="J10" i="52"/>
  <c r="H37" i="39"/>
  <c r="J37" i="39"/>
  <c r="K37" i="39"/>
  <c r="K39" i="39"/>
  <c r="J10" i="50"/>
  <c r="K10" i="36"/>
  <c r="F37" i="39"/>
  <c r="K36" i="39"/>
  <c r="E36" i="39"/>
  <c r="F39" i="39"/>
  <c r="J36" i="39"/>
  <c r="I36" i="39"/>
  <c r="G37" i="39"/>
  <c r="G39" i="39"/>
  <c r="E39" i="39"/>
  <c r="G36" i="39"/>
  <c r="D36" i="39"/>
  <c r="I37" i="39"/>
  <c r="I39" i="39"/>
  <c r="E37" i="39"/>
  <c r="H36" i="39"/>
  <c r="F36" i="39"/>
  <c r="D39" i="39"/>
  <c r="J39" i="39"/>
  <c r="K10" i="52" l="1"/>
  <c r="L10" i="38"/>
  <c r="L10" i="36"/>
  <c r="K10" i="50"/>
  <c r="L10" i="52" l="1"/>
  <c r="M10" i="38"/>
  <c r="L10" i="50"/>
  <c r="M10" i="36"/>
  <c r="M10" i="52" l="1"/>
  <c r="N10" i="38"/>
  <c r="N10" i="36"/>
  <c r="M10" i="50"/>
  <c r="O10" i="38" l="1"/>
  <c r="N10" i="52"/>
  <c r="O10" i="36"/>
  <c r="N10" i="50"/>
  <c r="P10" i="38" l="1"/>
  <c r="P10" i="52" s="1"/>
  <c r="O10" i="52"/>
  <c r="P10" i="36"/>
  <c r="P10" i="50" s="1"/>
  <c r="O10" i="50"/>
  <c r="J10" i="37"/>
  <c r="I10" i="35"/>
  <c r="D12" i="38"/>
  <c r="D48" i="37"/>
  <c r="D44" i="37"/>
  <c r="D40" i="37"/>
  <c r="D36" i="37"/>
  <c r="D32" i="37"/>
  <c r="D28" i="37"/>
  <c r="D24" i="37"/>
  <c r="D20" i="37"/>
  <c r="D12" i="37"/>
  <c r="D48" i="36"/>
  <c r="D44" i="36"/>
  <c r="D40" i="36"/>
  <c r="D36" i="36"/>
  <c r="D32" i="36"/>
  <c r="D28" i="36"/>
  <c r="D24" i="36"/>
  <c r="D20" i="36"/>
  <c r="D12" i="36"/>
  <c r="D48" i="35"/>
  <c r="D44" i="35"/>
  <c r="D40" i="35"/>
  <c r="D36" i="35"/>
  <c r="D32" i="35"/>
  <c r="D28" i="35"/>
  <c r="D24" i="35"/>
  <c r="D20" i="35"/>
  <c r="D12" i="35"/>
  <c r="D48" i="38"/>
  <c r="D44" i="38"/>
  <c r="D40" i="38"/>
  <c r="D36" i="38"/>
  <c r="D32" i="38"/>
  <c r="D24" i="38"/>
  <c r="D20" i="38"/>
  <c r="K12" i="52" l="1"/>
  <c r="O12" i="52"/>
  <c r="O76" i="52" s="1"/>
  <c r="O80" i="52" s="1"/>
  <c r="O82" i="52" s="1"/>
  <c r="P12" i="52"/>
  <c r="P76" i="52" s="1"/>
  <c r="P80" i="52" s="1"/>
  <c r="P82" i="52" s="1"/>
  <c r="M12" i="52"/>
  <c r="J12" i="52"/>
  <c r="L12" i="52"/>
  <c r="H12" i="52"/>
  <c r="I12" i="52"/>
  <c r="N12" i="52"/>
  <c r="H12" i="49"/>
  <c r="I12" i="49"/>
  <c r="I76" i="49" s="1"/>
  <c r="I80" i="49" s="1"/>
  <c r="M12" i="49"/>
  <c r="M76" i="49" s="1"/>
  <c r="M80" i="49" s="1"/>
  <c r="N12" i="49"/>
  <c r="N76" i="49" s="1"/>
  <c r="N80" i="49" s="1"/>
  <c r="L12" i="49"/>
  <c r="L76" i="49" s="1"/>
  <c r="L80" i="49" s="1"/>
  <c r="C6" i="40"/>
  <c r="P12" i="49"/>
  <c r="P76" i="49" s="1"/>
  <c r="P80" i="49" s="1"/>
  <c r="O12" i="49"/>
  <c r="O76" i="49" s="1"/>
  <c r="O80" i="49" s="1"/>
  <c r="J12" i="49"/>
  <c r="J76" i="49" s="1"/>
  <c r="J80" i="49" s="1"/>
  <c r="K12" i="49"/>
  <c r="K76" i="49" s="1"/>
  <c r="K80" i="49" s="1"/>
  <c r="L12" i="50"/>
  <c r="I12" i="50"/>
  <c r="P12" i="50"/>
  <c r="P76" i="50" s="1"/>
  <c r="P80" i="50" s="1"/>
  <c r="N12" i="50"/>
  <c r="M12" i="50"/>
  <c r="J12" i="50"/>
  <c r="H12" i="50"/>
  <c r="O12" i="50"/>
  <c r="O76" i="50" s="1"/>
  <c r="O80" i="50" s="1"/>
  <c r="O82" i="50" s="1"/>
  <c r="K12" i="50"/>
  <c r="O12" i="51"/>
  <c r="O76" i="51" s="1"/>
  <c r="O80" i="51" s="1"/>
  <c r="O82" i="51" s="1"/>
  <c r="H12" i="51"/>
  <c r="I12" i="51"/>
  <c r="J12" i="51"/>
  <c r="J76" i="51" s="1"/>
  <c r="J80" i="51" s="1"/>
  <c r="J82" i="51" s="1"/>
  <c r="L12" i="51"/>
  <c r="L76" i="51" s="1"/>
  <c r="L80" i="51" s="1"/>
  <c r="L82" i="51" s="1"/>
  <c r="M12" i="51"/>
  <c r="M76" i="51" s="1"/>
  <c r="M80" i="51" s="1"/>
  <c r="M82" i="51" s="1"/>
  <c r="N12" i="51"/>
  <c r="N76" i="51" s="1"/>
  <c r="N80" i="51" s="1"/>
  <c r="N82" i="51" s="1"/>
  <c r="K12" i="51"/>
  <c r="K76" i="51" s="1"/>
  <c r="K80" i="51" s="1"/>
  <c r="K82" i="51" s="1"/>
  <c r="P12" i="51"/>
  <c r="P76" i="51" s="1"/>
  <c r="P80" i="51" s="1"/>
  <c r="P82" i="51" s="1"/>
  <c r="P35" i="37"/>
  <c r="O35" i="37"/>
  <c r="J35" i="37"/>
  <c r="I35" i="37"/>
  <c r="L35" i="37"/>
  <c r="N35" i="37"/>
  <c r="M35" i="37"/>
  <c r="H35" i="37"/>
  <c r="K35" i="37"/>
  <c r="J10" i="51"/>
  <c r="K10" i="37"/>
  <c r="O34" i="37"/>
  <c r="N34" i="37"/>
  <c r="I34" i="37"/>
  <c r="K34" i="37"/>
  <c r="J34" i="37"/>
  <c r="P34" i="37"/>
  <c r="H34" i="37"/>
  <c r="L34" i="37"/>
  <c r="M34" i="37"/>
  <c r="J31" i="37"/>
  <c r="I31" i="37"/>
  <c r="O31" i="37"/>
  <c r="M31" i="37"/>
  <c r="P31" i="37"/>
  <c r="L31" i="37"/>
  <c r="N31" i="37"/>
  <c r="H31" i="37"/>
  <c r="K31" i="37"/>
  <c r="P32" i="37"/>
  <c r="K32" i="37"/>
  <c r="M32" i="37"/>
  <c r="L32" i="37"/>
  <c r="J32" i="37"/>
  <c r="O32" i="37"/>
  <c r="I32" i="37"/>
  <c r="H32" i="37"/>
  <c r="N32" i="37"/>
  <c r="M36" i="37"/>
  <c r="L36" i="37"/>
  <c r="N36" i="37"/>
  <c r="P36" i="37"/>
  <c r="I36" i="37"/>
  <c r="H36" i="37"/>
  <c r="J36" i="37"/>
  <c r="K36" i="37"/>
  <c r="O36" i="37"/>
  <c r="L29" i="37"/>
  <c r="K29" i="37"/>
  <c r="M29" i="37"/>
  <c r="P29" i="37"/>
  <c r="H29" i="37"/>
  <c r="I29" i="37"/>
  <c r="J29" i="37"/>
  <c r="N29" i="37"/>
  <c r="O29" i="37"/>
  <c r="O38" i="37"/>
  <c r="K38" i="37"/>
  <c r="N38" i="37"/>
  <c r="J38" i="37"/>
  <c r="M38" i="37"/>
  <c r="I38" i="37"/>
  <c r="P38" i="37"/>
  <c r="L38" i="37"/>
  <c r="H38" i="37"/>
  <c r="H33" i="37"/>
  <c r="L33" i="37"/>
  <c r="N33" i="37"/>
  <c r="M33" i="37"/>
  <c r="K33" i="37"/>
  <c r="P33" i="37"/>
  <c r="O33" i="37"/>
  <c r="J33" i="37"/>
  <c r="I33" i="37"/>
  <c r="P37" i="37"/>
  <c r="L37" i="37"/>
  <c r="H37" i="37"/>
  <c r="O37" i="37"/>
  <c r="K37" i="37"/>
  <c r="M37" i="37"/>
  <c r="N37" i="37"/>
  <c r="J37" i="37"/>
  <c r="I37" i="37"/>
  <c r="O37" i="36"/>
  <c r="K37" i="36"/>
  <c r="I37" i="36"/>
  <c r="H37" i="36"/>
  <c r="N37" i="36"/>
  <c r="J37" i="36"/>
  <c r="M37" i="36"/>
  <c r="L37" i="36"/>
  <c r="P37" i="36"/>
  <c r="K31" i="36"/>
  <c r="N31" i="36"/>
  <c r="L31" i="36"/>
  <c r="H31" i="36"/>
  <c r="P31" i="36"/>
  <c r="J31" i="36"/>
  <c r="M31" i="36"/>
  <c r="O31" i="36"/>
  <c r="I31" i="36"/>
  <c r="J35" i="36"/>
  <c r="I35" i="36"/>
  <c r="O35" i="36"/>
  <c r="M35" i="36"/>
  <c r="H35" i="36"/>
  <c r="L35" i="36"/>
  <c r="K35" i="36"/>
  <c r="N35" i="36"/>
  <c r="P35" i="36"/>
  <c r="N38" i="36"/>
  <c r="J38" i="36"/>
  <c r="H38" i="36"/>
  <c r="O38" i="36"/>
  <c r="M38" i="36"/>
  <c r="I38" i="36"/>
  <c r="P38" i="36"/>
  <c r="L38" i="36"/>
  <c r="K38" i="36"/>
  <c r="M29" i="36"/>
  <c r="L29" i="36"/>
  <c r="I29" i="36"/>
  <c r="O29" i="36"/>
  <c r="H29" i="36"/>
  <c r="N29" i="36"/>
  <c r="J29" i="36"/>
  <c r="P29" i="36"/>
  <c r="K29" i="36"/>
  <c r="P34" i="36"/>
  <c r="M34" i="36"/>
  <c r="L34" i="36"/>
  <c r="O34" i="36"/>
  <c r="I34" i="36"/>
  <c r="H34" i="36"/>
  <c r="K34" i="36"/>
  <c r="J34" i="36"/>
  <c r="N34" i="36"/>
  <c r="L32" i="36"/>
  <c r="K32" i="36"/>
  <c r="N32" i="36"/>
  <c r="P32" i="36"/>
  <c r="J32" i="36"/>
  <c r="H32" i="36"/>
  <c r="M32" i="36"/>
  <c r="I32" i="36"/>
  <c r="O32" i="36"/>
  <c r="N36" i="36"/>
  <c r="H36" i="36"/>
  <c r="J36" i="36"/>
  <c r="L36" i="36"/>
  <c r="M36" i="36"/>
  <c r="O36" i="36"/>
  <c r="P36" i="36"/>
  <c r="I36" i="36"/>
  <c r="K36" i="36"/>
  <c r="I33" i="36"/>
  <c r="O33" i="36"/>
  <c r="L33" i="36"/>
  <c r="H33" i="36"/>
  <c r="P33" i="36"/>
  <c r="K33" i="36"/>
  <c r="M33" i="36"/>
  <c r="J33" i="36"/>
  <c r="N33" i="36"/>
  <c r="J10" i="35"/>
  <c r="I10" i="49"/>
  <c r="I33" i="38"/>
  <c r="H33" i="38"/>
  <c r="J33" i="38"/>
  <c r="K33" i="38"/>
  <c r="M33" i="38"/>
  <c r="L33" i="38"/>
  <c r="O33" i="38"/>
  <c r="N33" i="38"/>
  <c r="P33" i="38"/>
  <c r="N30" i="38"/>
  <c r="L30" i="38"/>
  <c r="K30" i="38"/>
  <c r="I30" i="38"/>
  <c r="H30" i="38"/>
  <c r="P30" i="38"/>
  <c r="O30" i="38"/>
  <c r="J30" i="38"/>
  <c r="M30" i="38"/>
  <c r="P38" i="38"/>
  <c r="L38" i="38"/>
  <c r="H38" i="38"/>
  <c r="N38" i="38"/>
  <c r="J38" i="38"/>
  <c r="M38" i="38"/>
  <c r="O38" i="38"/>
  <c r="K38" i="38"/>
  <c r="I38" i="38"/>
  <c r="O39" i="38"/>
  <c r="K39" i="38"/>
  <c r="M39" i="38"/>
  <c r="I39" i="38"/>
  <c r="P39" i="38"/>
  <c r="N39" i="38"/>
  <c r="J39" i="38"/>
  <c r="L39" i="38"/>
  <c r="H39" i="38"/>
  <c r="N35" i="38"/>
  <c r="K35" i="38"/>
  <c r="J35" i="38"/>
  <c r="P35" i="38"/>
  <c r="M35" i="38"/>
  <c r="O35" i="38"/>
  <c r="I35" i="38"/>
  <c r="H35" i="38"/>
  <c r="L35" i="38"/>
  <c r="N36" i="38"/>
  <c r="M36" i="38"/>
  <c r="H36" i="38"/>
  <c r="K36" i="38"/>
  <c r="P36" i="38"/>
  <c r="L36" i="38"/>
  <c r="J36" i="38"/>
  <c r="I36" i="38"/>
  <c r="O36" i="38"/>
  <c r="L32" i="38"/>
  <c r="K32" i="38"/>
  <c r="J32" i="38"/>
  <c r="I32" i="38"/>
  <c r="O32" i="38"/>
  <c r="N32" i="38"/>
  <c r="M32" i="38"/>
  <c r="H32" i="38"/>
  <c r="P32" i="38"/>
  <c r="O37" i="38"/>
  <c r="J37" i="38"/>
  <c r="M37" i="38"/>
  <c r="L37" i="38"/>
  <c r="I37" i="38"/>
  <c r="H37" i="38"/>
  <c r="P37" i="38"/>
  <c r="K37" i="38"/>
  <c r="N37" i="38"/>
  <c r="J13" i="51" l="1"/>
  <c r="P13" i="52"/>
  <c r="D32" i="40"/>
  <c r="P13" i="50"/>
  <c r="O13" i="52"/>
  <c r="P39" i="37"/>
  <c r="M39" i="37"/>
  <c r="L39" i="37"/>
  <c r="H13" i="51"/>
  <c r="H76" i="51"/>
  <c r="H80" i="51" s="1"/>
  <c r="H82" i="51" s="1"/>
  <c r="N76" i="50"/>
  <c r="N80" i="50" s="1"/>
  <c r="N13" i="50"/>
  <c r="C32" i="40"/>
  <c r="I82" i="49"/>
  <c r="H13" i="52"/>
  <c r="H76" i="52"/>
  <c r="H80" i="52" s="1"/>
  <c r="H82" i="52" s="1"/>
  <c r="H76" i="50"/>
  <c r="H80" i="50" s="1"/>
  <c r="H82" i="50" s="1"/>
  <c r="H13" i="50"/>
  <c r="P82" i="50"/>
  <c r="L82" i="49"/>
  <c r="H13" i="49"/>
  <c r="H76" i="49"/>
  <c r="H80" i="49" s="1"/>
  <c r="L76" i="52"/>
  <c r="L80" i="52" s="1"/>
  <c r="L82" i="52" s="1"/>
  <c r="L13" i="52"/>
  <c r="J76" i="50"/>
  <c r="J80" i="50" s="1"/>
  <c r="J82" i="50" s="1"/>
  <c r="J13" i="50"/>
  <c r="I76" i="50"/>
  <c r="I80" i="50" s="1"/>
  <c r="I82" i="50" s="1"/>
  <c r="I13" i="50"/>
  <c r="K82" i="49"/>
  <c r="J62" i="40"/>
  <c r="O82" i="49"/>
  <c r="J64" i="40" s="1"/>
  <c r="N82" i="49"/>
  <c r="N76" i="52"/>
  <c r="N80" i="52" s="1"/>
  <c r="N82" i="52" s="1"/>
  <c r="N13" i="52"/>
  <c r="J76" i="52"/>
  <c r="J80" i="52" s="1"/>
  <c r="J82" i="52" s="1"/>
  <c r="J13" i="52"/>
  <c r="O13" i="50"/>
  <c r="I76" i="51"/>
  <c r="I80" i="51" s="1"/>
  <c r="I82" i="51" s="1"/>
  <c r="I13" i="51"/>
  <c r="K76" i="50"/>
  <c r="K80" i="50" s="1"/>
  <c r="K82" i="50" s="1"/>
  <c r="K13" i="50"/>
  <c r="M76" i="50"/>
  <c r="M80" i="50" s="1"/>
  <c r="M82" i="50" s="1"/>
  <c r="M13" i="50"/>
  <c r="L76" i="50"/>
  <c r="L80" i="50" s="1"/>
  <c r="L13" i="50"/>
  <c r="J82" i="49"/>
  <c r="K62" i="40"/>
  <c r="P82" i="49"/>
  <c r="K64" i="40" s="1"/>
  <c r="M82" i="49"/>
  <c r="I76" i="52"/>
  <c r="I80" i="52" s="1"/>
  <c r="I82" i="52" s="1"/>
  <c r="I13" i="52"/>
  <c r="M76" i="52"/>
  <c r="M80" i="52" s="1"/>
  <c r="M82" i="52" s="1"/>
  <c r="M13" i="52"/>
  <c r="K76" i="52"/>
  <c r="K80" i="52" s="1"/>
  <c r="K13" i="52"/>
  <c r="K39" i="37"/>
  <c r="I39" i="37"/>
  <c r="K10" i="51"/>
  <c r="K13" i="51" s="1"/>
  <c r="L10" i="37"/>
  <c r="J39" i="37"/>
  <c r="O39" i="37"/>
  <c r="N39" i="37"/>
  <c r="H39" i="37"/>
  <c r="P39" i="36"/>
  <c r="J39" i="36"/>
  <c r="I39" i="36"/>
  <c r="O39" i="36"/>
  <c r="N39" i="36"/>
  <c r="L39" i="36"/>
  <c r="K39" i="36"/>
  <c r="H39" i="36"/>
  <c r="M39" i="36"/>
  <c r="I13" i="49"/>
  <c r="K10" i="35"/>
  <c r="J10" i="49"/>
  <c r="O40" i="38"/>
  <c r="K40" i="38"/>
  <c r="L40" i="38"/>
  <c r="M40" i="38"/>
  <c r="H40" i="38"/>
  <c r="N40" i="38"/>
  <c r="P40" i="38"/>
  <c r="J40" i="38"/>
  <c r="I40" i="38"/>
  <c r="E64" i="40" l="1"/>
  <c r="I62" i="40"/>
  <c r="H62" i="40"/>
  <c r="E62" i="40"/>
  <c r="D11" i="40"/>
  <c r="D84" i="40" s="1"/>
  <c r="C11" i="40"/>
  <c r="C84" i="40" s="1"/>
  <c r="L82" i="50"/>
  <c r="G64" i="40" s="1"/>
  <c r="K82" i="52"/>
  <c r="F64" i="40" s="1"/>
  <c r="D64" i="40"/>
  <c r="F62" i="40"/>
  <c r="D62" i="40"/>
  <c r="H64" i="40"/>
  <c r="C62" i="40"/>
  <c r="H82" i="49"/>
  <c r="C64" i="40" s="1"/>
  <c r="G62" i="40"/>
  <c r="N82" i="50"/>
  <c r="I64" i="40" s="1"/>
  <c r="L10" i="51"/>
  <c r="L13" i="51" s="1"/>
  <c r="M10" i="37"/>
  <c r="J13" i="49"/>
  <c r="E11" i="40" s="1"/>
  <c r="E84" i="40" s="1"/>
  <c r="L10" i="35"/>
  <c r="K10" i="49"/>
  <c r="C7" i="39"/>
  <c r="E86" i="40" l="1"/>
  <c r="C86" i="40"/>
  <c r="D86" i="40"/>
  <c r="D33" i="39"/>
  <c r="C33" i="39"/>
  <c r="N10" i="37"/>
  <c r="M10" i="51"/>
  <c r="M13" i="51" s="1"/>
  <c r="M10" i="35"/>
  <c r="L10" i="49"/>
  <c r="K13" i="49"/>
  <c r="F11" i="40" s="1"/>
  <c r="F84" i="40" s="1"/>
  <c r="F86" i="40" l="1"/>
  <c r="O10" i="37"/>
  <c r="N10" i="51"/>
  <c r="N13" i="51" s="1"/>
  <c r="L13" i="49"/>
  <c r="G11" i="40" s="1"/>
  <c r="G84" i="40" s="1"/>
  <c r="N10" i="35"/>
  <c r="M10" i="49"/>
  <c r="D51" i="38"/>
  <c r="D52" i="38" s="1"/>
  <c r="D51" i="37"/>
  <c r="D52" i="37" s="1"/>
  <c r="D53" i="37" s="1"/>
  <c r="D51" i="36"/>
  <c r="D52" i="36" s="1"/>
  <c r="D51" i="35"/>
  <c r="D52" i="35" s="1"/>
  <c r="G86" i="40" l="1"/>
  <c r="L54" i="52"/>
  <c r="O54" i="52"/>
  <c r="J54" i="52"/>
  <c r="M54" i="52"/>
  <c r="P54" i="52"/>
  <c r="H54" i="52"/>
  <c r="C41" i="40" s="1"/>
  <c r="I54" i="52"/>
  <c r="K54" i="52"/>
  <c r="N54" i="52"/>
  <c r="K54" i="50"/>
  <c r="N54" i="51"/>
  <c r="P54" i="51"/>
  <c r="L54" i="51"/>
  <c r="O54" i="50"/>
  <c r="I54" i="50"/>
  <c r="M54" i="51"/>
  <c r="N54" i="50"/>
  <c r="K54" i="51"/>
  <c r="J54" i="50"/>
  <c r="L54" i="50"/>
  <c r="O54" i="51"/>
  <c r="I54" i="51"/>
  <c r="J54" i="51"/>
  <c r="P54" i="50"/>
  <c r="M54" i="50"/>
  <c r="I54" i="49"/>
  <c r="L54" i="49"/>
  <c r="N54" i="49"/>
  <c r="P54" i="49"/>
  <c r="J54" i="49"/>
  <c r="M54" i="49"/>
  <c r="O54" i="49"/>
  <c r="K54" i="49"/>
  <c r="H50" i="36"/>
  <c r="K51" i="38"/>
  <c r="I51" i="38"/>
  <c r="L50" i="35"/>
  <c r="M50" i="37"/>
  <c r="O50" i="35"/>
  <c r="I50" i="36"/>
  <c r="O50" i="36"/>
  <c r="J50" i="36"/>
  <c r="J51" i="38"/>
  <c r="N50" i="37"/>
  <c r="P50" i="35"/>
  <c r="N51" i="38"/>
  <c r="J50" i="37"/>
  <c r="N50" i="35"/>
  <c r="H50" i="37"/>
  <c r="J50" i="35"/>
  <c r="M51" i="38"/>
  <c r="K50" i="36"/>
  <c r="K50" i="37"/>
  <c r="M50" i="35"/>
  <c r="I50" i="35"/>
  <c r="O50" i="37"/>
  <c r="P50" i="37"/>
  <c r="H51" i="38"/>
  <c r="P51" i="38"/>
  <c r="P50" i="36"/>
  <c r="L50" i="36"/>
  <c r="L51" i="38"/>
  <c r="O51" i="38"/>
  <c r="I50" i="37"/>
  <c r="L50" i="37"/>
  <c r="K50" i="35"/>
  <c r="M50" i="36"/>
  <c r="N50" i="36"/>
  <c r="I41" i="38"/>
  <c r="I42" i="38" s="1"/>
  <c r="P41" i="38"/>
  <c r="P42" i="38" s="1"/>
  <c r="K41" i="38"/>
  <c r="K42" i="38" s="1"/>
  <c r="H41" i="38"/>
  <c r="H42" i="38" s="1"/>
  <c r="J41" i="38"/>
  <c r="J42" i="38" s="1"/>
  <c r="O41" i="38"/>
  <c r="O42" i="38" s="1"/>
  <c r="L41" i="38"/>
  <c r="L42" i="38" s="1"/>
  <c r="M41" i="38"/>
  <c r="M42" i="38" s="1"/>
  <c r="N41" i="38"/>
  <c r="N42" i="38" s="1"/>
  <c r="M40" i="37"/>
  <c r="M41" i="37" s="1"/>
  <c r="I40" i="37"/>
  <c r="I41" i="37" s="1"/>
  <c r="P40" i="37"/>
  <c r="P41" i="37" s="1"/>
  <c r="L40" i="37"/>
  <c r="L41" i="37" s="1"/>
  <c r="H40" i="37"/>
  <c r="H41" i="37" s="1"/>
  <c r="O40" i="37"/>
  <c r="O41" i="37" s="1"/>
  <c r="K40" i="37"/>
  <c r="K41" i="37" s="1"/>
  <c r="N40" i="37"/>
  <c r="N41" i="37" s="1"/>
  <c r="J40" i="37"/>
  <c r="J41" i="37" s="1"/>
  <c r="P10" i="37"/>
  <c r="P10" i="51" s="1"/>
  <c r="P13" i="51" s="1"/>
  <c r="O10" i="51"/>
  <c r="O13" i="51" s="1"/>
  <c r="P40" i="36"/>
  <c r="P41" i="36" s="1"/>
  <c r="L40" i="36"/>
  <c r="L41" i="36" s="1"/>
  <c r="H40" i="36"/>
  <c r="H41" i="36" s="1"/>
  <c r="I40" i="36"/>
  <c r="I41" i="36" s="1"/>
  <c r="O40" i="36"/>
  <c r="O41" i="36" s="1"/>
  <c r="K40" i="36"/>
  <c r="K41" i="36" s="1"/>
  <c r="N40" i="36"/>
  <c r="N41" i="36" s="1"/>
  <c r="J40" i="36"/>
  <c r="J41" i="36" s="1"/>
  <c r="M40" i="36"/>
  <c r="M41" i="36" s="1"/>
  <c r="M13" i="49"/>
  <c r="H11" i="40" s="1"/>
  <c r="H84" i="40" s="1"/>
  <c r="O10" i="35"/>
  <c r="N10" i="49"/>
  <c r="I58" i="32"/>
  <c r="J58" i="32"/>
  <c r="K58" i="32"/>
  <c r="L58" i="32"/>
  <c r="M58" i="32"/>
  <c r="N58" i="32"/>
  <c r="O58" i="32"/>
  <c r="P58" i="32"/>
  <c r="H58" i="32"/>
  <c r="H86" i="40" l="1"/>
  <c r="C38" i="39"/>
  <c r="D38" i="39"/>
  <c r="G41" i="40"/>
  <c r="J41" i="40"/>
  <c r="J38" i="39"/>
  <c r="H38" i="39"/>
  <c r="K38" i="39"/>
  <c r="G38" i="39"/>
  <c r="D41" i="40"/>
  <c r="E41" i="40"/>
  <c r="F38" i="39"/>
  <c r="I38" i="39"/>
  <c r="E38" i="39"/>
  <c r="I41" i="40"/>
  <c r="K41" i="40"/>
  <c r="H41" i="40"/>
  <c r="F41" i="40"/>
  <c r="P10" i="35"/>
  <c r="O10" i="49"/>
  <c r="N13" i="49"/>
  <c r="I11" i="40" s="1"/>
  <c r="I84" i="40" s="1"/>
  <c r="I86" i="40" s="1"/>
  <c r="O13" i="49" l="1"/>
  <c r="J11" i="40" s="1"/>
  <c r="J84" i="40" s="1"/>
  <c r="J86" i="40" s="1"/>
  <c r="P10" i="49"/>
  <c r="D44" i="32"/>
  <c r="D36" i="32"/>
  <c r="P13" i="49" l="1"/>
  <c r="K11" i="40" s="1"/>
  <c r="K84" i="40" s="1"/>
  <c r="K86" i="40" s="1"/>
  <c r="D30" i="32"/>
  <c r="D31" i="32" s="1"/>
  <c r="I18" i="32"/>
  <c r="J18" i="32" s="1"/>
  <c r="K18" i="32" s="1"/>
  <c r="L18" i="32" s="1"/>
  <c r="M18" i="32" s="1"/>
  <c r="N18" i="32" s="1"/>
  <c r="O18" i="32" s="1"/>
  <c r="P18" i="32" s="1"/>
  <c r="J36" i="32" l="1"/>
  <c r="N36" i="32"/>
  <c r="H36" i="32"/>
  <c r="P36" i="32"/>
  <c r="I36" i="32"/>
  <c r="K36" i="32"/>
  <c r="O36" i="32"/>
  <c r="L36" i="32"/>
  <c r="M36" i="32"/>
  <c r="F78" i="30"/>
  <c r="G78" i="30"/>
  <c r="H78" i="30"/>
  <c r="I78" i="30"/>
  <c r="J78" i="30"/>
  <c r="K78" i="30"/>
  <c r="E78" i="30"/>
  <c r="D78" i="30"/>
  <c r="F92" i="30"/>
  <c r="G92" i="30"/>
  <c r="H92" i="30"/>
  <c r="I92" i="30"/>
  <c r="J92" i="30"/>
  <c r="K92" i="30"/>
  <c r="E92" i="30"/>
  <c r="D74" i="30"/>
  <c r="E74" i="30" s="1"/>
  <c r="E73" i="30" s="1"/>
  <c r="C14" i="30"/>
  <c r="D73" i="30" l="1"/>
  <c r="H74" i="30"/>
  <c r="H73" i="30" s="1"/>
  <c r="F74" i="30"/>
  <c r="F73" i="30" s="1"/>
  <c r="E99" i="30"/>
  <c r="F99" i="30"/>
  <c r="G99" i="30"/>
  <c r="H99" i="30"/>
  <c r="I99" i="30"/>
  <c r="J99" i="30"/>
  <c r="K99" i="30"/>
  <c r="D99" i="30"/>
  <c r="D92" i="30"/>
  <c r="D88" i="30"/>
  <c r="E88" i="30" s="1"/>
  <c r="E87" i="30" s="1"/>
  <c r="G113" i="30" l="1"/>
  <c r="G127" i="30" s="1"/>
  <c r="G100" i="30"/>
  <c r="F113" i="30"/>
  <c r="F100" i="30"/>
  <c r="D113" i="30"/>
  <c r="D127" i="30" s="1"/>
  <c r="D100" i="30"/>
  <c r="H113" i="30"/>
  <c r="H127" i="30" s="1"/>
  <c r="H100" i="30"/>
  <c r="K113" i="30"/>
  <c r="K114" i="30" s="1"/>
  <c r="K100" i="30"/>
  <c r="J113" i="30"/>
  <c r="J127" i="30" s="1"/>
  <c r="J100" i="30"/>
  <c r="I113" i="30"/>
  <c r="I127" i="30" s="1"/>
  <c r="I100" i="30"/>
  <c r="E113" i="30"/>
  <c r="E127" i="30" s="1"/>
  <c r="E100" i="30"/>
  <c r="F127" i="30"/>
  <c r="F114" i="30"/>
  <c r="H47" i="32"/>
  <c r="G74" i="30"/>
  <c r="G73" i="30" s="1"/>
  <c r="I74" i="30"/>
  <c r="I73" i="30" s="1"/>
  <c r="D87" i="30"/>
  <c r="F88" i="30"/>
  <c r="F87" i="30" s="1"/>
  <c r="H88" i="30"/>
  <c r="H87" i="30" s="1"/>
  <c r="D24" i="30"/>
  <c r="C24" i="30" s="1"/>
  <c r="D23" i="30"/>
  <c r="D14" i="30"/>
  <c r="D114" i="30" l="1"/>
  <c r="K127" i="30"/>
  <c r="K141" i="30" s="1"/>
  <c r="K142" i="30" s="1"/>
  <c r="I114" i="30"/>
  <c r="G114" i="30"/>
  <c r="J114" i="30"/>
  <c r="H114" i="30"/>
  <c r="E114" i="30"/>
  <c r="D141" i="30"/>
  <c r="D142" i="30" s="1"/>
  <c r="D128" i="30"/>
  <c r="F141" i="30"/>
  <c r="F142" i="30" s="1"/>
  <c r="F128" i="30"/>
  <c r="I141" i="30"/>
  <c r="I142" i="30" s="1"/>
  <c r="I128" i="30"/>
  <c r="J141" i="30"/>
  <c r="J142" i="30" s="1"/>
  <c r="J128" i="30"/>
  <c r="G141" i="30"/>
  <c r="G142" i="30" s="1"/>
  <c r="G128" i="30"/>
  <c r="H141" i="30"/>
  <c r="H142" i="30" s="1"/>
  <c r="H128" i="30"/>
  <c r="E141" i="30"/>
  <c r="E142" i="30" s="1"/>
  <c r="E128" i="30"/>
  <c r="D25" i="30"/>
  <c r="C23" i="30"/>
  <c r="C25" i="30" s="1"/>
  <c r="J74" i="30"/>
  <c r="J73" i="30" s="1"/>
  <c r="I88" i="30"/>
  <c r="I87" i="30" s="1"/>
  <c r="G88" i="30"/>
  <c r="G87" i="30" s="1"/>
  <c r="K128" i="30" l="1"/>
  <c r="C34" i="39"/>
  <c r="C33" i="40"/>
  <c r="K74" i="30"/>
  <c r="K73" i="30" s="1"/>
  <c r="J88" i="30"/>
  <c r="J87" i="30" s="1"/>
  <c r="K88" i="30" l="1"/>
  <c r="K87" i="30" s="1"/>
  <c r="N66" i="52" l="1"/>
  <c r="P66" i="52"/>
  <c r="O66" i="52"/>
  <c r="M66" i="52"/>
  <c r="L66" i="52"/>
  <c r="K66" i="52"/>
  <c r="J66" i="52"/>
  <c r="I66" i="52"/>
  <c r="H66" i="52"/>
  <c r="J66" i="50"/>
  <c r="N66" i="51"/>
  <c r="N66" i="50"/>
  <c r="P66" i="51"/>
  <c r="O66" i="51"/>
  <c r="P66" i="50"/>
  <c r="O66" i="50"/>
  <c r="M66" i="51"/>
  <c r="L66" i="51"/>
  <c r="K66" i="51"/>
  <c r="M66" i="50"/>
  <c r="L66" i="50"/>
  <c r="K66" i="50"/>
  <c r="I66" i="51"/>
  <c r="H66" i="51"/>
  <c r="J66" i="51"/>
  <c r="I66" i="50"/>
  <c r="H66" i="50"/>
  <c r="N66" i="49"/>
  <c r="L66" i="49"/>
  <c r="K66" i="49"/>
  <c r="I66" i="49"/>
  <c r="P66" i="49"/>
  <c r="M66" i="49"/>
  <c r="J66" i="49"/>
  <c r="O66" i="49"/>
  <c r="H66" i="49"/>
  <c r="I58" i="37"/>
  <c r="O58" i="37"/>
  <c r="M59" i="38"/>
  <c r="N59" i="38"/>
  <c r="J58" i="36"/>
  <c r="H58" i="35"/>
  <c r="P58" i="37"/>
  <c r="K58" i="37"/>
  <c r="J58" i="37"/>
  <c r="I59" i="38"/>
  <c r="P59" i="38"/>
  <c r="J59" i="38"/>
  <c r="O58" i="36"/>
  <c r="L58" i="36"/>
  <c r="N58" i="36"/>
  <c r="J58" i="35"/>
  <c r="K58" i="35"/>
  <c r="L58" i="37"/>
  <c r="N58" i="37"/>
  <c r="L59" i="38"/>
  <c r="O59" i="38"/>
  <c r="M58" i="36"/>
  <c r="K58" i="36"/>
  <c r="P58" i="36"/>
  <c r="N58" i="35"/>
  <c r="O58" i="35"/>
  <c r="L58" i="35"/>
  <c r="I58" i="35"/>
  <c r="M58" i="37"/>
  <c r="H58" i="37"/>
  <c r="H59" i="38"/>
  <c r="K59" i="38"/>
  <c r="I58" i="36"/>
  <c r="H58" i="36"/>
  <c r="P58" i="35"/>
  <c r="M58" i="35"/>
  <c r="N50" i="53"/>
  <c r="J50" i="53"/>
  <c r="P50" i="53"/>
  <c r="L50" i="53"/>
  <c r="H50" i="53"/>
  <c r="M50" i="53"/>
  <c r="O50" i="53"/>
  <c r="K50" i="53"/>
  <c r="I50" i="53"/>
  <c r="I70" i="52"/>
  <c r="L70" i="52"/>
  <c r="O70" i="52"/>
  <c r="N70" i="52"/>
  <c r="H70" i="52"/>
  <c r="K70" i="52"/>
  <c r="J70" i="52"/>
  <c r="M70" i="52"/>
  <c r="P70" i="52"/>
  <c r="M70" i="51"/>
  <c r="L70" i="50"/>
  <c r="O70" i="50"/>
  <c r="N70" i="50"/>
  <c r="P70" i="51"/>
  <c r="I70" i="51"/>
  <c r="H70" i="50"/>
  <c r="K70" i="50"/>
  <c r="J70" i="50"/>
  <c r="M70" i="50"/>
  <c r="L70" i="51"/>
  <c r="O70" i="51"/>
  <c r="N70" i="51"/>
  <c r="I70" i="50"/>
  <c r="H70" i="51"/>
  <c r="K70" i="51"/>
  <c r="J70" i="51"/>
  <c r="P70" i="50"/>
  <c r="N70" i="49"/>
  <c r="J70" i="49"/>
  <c r="N63" i="38"/>
  <c r="J63" i="38"/>
  <c r="M62" i="37"/>
  <c r="I62" i="37"/>
  <c r="P62" i="36"/>
  <c r="L62" i="36"/>
  <c r="H62" i="36"/>
  <c r="J62" i="35"/>
  <c r="N62" i="35"/>
  <c r="M70" i="49"/>
  <c r="I70" i="49"/>
  <c r="M63" i="38"/>
  <c r="I63" i="38"/>
  <c r="P62" i="37"/>
  <c r="L62" i="37"/>
  <c r="H62" i="37"/>
  <c r="O62" i="36"/>
  <c r="K62" i="36"/>
  <c r="K62" i="35"/>
  <c r="O62" i="35"/>
  <c r="P70" i="49"/>
  <c r="L70" i="49"/>
  <c r="H70" i="49"/>
  <c r="P63" i="38"/>
  <c r="L63" i="38"/>
  <c r="H63" i="38"/>
  <c r="O62" i="37"/>
  <c r="K62" i="37"/>
  <c r="N62" i="36"/>
  <c r="J62" i="36"/>
  <c r="L62" i="35"/>
  <c r="P62" i="35"/>
  <c r="O70" i="49"/>
  <c r="K70" i="49"/>
  <c r="O63" i="38"/>
  <c r="K63" i="38"/>
  <c r="N62" i="37"/>
  <c r="J62" i="37"/>
  <c r="M62" i="36"/>
  <c r="I62" i="36"/>
  <c r="I62" i="35"/>
  <c r="M62" i="35"/>
  <c r="H62" i="35"/>
  <c r="M45" i="53"/>
  <c r="K45" i="53"/>
  <c r="L45" i="53"/>
  <c r="I46" i="53"/>
  <c r="I45" i="53"/>
  <c r="J46" i="53"/>
  <c r="H46" i="53"/>
  <c r="P45" i="53"/>
  <c r="N45" i="53"/>
  <c r="P46" i="53"/>
  <c r="H45" i="53"/>
  <c r="K46" i="53"/>
  <c r="J45" i="53"/>
  <c r="O46" i="53"/>
  <c r="M46" i="53"/>
  <c r="P64" i="52"/>
  <c r="L63" i="52"/>
  <c r="N61" i="52"/>
  <c r="K63" i="52"/>
  <c r="M61" i="52"/>
  <c r="J63" i="52"/>
  <c r="L61" i="52"/>
  <c r="O61" i="52"/>
  <c r="P63" i="52"/>
  <c r="O63" i="52"/>
  <c r="N46" i="53"/>
  <c r="L46" i="53"/>
  <c r="N62" i="52"/>
  <c r="O64" i="52"/>
  <c r="H63" i="52"/>
  <c r="J61" i="52"/>
  <c r="N64" i="52"/>
  <c r="P62" i="52"/>
  <c r="I61" i="52"/>
  <c r="M64" i="52"/>
  <c r="O62" i="52"/>
  <c r="H61" i="52"/>
  <c r="M63" i="52"/>
  <c r="I63" i="52"/>
  <c r="H62" i="52"/>
  <c r="P61" i="52"/>
  <c r="O45" i="53"/>
  <c r="L64" i="52"/>
  <c r="K61" i="52"/>
  <c r="K64" i="52"/>
  <c r="M62" i="52"/>
  <c r="J64" i="52"/>
  <c r="L62" i="52"/>
  <c r="I64" i="52"/>
  <c r="K62" i="52"/>
  <c r="J62" i="52"/>
  <c r="I62" i="52"/>
  <c r="N63" i="52"/>
  <c r="H64" i="52"/>
  <c r="P63" i="51"/>
  <c r="I62" i="51"/>
  <c r="O63" i="51"/>
  <c r="H62" i="51"/>
  <c r="N63" i="51"/>
  <c r="P61" i="51"/>
  <c r="N62" i="51"/>
  <c r="J62" i="51"/>
  <c r="P63" i="50"/>
  <c r="I62" i="50"/>
  <c r="O63" i="50"/>
  <c r="H62" i="50"/>
  <c r="N63" i="50"/>
  <c r="P61" i="50"/>
  <c r="I63" i="50"/>
  <c r="L63" i="51"/>
  <c r="N61" i="51"/>
  <c r="K63" i="51"/>
  <c r="M61" i="51"/>
  <c r="J63" i="51"/>
  <c r="L61" i="51"/>
  <c r="K61" i="51"/>
  <c r="O61" i="51"/>
  <c r="H64" i="51"/>
  <c r="N62" i="50"/>
  <c r="L63" i="50"/>
  <c r="N61" i="50"/>
  <c r="K63" i="50"/>
  <c r="M61" i="50"/>
  <c r="J63" i="50"/>
  <c r="L61" i="50"/>
  <c r="K61" i="50"/>
  <c r="M63" i="50"/>
  <c r="O64" i="51"/>
  <c r="H63" i="51"/>
  <c r="J61" i="51"/>
  <c r="N64" i="51"/>
  <c r="P62" i="51"/>
  <c r="I61" i="51"/>
  <c r="M64" i="51"/>
  <c r="O62" i="51"/>
  <c r="H61" i="51"/>
  <c r="I63" i="51"/>
  <c r="M63" i="51"/>
  <c r="O61" i="50"/>
  <c r="J62" i="50"/>
  <c r="L64" i="50"/>
  <c r="O64" i="50"/>
  <c r="H63" i="50"/>
  <c r="J61" i="50"/>
  <c r="N64" i="50"/>
  <c r="P62" i="50"/>
  <c r="I61" i="50"/>
  <c r="M64" i="50"/>
  <c r="O62" i="50"/>
  <c r="H61" i="50"/>
  <c r="K64" i="51"/>
  <c r="M62" i="51"/>
  <c r="J64" i="51"/>
  <c r="L62" i="51"/>
  <c r="I64" i="51"/>
  <c r="K62" i="51"/>
  <c r="P64" i="51"/>
  <c r="L64" i="51"/>
  <c r="H64" i="50"/>
  <c r="K64" i="50"/>
  <c r="M62" i="50"/>
  <c r="J64" i="50"/>
  <c r="L62" i="50"/>
  <c r="I64" i="50"/>
  <c r="K62" i="50"/>
  <c r="P64" i="50"/>
  <c r="M64" i="49"/>
  <c r="K62" i="49"/>
  <c r="I63" i="49"/>
  <c r="P62" i="49"/>
  <c r="N63" i="49"/>
  <c r="L64" i="49"/>
  <c r="H61" i="49"/>
  <c r="M61" i="49"/>
  <c r="H64" i="49"/>
  <c r="O62" i="49"/>
  <c r="O63" i="49"/>
  <c r="M63" i="49"/>
  <c r="K63" i="49"/>
  <c r="K64" i="49"/>
  <c r="I62" i="49"/>
  <c r="P64" i="49"/>
  <c r="I61" i="49"/>
  <c r="K61" i="49"/>
  <c r="L63" i="49"/>
  <c r="J64" i="49"/>
  <c r="H63" i="49"/>
  <c r="N62" i="49"/>
  <c r="O64" i="49"/>
  <c r="M62" i="49"/>
  <c r="J62" i="49"/>
  <c r="P61" i="49"/>
  <c r="J61" i="49"/>
  <c r="I64" i="49"/>
  <c r="P63" i="49"/>
  <c r="N64" i="49"/>
  <c r="L62" i="49"/>
  <c r="J63" i="49"/>
  <c r="E50" i="40" s="1"/>
  <c r="H62" i="49"/>
  <c r="C49" i="40" s="1"/>
  <c r="N61" i="49"/>
  <c r="O61" i="49"/>
  <c r="L61" i="49"/>
  <c r="M57" i="35"/>
  <c r="K57" i="35"/>
  <c r="K56" i="37"/>
  <c r="M57" i="37"/>
  <c r="H57" i="37"/>
  <c r="O57" i="37"/>
  <c r="O57" i="38"/>
  <c r="M58" i="38"/>
  <c r="P58" i="38"/>
  <c r="I57" i="38"/>
  <c r="H57" i="38"/>
  <c r="P57" i="38"/>
  <c r="N57" i="36"/>
  <c r="L57" i="36"/>
  <c r="H56" i="36"/>
  <c r="I57" i="36"/>
  <c r="N56" i="36"/>
  <c r="J56" i="35"/>
  <c r="L56" i="35"/>
  <c r="H57" i="35"/>
  <c r="O57" i="35"/>
  <c r="N57" i="37"/>
  <c r="I57" i="37"/>
  <c r="M56" i="37"/>
  <c r="K57" i="38"/>
  <c r="I58" i="38"/>
  <c r="L58" i="38"/>
  <c r="J57" i="36"/>
  <c r="H57" i="36"/>
  <c r="K57" i="36"/>
  <c r="J56" i="36"/>
  <c r="I56" i="35"/>
  <c r="N56" i="35"/>
  <c r="P56" i="35"/>
  <c r="J57" i="35"/>
  <c r="L57" i="35"/>
  <c r="J57" i="37"/>
  <c r="N56" i="37"/>
  <c r="P57" i="37"/>
  <c r="I56" i="37"/>
  <c r="K57" i="37"/>
  <c r="H56" i="37"/>
  <c r="N58" i="38"/>
  <c r="N57" i="38"/>
  <c r="H58" i="38"/>
  <c r="L57" i="38"/>
  <c r="K58" i="38"/>
  <c r="O56" i="36"/>
  <c r="M56" i="36"/>
  <c r="L56" i="36"/>
  <c r="M57" i="36"/>
  <c r="P56" i="36"/>
  <c r="M56" i="35"/>
  <c r="K56" i="35"/>
  <c r="I57" i="35"/>
  <c r="N57" i="35"/>
  <c r="P57" i="35"/>
  <c r="O56" i="37"/>
  <c r="J56" i="37"/>
  <c r="L57" i="37"/>
  <c r="P56" i="37"/>
  <c r="L56" i="37"/>
  <c r="J58" i="38"/>
  <c r="J57" i="38"/>
  <c r="M57" i="38"/>
  <c r="O58" i="38"/>
  <c r="K56" i="36"/>
  <c r="P57" i="36"/>
  <c r="I56" i="36"/>
  <c r="O57" i="36"/>
  <c r="H56" i="35"/>
  <c r="O56" i="35"/>
  <c r="J51" i="32"/>
  <c r="J80" i="32" s="1"/>
  <c r="M51" i="32"/>
  <c r="M80" i="32" s="1"/>
  <c r="N51" i="32"/>
  <c r="N80" i="32" s="1"/>
  <c r="I51" i="32"/>
  <c r="I80" i="32" s="1"/>
  <c r="K51" i="32"/>
  <c r="K80" i="32" s="1"/>
  <c r="P51" i="32"/>
  <c r="P80" i="32" s="1"/>
  <c r="O51" i="32"/>
  <c r="O80" i="32" s="1"/>
  <c r="L51" i="32"/>
  <c r="L80" i="32" s="1"/>
  <c r="H51" i="32"/>
  <c r="H80" i="32" s="1"/>
  <c r="K47" i="53"/>
  <c r="N47" i="53"/>
  <c r="P47" i="53"/>
  <c r="O47" i="53"/>
  <c r="J47" i="53"/>
  <c r="L47" i="53"/>
  <c r="I47" i="53"/>
  <c r="M47" i="53"/>
  <c r="H47" i="53"/>
  <c r="H67" i="52"/>
  <c r="J67" i="52"/>
  <c r="M67" i="52"/>
  <c r="K67" i="52"/>
  <c r="I67" i="52"/>
  <c r="P67" i="52"/>
  <c r="O67" i="52"/>
  <c r="N67" i="52"/>
  <c r="L67" i="52"/>
  <c r="L67" i="51"/>
  <c r="K67" i="51"/>
  <c r="J67" i="51"/>
  <c r="I67" i="51"/>
  <c r="L67" i="50"/>
  <c r="K67" i="50"/>
  <c r="J67" i="50"/>
  <c r="H67" i="51"/>
  <c r="M67" i="50"/>
  <c r="H67" i="50"/>
  <c r="I67" i="50"/>
  <c r="P67" i="51"/>
  <c r="O67" i="51"/>
  <c r="N67" i="51"/>
  <c r="M67" i="51"/>
  <c r="P67" i="50"/>
  <c r="O67" i="50"/>
  <c r="N67" i="50"/>
  <c r="K67" i="49"/>
  <c r="L67" i="49"/>
  <c r="M67" i="49"/>
  <c r="O67" i="49"/>
  <c r="I67" i="49"/>
  <c r="P67" i="49"/>
  <c r="N67" i="49"/>
  <c r="H67" i="49"/>
  <c r="J67" i="49"/>
  <c r="P59" i="37"/>
  <c r="K59" i="37"/>
  <c r="K60" i="38"/>
  <c r="N60" i="38"/>
  <c r="L59" i="36"/>
  <c r="J59" i="36"/>
  <c r="O59" i="35"/>
  <c r="P59" i="35"/>
  <c r="M59" i="35"/>
  <c r="J59" i="35"/>
  <c r="L59" i="37"/>
  <c r="I59" i="37"/>
  <c r="M59" i="37"/>
  <c r="P60" i="38"/>
  <c r="J60" i="38"/>
  <c r="I60" i="38"/>
  <c r="H59" i="36"/>
  <c r="O59" i="36"/>
  <c r="H59" i="35"/>
  <c r="N59" i="35"/>
  <c r="H59" i="37"/>
  <c r="N59" i="37"/>
  <c r="L60" i="38"/>
  <c r="M60" i="38"/>
  <c r="M59" i="36"/>
  <c r="O59" i="37"/>
  <c r="J59" i="37"/>
  <c r="H60" i="38"/>
  <c r="O60" i="38"/>
  <c r="P59" i="36"/>
  <c r="N59" i="36"/>
  <c r="I59" i="36"/>
  <c r="K59" i="36"/>
  <c r="K59" i="35"/>
  <c r="L59" i="35"/>
  <c r="I59" i="35"/>
  <c r="N53" i="32"/>
  <c r="L53" i="32"/>
  <c r="O53" i="32"/>
  <c r="M52" i="32"/>
  <c r="J52" i="32"/>
  <c r="P53" i="32"/>
  <c r="H53" i="32"/>
  <c r="N52" i="32"/>
  <c r="K52" i="32"/>
  <c r="H52" i="32"/>
  <c r="I52" i="32"/>
  <c r="L52" i="32"/>
  <c r="O52" i="32"/>
  <c r="I53" i="32"/>
  <c r="J53" i="32"/>
  <c r="P52" i="32"/>
  <c r="K53" i="32"/>
  <c r="M53" i="32"/>
  <c r="O49" i="53"/>
  <c r="K49" i="53"/>
  <c r="P48" i="53"/>
  <c r="L48" i="53"/>
  <c r="H48" i="53"/>
  <c r="M49" i="53"/>
  <c r="I49" i="53"/>
  <c r="N48" i="53"/>
  <c r="J48" i="53"/>
  <c r="N49" i="53"/>
  <c r="J49" i="53"/>
  <c r="K48" i="53"/>
  <c r="P49" i="53"/>
  <c r="L49" i="53"/>
  <c r="H49" i="53"/>
  <c r="M48" i="53"/>
  <c r="I48" i="53"/>
  <c r="O48" i="53"/>
  <c r="O68" i="52"/>
  <c r="N68" i="52"/>
  <c r="H69" i="52"/>
  <c r="H68" i="52"/>
  <c r="P68" i="52"/>
  <c r="J69" i="52"/>
  <c r="K68" i="52"/>
  <c r="J68" i="52"/>
  <c r="M68" i="52"/>
  <c r="O69" i="52"/>
  <c r="L68" i="52"/>
  <c r="L69" i="52"/>
  <c r="K69" i="52"/>
  <c r="N69" i="52"/>
  <c r="M69" i="52"/>
  <c r="P69" i="52"/>
  <c r="I68" i="52"/>
  <c r="I69" i="52"/>
  <c r="N69" i="51"/>
  <c r="M69" i="51"/>
  <c r="P69" i="51"/>
  <c r="I68" i="51"/>
  <c r="K69" i="51"/>
  <c r="O68" i="50"/>
  <c r="N68" i="50"/>
  <c r="H69" i="50"/>
  <c r="O69" i="50"/>
  <c r="O69" i="51"/>
  <c r="J69" i="51"/>
  <c r="I69" i="51"/>
  <c r="L69" i="51"/>
  <c r="L68" i="51"/>
  <c r="P68" i="51"/>
  <c r="K68" i="50"/>
  <c r="J68" i="50"/>
  <c r="M68" i="50"/>
  <c r="L68" i="50"/>
  <c r="H68" i="51"/>
  <c r="O68" i="51"/>
  <c r="N68" i="51"/>
  <c r="H69" i="51"/>
  <c r="K69" i="50"/>
  <c r="N69" i="50"/>
  <c r="M69" i="50"/>
  <c r="P69" i="50"/>
  <c r="I68" i="50"/>
  <c r="K68" i="51"/>
  <c r="J68" i="51"/>
  <c r="M68" i="51"/>
  <c r="P68" i="50"/>
  <c r="J69" i="50"/>
  <c r="I69" i="50"/>
  <c r="L69" i="50"/>
  <c r="H68" i="50"/>
  <c r="O69" i="49"/>
  <c r="K69" i="49"/>
  <c r="P68" i="49"/>
  <c r="L68" i="49"/>
  <c r="H68" i="49"/>
  <c r="O62" i="38"/>
  <c r="K62" i="38"/>
  <c r="P61" i="38"/>
  <c r="L61" i="38"/>
  <c r="H61" i="38"/>
  <c r="N61" i="37"/>
  <c r="J61" i="37"/>
  <c r="O60" i="37"/>
  <c r="K60" i="37"/>
  <c r="M61" i="36"/>
  <c r="I61" i="36"/>
  <c r="N60" i="36"/>
  <c r="J60" i="36"/>
  <c r="I61" i="35"/>
  <c r="M61" i="35"/>
  <c r="H61" i="35"/>
  <c r="L60" i="35"/>
  <c r="P60" i="35"/>
  <c r="N69" i="49"/>
  <c r="J69" i="49"/>
  <c r="O68" i="49"/>
  <c r="K68" i="49"/>
  <c r="N62" i="38"/>
  <c r="J62" i="38"/>
  <c r="O61" i="38"/>
  <c r="K61" i="38"/>
  <c r="M61" i="37"/>
  <c r="I61" i="37"/>
  <c r="N60" i="37"/>
  <c r="J60" i="37"/>
  <c r="P61" i="36"/>
  <c r="L61" i="36"/>
  <c r="H61" i="36"/>
  <c r="M60" i="36"/>
  <c r="I60" i="36"/>
  <c r="J61" i="35"/>
  <c r="N61" i="35"/>
  <c r="I60" i="35"/>
  <c r="M60" i="35"/>
  <c r="H60" i="35"/>
  <c r="M69" i="49"/>
  <c r="I69" i="49"/>
  <c r="N68" i="49"/>
  <c r="J68" i="49"/>
  <c r="M62" i="38"/>
  <c r="I62" i="38"/>
  <c r="N61" i="38"/>
  <c r="J61" i="38"/>
  <c r="P61" i="37"/>
  <c r="L61" i="37"/>
  <c r="H61" i="37"/>
  <c r="M60" i="37"/>
  <c r="I60" i="37"/>
  <c r="O61" i="36"/>
  <c r="K61" i="36"/>
  <c r="P60" i="36"/>
  <c r="L60" i="36"/>
  <c r="H60" i="36"/>
  <c r="K61" i="35"/>
  <c r="O61" i="35"/>
  <c r="J60" i="35"/>
  <c r="N60" i="35"/>
  <c r="P69" i="49"/>
  <c r="K56" i="40" s="1"/>
  <c r="L69" i="49"/>
  <c r="H69" i="49"/>
  <c r="M68" i="49"/>
  <c r="I68" i="49"/>
  <c r="P62" i="38"/>
  <c r="L62" i="38"/>
  <c r="H62" i="38"/>
  <c r="M61" i="38"/>
  <c r="I61" i="38"/>
  <c r="O61" i="37"/>
  <c r="K61" i="37"/>
  <c r="P60" i="37"/>
  <c r="L60" i="37"/>
  <c r="H60" i="37"/>
  <c r="N61" i="36"/>
  <c r="J61" i="36"/>
  <c r="O60" i="36"/>
  <c r="K60" i="36"/>
  <c r="L61" i="35"/>
  <c r="P61" i="35"/>
  <c r="K60" i="35"/>
  <c r="O60" i="35"/>
  <c r="K50" i="40" l="1"/>
  <c r="K51" i="40"/>
  <c r="J56" i="40"/>
  <c r="G53" i="40"/>
  <c r="F50" i="40"/>
  <c r="H51" i="40"/>
  <c r="D55" i="40"/>
  <c r="I55" i="40"/>
  <c r="J46" i="39"/>
  <c r="C48" i="39"/>
  <c r="C51" i="40"/>
  <c r="D47" i="39"/>
  <c r="E49" i="39"/>
  <c r="C55" i="40"/>
  <c r="C54" i="40"/>
  <c r="I50" i="40"/>
  <c r="K53" i="40"/>
  <c r="F48" i="39"/>
  <c r="J49" i="39"/>
  <c r="D49" i="40"/>
  <c r="D54" i="40"/>
  <c r="E55" i="40"/>
  <c r="E56" i="40"/>
  <c r="C47" i="39"/>
  <c r="J47" i="39"/>
  <c r="J54" i="40"/>
  <c r="E46" i="39"/>
  <c r="I53" i="40"/>
  <c r="J50" i="40"/>
  <c r="C57" i="40"/>
  <c r="G56" i="40"/>
  <c r="C49" i="39"/>
  <c r="K45" i="39"/>
  <c r="F57" i="40"/>
  <c r="H46" i="39"/>
  <c r="C53" i="40"/>
  <c r="H55" i="40"/>
  <c r="D56" i="40"/>
  <c r="J51" i="40"/>
  <c r="G50" i="40"/>
  <c r="F53" i="40"/>
  <c r="E54" i="40"/>
  <c r="C50" i="39"/>
  <c r="G50" i="39"/>
  <c r="H50" i="39"/>
  <c r="G47" i="39"/>
  <c r="F47" i="39"/>
  <c r="E53" i="40"/>
  <c r="E49" i="40"/>
  <c r="C50" i="40"/>
  <c r="K54" i="40"/>
  <c r="K49" i="40"/>
  <c r="H49" i="40"/>
  <c r="F49" i="40"/>
  <c r="H57" i="40"/>
  <c r="I46" i="39"/>
  <c r="D45" i="39"/>
  <c r="I45" i="39"/>
  <c r="H54" i="40"/>
  <c r="D51" i="40"/>
  <c r="E51" i="40"/>
  <c r="H50" i="40"/>
  <c r="J57" i="40"/>
  <c r="J53" i="40"/>
  <c r="D53" i="40"/>
  <c r="K55" i="40"/>
  <c r="G54" i="40"/>
  <c r="G49" i="40"/>
  <c r="D50" i="40"/>
  <c r="I51" i="40"/>
  <c r="I49" i="40"/>
  <c r="F51" i="40"/>
  <c r="J49" i="40"/>
  <c r="G51" i="40"/>
  <c r="H53" i="40"/>
  <c r="E57" i="40"/>
  <c r="G57" i="40"/>
  <c r="I57" i="40"/>
  <c r="K57" i="40"/>
  <c r="D57" i="40"/>
  <c r="K50" i="39"/>
  <c r="I63" i="36"/>
  <c r="I73" i="36" s="1"/>
  <c r="M64" i="38"/>
  <c r="M74" i="38" s="1"/>
  <c r="P63" i="37"/>
  <c r="P73" i="37" s="1"/>
  <c r="H44" i="39"/>
  <c r="M63" i="35"/>
  <c r="M63" i="36"/>
  <c r="M73" i="36" s="1"/>
  <c r="I44" i="39"/>
  <c r="N63" i="35"/>
  <c r="K64" i="38"/>
  <c r="K74" i="38" s="1"/>
  <c r="J45" i="39"/>
  <c r="N63" i="36"/>
  <c r="N73" i="36" s="1"/>
  <c r="H45" i="39"/>
  <c r="D48" i="40"/>
  <c r="H51" i="53"/>
  <c r="H61" i="53" s="1"/>
  <c r="H63" i="53" s="1"/>
  <c r="L51" i="53"/>
  <c r="L61" i="53" s="1"/>
  <c r="D46" i="39"/>
  <c r="N65" i="49"/>
  <c r="N71" i="49" s="1"/>
  <c r="N81" i="49" s="1"/>
  <c r="J65" i="52"/>
  <c r="J71" i="52" s="1"/>
  <c r="J81" i="52" s="1"/>
  <c r="J83" i="52" s="1"/>
  <c r="E75" i="40" s="1"/>
  <c r="L65" i="52"/>
  <c r="M65" i="52"/>
  <c r="M71" i="52" s="1"/>
  <c r="M81" i="52" s="1"/>
  <c r="M83" i="52" s="1"/>
  <c r="H75" i="40" s="1"/>
  <c r="O65" i="50"/>
  <c r="O71" i="50" s="1"/>
  <c r="O81" i="50" s="1"/>
  <c r="O83" i="50" s="1"/>
  <c r="J73" i="40" s="1"/>
  <c r="J65" i="51"/>
  <c r="J71" i="51" s="1"/>
  <c r="J81" i="51" s="1"/>
  <c r="J83" i="51" s="1"/>
  <c r="E74" i="40" s="1"/>
  <c r="J65" i="50"/>
  <c r="J71" i="50" s="1"/>
  <c r="J81" i="50" s="1"/>
  <c r="J83" i="50" s="1"/>
  <c r="E73" i="40" s="1"/>
  <c r="P65" i="51"/>
  <c r="P71" i="51" s="1"/>
  <c r="P81" i="51" s="1"/>
  <c r="P83" i="51" s="1"/>
  <c r="K74" i="40" s="1"/>
  <c r="J65" i="49"/>
  <c r="M65" i="49"/>
  <c r="M71" i="49" s="1"/>
  <c r="M81" i="49" s="1"/>
  <c r="I65" i="52"/>
  <c r="I71" i="52" s="1"/>
  <c r="I81" i="52" s="1"/>
  <c r="I83" i="52" s="1"/>
  <c r="D75" i="40" s="1"/>
  <c r="N65" i="52"/>
  <c r="N71" i="52" s="1"/>
  <c r="N81" i="52" s="1"/>
  <c r="N83" i="52" s="1"/>
  <c r="I75" i="40" s="1"/>
  <c r="N65" i="51"/>
  <c r="N71" i="51" s="1"/>
  <c r="N81" i="51" s="1"/>
  <c r="N83" i="51" s="1"/>
  <c r="I74" i="40" s="1"/>
  <c r="N65" i="50"/>
  <c r="I65" i="51"/>
  <c r="I71" i="51" s="1"/>
  <c r="I81" i="51" s="1"/>
  <c r="I83" i="51" s="1"/>
  <c r="D74" i="40" s="1"/>
  <c r="I65" i="50"/>
  <c r="I71" i="50" s="1"/>
  <c r="I81" i="50" s="1"/>
  <c r="I83" i="50" s="1"/>
  <c r="D73" i="40" s="1"/>
  <c r="K65" i="51"/>
  <c r="P65" i="49"/>
  <c r="P71" i="49" s="1"/>
  <c r="P81" i="49" s="1"/>
  <c r="L65" i="49"/>
  <c r="L71" i="49" s="1"/>
  <c r="L81" i="49" s="1"/>
  <c r="H65" i="52"/>
  <c r="H71" i="52" s="1"/>
  <c r="H81" i="52" s="1"/>
  <c r="H83" i="52" s="1"/>
  <c r="P65" i="52"/>
  <c r="M65" i="51"/>
  <c r="M71" i="51" s="1"/>
  <c r="M81" i="51" s="1"/>
  <c r="M83" i="51" s="1"/>
  <c r="H74" i="40" s="1"/>
  <c r="M65" i="50"/>
  <c r="M71" i="50" s="1"/>
  <c r="M81" i="50" s="1"/>
  <c r="M83" i="50" s="1"/>
  <c r="H73" i="40" s="1"/>
  <c r="H65" i="51"/>
  <c r="H71" i="51" s="1"/>
  <c r="H81" i="51" s="1"/>
  <c r="H83" i="51" s="1"/>
  <c r="H65" i="50"/>
  <c r="H71" i="50" s="1"/>
  <c r="H81" i="50" s="1"/>
  <c r="H83" i="50" s="1"/>
  <c r="P65" i="50"/>
  <c r="H65" i="49"/>
  <c r="H71" i="49" s="1"/>
  <c r="H81" i="49" s="1"/>
  <c r="I65" i="49"/>
  <c r="O65" i="52"/>
  <c r="O71" i="52" s="1"/>
  <c r="O81" i="52" s="1"/>
  <c r="O83" i="52" s="1"/>
  <c r="J75" i="40" s="1"/>
  <c r="K65" i="52"/>
  <c r="L65" i="51"/>
  <c r="L71" i="51" s="1"/>
  <c r="L81" i="51" s="1"/>
  <c r="L83" i="51" s="1"/>
  <c r="G74" i="40" s="1"/>
  <c r="L65" i="50"/>
  <c r="L71" i="50" s="1"/>
  <c r="L81" i="50" s="1"/>
  <c r="L83" i="50" s="1"/>
  <c r="G73" i="40" s="1"/>
  <c r="K65" i="50"/>
  <c r="K71" i="50" s="1"/>
  <c r="K81" i="50" s="1"/>
  <c r="K83" i="50" s="1"/>
  <c r="F73" i="40" s="1"/>
  <c r="O65" i="51"/>
  <c r="O71" i="51" s="1"/>
  <c r="O81" i="51" s="1"/>
  <c r="O83" i="51" s="1"/>
  <c r="J74" i="40" s="1"/>
  <c r="O65" i="49"/>
  <c r="O71" i="49" s="1"/>
  <c r="O81" i="49" s="1"/>
  <c r="K65" i="49"/>
  <c r="K71" i="49" s="1"/>
  <c r="K81" i="49" s="1"/>
  <c r="K49" i="39"/>
  <c r="F49" i="39"/>
  <c r="H48" i="39"/>
  <c r="I56" i="40"/>
  <c r="H49" i="39"/>
  <c r="G55" i="40"/>
  <c r="E47" i="39"/>
  <c r="I54" i="40"/>
  <c r="J44" i="39"/>
  <c r="J82" i="39" s="1"/>
  <c r="O63" i="35"/>
  <c r="J64" i="38"/>
  <c r="J74" i="38" s="1"/>
  <c r="P63" i="36"/>
  <c r="P73" i="36" s="1"/>
  <c r="O63" i="36"/>
  <c r="O73" i="36" s="1"/>
  <c r="N64" i="38"/>
  <c r="N74" i="38" s="1"/>
  <c r="I63" i="37"/>
  <c r="I73" i="37" s="1"/>
  <c r="G45" i="39"/>
  <c r="D44" i="39"/>
  <c r="I63" i="35"/>
  <c r="M63" i="37"/>
  <c r="M73" i="37" s="1"/>
  <c r="C45" i="39"/>
  <c r="P64" i="38"/>
  <c r="P74" i="38" s="1"/>
  <c r="G48" i="40"/>
  <c r="H48" i="40"/>
  <c r="H85" i="40" s="1"/>
  <c r="H87" i="40" s="1"/>
  <c r="O51" i="53"/>
  <c r="O61" i="53" s="1"/>
  <c r="N51" i="53"/>
  <c r="N61" i="53" s="1"/>
  <c r="L71" i="52"/>
  <c r="L81" i="52" s="1"/>
  <c r="L83" i="52" s="1"/>
  <c r="G75" i="40" s="1"/>
  <c r="K51" i="53"/>
  <c r="K61" i="53" s="1"/>
  <c r="D50" i="39"/>
  <c r="I50" i="39"/>
  <c r="K46" i="39"/>
  <c r="G46" i="39"/>
  <c r="I48" i="39"/>
  <c r="D48" i="39"/>
  <c r="F55" i="40"/>
  <c r="K48" i="39"/>
  <c r="D49" i="39"/>
  <c r="H47" i="39"/>
  <c r="C44" i="39"/>
  <c r="H63" i="35"/>
  <c r="K63" i="36"/>
  <c r="K73" i="36" s="1"/>
  <c r="J63" i="37"/>
  <c r="J73" i="37" s="1"/>
  <c r="E45" i="39"/>
  <c r="J63" i="36"/>
  <c r="J73" i="36" s="1"/>
  <c r="G44" i="39"/>
  <c r="L63" i="35"/>
  <c r="H63" i="36"/>
  <c r="H73" i="36" s="1"/>
  <c r="H64" i="38"/>
  <c r="H74" i="38" s="1"/>
  <c r="O64" i="38"/>
  <c r="O74" i="38" s="1"/>
  <c r="K63" i="37"/>
  <c r="K73" i="37" s="1"/>
  <c r="J48" i="40"/>
  <c r="E48" i="40"/>
  <c r="J71" i="49"/>
  <c r="J81" i="49" s="1"/>
  <c r="C48" i="40"/>
  <c r="N71" i="50"/>
  <c r="N81" i="50" s="1"/>
  <c r="N83" i="50" s="1"/>
  <c r="I73" i="40" s="1"/>
  <c r="P71" i="52"/>
  <c r="P81" i="52" s="1"/>
  <c r="P83" i="52" s="1"/>
  <c r="K75" i="40" s="1"/>
  <c r="J51" i="53"/>
  <c r="J61" i="53" s="1"/>
  <c r="J63" i="53" s="1"/>
  <c r="I51" i="53"/>
  <c r="I61" i="53" s="1"/>
  <c r="I63" i="53" s="1"/>
  <c r="M51" i="53"/>
  <c r="M61" i="53" s="1"/>
  <c r="J50" i="39"/>
  <c r="E50" i="39"/>
  <c r="C46" i="39"/>
  <c r="G49" i="39"/>
  <c r="J48" i="39"/>
  <c r="C56" i="40"/>
  <c r="E48" i="39"/>
  <c r="H56" i="40"/>
  <c r="I49" i="39"/>
  <c r="J55" i="40"/>
  <c r="G48" i="39"/>
  <c r="F56" i="40"/>
  <c r="I47" i="39"/>
  <c r="K47" i="39"/>
  <c r="F54" i="40"/>
  <c r="L63" i="37"/>
  <c r="L73" i="37" s="1"/>
  <c r="O63" i="37"/>
  <c r="O73" i="37" s="1"/>
  <c r="F44" i="39"/>
  <c r="K63" i="35"/>
  <c r="L63" i="36"/>
  <c r="L73" i="36" s="1"/>
  <c r="L64" i="38"/>
  <c r="L74" i="38" s="1"/>
  <c r="H63" i="37"/>
  <c r="H73" i="37" s="1"/>
  <c r="N63" i="37"/>
  <c r="N73" i="37" s="1"/>
  <c r="K44" i="39"/>
  <c r="P63" i="35"/>
  <c r="E44" i="39"/>
  <c r="J63" i="35"/>
  <c r="I64" i="38"/>
  <c r="I74" i="38" s="1"/>
  <c r="F45" i="39"/>
  <c r="I48" i="40"/>
  <c r="K48" i="40"/>
  <c r="K85" i="40" s="1"/>
  <c r="K87" i="40" s="1"/>
  <c r="F48" i="40"/>
  <c r="K71" i="51"/>
  <c r="K81" i="51" s="1"/>
  <c r="K83" i="51" s="1"/>
  <c r="F74" i="40" s="1"/>
  <c r="P71" i="50"/>
  <c r="P81" i="50" s="1"/>
  <c r="P83" i="50" s="1"/>
  <c r="K73" i="40" s="1"/>
  <c r="K71" i="52"/>
  <c r="K81" i="52" s="1"/>
  <c r="K83" i="52" s="1"/>
  <c r="F75" i="40" s="1"/>
  <c r="P51" i="53"/>
  <c r="P61" i="53" s="1"/>
  <c r="F50" i="39"/>
  <c r="F46" i="39"/>
  <c r="F82" i="39" l="1"/>
  <c r="D85" i="40"/>
  <c r="D87" i="40" s="1"/>
  <c r="G85" i="40"/>
  <c r="G87" i="40" s="1"/>
  <c r="E85" i="40"/>
  <c r="E87" i="40" s="1"/>
  <c r="C85" i="40"/>
  <c r="C87" i="40" s="1"/>
  <c r="I85" i="40"/>
  <c r="I87" i="40" s="1"/>
  <c r="J85" i="40"/>
  <c r="J87" i="40" s="1"/>
  <c r="F85" i="40"/>
  <c r="F87" i="40" s="1"/>
  <c r="D82" i="39"/>
  <c r="I82" i="39"/>
  <c r="C82" i="39"/>
  <c r="E82" i="39"/>
  <c r="G82" i="39"/>
  <c r="K82" i="39"/>
  <c r="H82" i="39"/>
  <c r="D52" i="40"/>
  <c r="D58" i="40" s="1"/>
  <c r="C75" i="40"/>
  <c r="H86" i="52"/>
  <c r="C74" i="40"/>
  <c r="H86" i="51"/>
  <c r="C73" i="40"/>
  <c r="H86" i="50"/>
  <c r="E52" i="40"/>
  <c r="E58" i="40" s="1"/>
  <c r="E51" i="39"/>
  <c r="F63" i="40"/>
  <c r="F65" i="40" s="1"/>
  <c r="K83" i="49"/>
  <c r="F72" i="40" s="1"/>
  <c r="I63" i="40"/>
  <c r="I65" i="40" s="1"/>
  <c r="N83" i="49"/>
  <c r="I72" i="40" s="1"/>
  <c r="G51" i="39"/>
  <c r="G63" i="40"/>
  <c r="G65" i="40" s="1"/>
  <c r="L83" i="49"/>
  <c r="G72" i="40" s="1"/>
  <c r="J52" i="40"/>
  <c r="J58" i="40" s="1"/>
  <c r="C52" i="40"/>
  <c r="C58" i="40" s="1"/>
  <c r="G52" i="40"/>
  <c r="G58" i="40" s="1"/>
  <c r="I51" i="39"/>
  <c r="F51" i="39"/>
  <c r="C63" i="40"/>
  <c r="C65" i="40" s="1"/>
  <c r="H83" i="49"/>
  <c r="J63" i="40"/>
  <c r="J65" i="40" s="1"/>
  <c r="O83" i="49"/>
  <c r="J72" i="40" s="1"/>
  <c r="H85" i="50"/>
  <c r="K52" i="40"/>
  <c r="K58" i="40" s="1"/>
  <c r="H52" i="40"/>
  <c r="H58" i="40" s="1"/>
  <c r="I71" i="49"/>
  <c r="I81" i="49" s="1"/>
  <c r="H85" i="51"/>
  <c r="K63" i="40"/>
  <c r="K65" i="40" s="1"/>
  <c r="P83" i="49"/>
  <c r="K72" i="40" s="1"/>
  <c r="H85" i="52"/>
  <c r="C51" i="39"/>
  <c r="H63" i="40"/>
  <c r="H65" i="40" s="1"/>
  <c r="M83" i="49"/>
  <c r="H72" i="40" s="1"/>
  <c r="D51" i="39"/>
  <c r="J51" i="39"/>
  <c r="I52" i="40"/>
  <c r="I58" i="40" s="1"/>
  <c r="K51" i="39"/>
  <c r="E63" i="40"/>
  <c r="E65" i="40" s="1"/>
  <c r="J83" i="49"/>
  <c r="E72" i="40" s="1"/>
  <c r="F52" i="40"/>
  <c r="F58" i="40" s="1"/>
  <c r="H51" i="39"/>
  <c r="C90" i="40" l="1"/>
  <c r="C89" i="40"/>
  <c r="C72" i="40"/>
  <c r="D63" i="40"/>
  <c r="D65" i="40" s="1"/>
  <c r="C67" i="40" s="1"/>
  <c r="I83" i="49"/>
  <c r="D72" i="40" s="1"/>
  <c r="M12" i="36"/>
  <c r="M68" i="36" s="1"/>
  <c r="M72" i="36" s="1"/>
  <c r="M74" i="36" s="1"/>
  <c r="M75" i="36" s="1"/>
  <c r="H68" i="39" s="1"/>
  <c r="C6" i="39"/>
  <c r="L12" i="37"/>
  <c r="L68" i="37" s="1"/>
  <c r="L72" i="37" s="1"/>
  <c r="P12" i="36"/>
  <c r="P68" i="36" s="1"/>
  <c r="P72" i="36" s="1"/>
  <c r="M12" i="35"/>
  <c r="M68" i="35" s="1"/>
  <c r="M12" i="37"/>
  <c r="M68" i="37" s="1"/>
  <c r="M72" i="37" s="1"/>
  <c r="M74" i="37" s="1"/>
  <c r="M75" i="37" s="1"/>
  <c r="H69" i="39" s="1"/>
  <c r="H12" i="36"/>
  <c r="O38" i="35"/>
  <c r="K37" i="35"/>
  <c r="H86" i="49" l="1"/>
  <c r="C68" i="40"/>
  <c r="H85" i="49"/>
  <c r="L74" i="37"/>
  <c r="L75" i="37" s="1"/>
  <c r="G69" i="39" s="1"/>
  <c r="P74" i="36"/>
  <c r="P75" i="36" s="1"/>
  <c r="K68" i="39" s="1"/>
  <c r="H13" i="36"/>
  <c r="H68" i="36"/>
  <c r="H72" i="36" s="1"/>
  <c r="I12" i="37"/>
  <c r="I68" i="37" s="1"/>
  <c r="I72" i="37" s="1"/>
  <c r="P12" i="37"/>
  <c r="P68" i="37" s="1"/>
  <c r="P72" i="37" s="1"/>
  <c r="P74" i="37" s="1"/>
  <c r="P75" i="37" s="1"/>
  <c r="K69" i="39" s="1"/>
  <c r="L12" i="36"/>
  <c r="L68" i="36" s="1"/>
  <c r="L72" i="36" s="1"/>
  <c r="K12" i="36"/>
  <c r="N12" i="37"/>
  <c r="N68" i="37" s="1"/>
  <c r="N72" i="37" s="1"/>
  <c r="N74" i="37" s="1"/>
  <c r="N75" i="37" s="1"/>
  <c r="I69" i="39" s="1"/>
  <c r="H12" i="37"/>
  <c r="O12" i="37"/>
  <c r="O68" i="37" s="1"/>
  <c r="O72" i="37" s="1"/>
  <c r="N38" i="35"/>
  <c r="I26" i="39" s="1"/>
  <c r="M38" i="35"/>
  <c r="J12" i="38"/>
  <c r="I38" i="35"/>
  <c r="K12" i="38"/>
  <c r="H12" i="38"/>
  <c r="N12" i="35"/>
  <c r="N68" i="35" s="1"/>
  <c r="H38" i="35"/>
  <c r="O12" i="35"/>
  <c r="O68" i="35" s="1"/>
  <c r="P38" i="35"/>
  <c r="K26" i="39" s="1"/>
  <c r="P12" i="35"/>
  <c r="P68" i="35" s="1"/>
  <c r="L38" i="35"/>
  <c r="H37" i="35"/>
  <c r="K38" i="35"/>
  <c r="P37" i="35"/>
  <c r="J38" i="35"/>
  <c r="O37" i="35"/>
  <c r="J25" i="39" s="1"/>
  <c r="N37" i="35"/>
  <c r="I12" i="35"/>
  <c r="I68" i="35" s="1"/>
  <c r="M37" i="35"/>
  <c r="J12" i="35"/>
  <c r="J68" i="35" s="1"/>
  <c r="J37" i="35"/>
  <c r="K12" i="35"/>
  <c r="K68" i="35" s="1"/>
  <c r="I37" i="35"/>
  <c r="N12" i="38"/>
  <c r="N69" i="38" s="1"/>
  <c r="N73" i="38" s="1"/>
  <c r="N75" i="38" s="1"/>
  <c r="N76" i="38" s="1"/>
  <c r="I70" i="39" s="1"/>
  <c r="J12" i="37"/>
  <c r="K12" i="37"/>
  <c r="K68" i="37" s="1"/>
  <c r="K72" i="37" s="1"/>
  <c r="I12" i="36"/>
  <c r="J12" i="36"/>
  <c r="N12" i="36"/>
  <c r="N68" i="36" s="1"/>
  <c r="N72" i="36" s="1"/>
  <c r="N74" i="36" s="1"/>
  <c r="N75" i="36" s="1"/>
  <c r="I68" i="39" s="1"/>
  <c r="O12" i="36"/>
  <c r="O68" i="36" s="1"/>
  <c r="O72" i="36" s="1"/>
  <c r="L12" i="35"/>
  <c r="L68" i="35" s="1"/>
  <c r="J26" i="39"/>
  <c r="L37" i="35"/>
  <c r="J13" i="38" l="1"/>
  <c r="J23" i="32" s="1"/>
  <c r="J69" i="38"/>
  <c r="J73" i="38" s="1"/>
  <c r="H13" i="38"/>
  <c r="H23" i="32" s="1"/>
  <c r="H69" i="38"/>
  <c r="H73" i="38" s="1"/>
  <c r="K13" i="38"/>
  <c r="K23" i="32" s="1"/>
  <c r="K69" i="38"/>
  <c r="K73" i="38" s="1"/>
  <c r="H13" i="37"/>
  <c r="H68" i="37"/>
  <c r="H72" i="37" s="1"/>
  <c r="I13" i="37"/>
  <c r="J13" i="37"/>
  <c r="J68" i="37"/>
  <c r="J72" i="37" s="1"/>
  <c r="I74" i="37"/>
  <c r="I75" i="37" s="1"/>
  <c r="D69" i="39" s="1"/>
  <c r="K74" i="37"/>
  <c r="K75" i="37" s="1"/>
  <c r="F69" i="39" s="1"/>
  <c r="O74" i="37"/>
  <c r="O75" i="37" s="1"/>
  <c r="J69" i="39" s="1"/>
  <c r="I55" i="39"/>
  <c r="K13" i="36"/>
  <c r="K68" i="36"/>
  <c r="K72" i="36" s="1"/>
  <c r="L74" i="36"/>
  <c r="L75" i="36" s="1"/>
  <c r="G68" i="39" s="1"/>
  <c r="H74" i="36"/>
  <c r="H75" i="36" s="1"/>
  <c r="I13" i="36"/>
  <c r="I68" i="36"/>
  <c r="I72" i="36" s="1"/>
  <c r="O74" i="36"/>
  <c r="O75" i="36" s="1"/>
  <c r="J68" i="39" s="1"/>
  <c r="J13" i="36"/>
  <c r="J68" i="36"/>
  <c r="J72" i="36" s="1"/>
  <c r="G25" i="39"/>
  <c r="D26" i="39"/>
  <c r="L12" i="38"/>
  <c r="F25" i="39"/>
  <c r="H26" i="39"/>
  <c r="I25" i="39"/>
  <c r="C26" i="39"/>
  <c r="D25" i="39"/>
  <c r="E26" i="39"/>
  <c r="F26" i="39"/>
  <c r="G26" i="39"/>
  <c r="O12" i="38"/>
  <c r="O69" i="38" s="1"/>
  <c r="O73" i="38" s="1"/>
  <c r="P12" i="38"/>
  <c r="P69" i="38" s="1"/>
  <c r="P73" i="38" s="1"/>
  <c r="P75" i="38" s="1"/>
  <c r="P76" i="38" s="1"/>
  <c r="K70" i="39" s="1"/>
  <c r="M12" i="38"/>
  <c r="I12" i="38"/>
  <c r="H25" i="39"/>
  <c r="G28" i="40"/>
  <c r="J28" i="40"/>
  <c r="H28" i="40"/>
  <c r="K28" i="40"/>
  <c r="E28" i="40"/>
  <c r="C28" i="40"/>
  <c r="F28" i="40"/>
  <c r="D28" i="40"/>
  <c r="I28" i="40"/>
  <c r="C25" i="39"/>
  <c r="E25" i="39"/>
  <c r="K25" i="39"/>
  <c r="K13" i="37"/>
  <c r="L13" i="36"/>
  <c r="N36" i="35"/>
  <c r="I24" i="39" s="1"/>
  <c r="P72" i="35"/>
  <c r="P74" i="35" s="1"/>
  <c r="O72" i="35"/>
  <c r="O74" i="35" s="1"/>
  <c r="N72" i="35"/>
  <c r="N74" i="35" s="1"/>
  <c r="I57" i="39" s="1"/>
  <c r="M72" i="35"/>
  <c r="M74" i="35" s="1"/>
  <c r="L72" i="35"/>
  <c r="L74" i="35" s="1"/>
  <c r="J34" i="35"/>
  <c r="E22" i="39" s="1"/>
  <c r="O32" i="35"/>
  <c r="J20" i="39" s="1"/>
  <c r="K31" i="35"/>
  <c r="F19" i="39" s="1"/>
  <c r="H30" i="35"/>
  <c r="H12" i="35"/>
  <c r="H29" i="35"/>
  <c r="C17" i="39" s="1"/>
  <c r="C68" i="39" l="1"/>
  <c r="C18" i="39"/>
  <c r="K57" i="39"/>
  <c r="K55" i="39"/>
  <c r="O75" i="38"/>
  <c r="O76" i="38" s="1"/>
  <c r="J70" i="39" s="1"/>
  <c r="J55" i="39"/>
  <c r="I13" i="38"/>
  <c r="I23" i="32" s="1"/>
  <c r="I69" i="38"/>
  <c r="I73" i="38" s="1"/>
  <c r="L13" i="38"/>
  <c r="L23" i="32" s="1"/>
  <c r="L69" i="38"/>
  <c r="H75" i="38"/>
  <c r="H76" i="38" s="1"/>
  <c r="M13" i="38"/>
  <c r="M23" i="32" s="1"/>
  <c r="M69" i="38"/>
  <c r="K75" i="38"/>
  <c r="K76" i="38" s="1"/>
  <c r="F70" i="39" s="1"/>
  <c r="J75" i="38"/>
  <c r="J76" i="38" s="1"/>
  <c r="E70" i="39" s="1"/>
  <c r="H74" i="37"/>
  <c r="H75" i="37" s="1"/>
  <c r="J74" i="37"/>
  <c r="J75" i="37" s="1"/>
  <c r="E69" i="39" s="1"/>
  <c r="E55" i="39"/>
  <c r="F55" i="39"/>
  <c r="J74" i="36"/>
  <c r="J75" i="36" s="1"/>
  <c r="E68" i="39" s="1"/>
  <c r="K74" i="36"/>
  <c r="K75" i="36" s="1"/>
  <c r="F68" i="39" s="1"/>
  <c r="I74" i="36"/>
  <c r="I75" i="36" s="1"/>
  <c r="D68" i="39" s="1"/>
  <c r="H13" i="35"/>
  <c r="C12" i="39" s="1"/>
  <c r="H68" i="35"/>
  <c r="N35" i="35"/>
  <c r="I23" i="39" s="1"/>
  <c r="J35" i="35"/>
  <c r="E23" i="39" s="1"/>
  <c r="M35" i="35"/>
  <c r="H23" i="39" s="1"/>
  <c r="I35" i="35"/>
  <c r="D23" i="39" s="1"/>
  <c r="P35" i="35"/>
  <c r="K23" i="39" s="1"/>
  <c r="L35" i="35"/>
  <c r="G23" i="39" s="1"/>
  <c r="H35" i="35"/>
  <c r="C23" i="39" s="1"/>
  <c r="O35" i="35"/>
  <c r="J23" i="39" s="1"/>
  <c r="K35" i="35"/>
  <c r="F23" i="39" s="1"/>
  <c r="J40" i="35"/>
  <c r="E28" i="39" s="1"/>
  <c r="N40" i="35"/>
  <c r="I28" i="39" s="1"/>
  <c r="K40" i="35"/>
  <c r="F28" i="39" s="1"/>
  <c r="O40" i="35"/>
  <c r="J28" i="39" s="1"/>
  <c r="L40" i="35"/>
  <c r="G28" i="39" s="1"/>
  <c r="P40" i="35"/>
  <c r="K28" i="39" s="1"/>
  <c r="I40" i="35"/>
  <c r="M40" i="35"/>
  <c r="H28" i="39" s="1"/>
  <c r="H40" i="35"/>
  <c r="C28" i="39" s="1"/>
  <c r="N13" i="38"/>
  <c r="N23" i="32" s="1"/>
  <c r="L13" i="37"/>
  <c r="M13" i="36"/>
  <c r="M36" i="35"/>
  <c r="H24" i="39" s="1"/>
  <c r="J36" i="35"/>
  <c r="E24" i="39" s="1"/>
  <c r="I36" i="35"/>
  <c r="D24" i="39" s="1"/>
  <c r="H36" i="35"/>
  <c r="C24" i="39" s="1"/>
  <c r="P36" i="35"/>
  <c r="K24" i="39" s="1"/>
  <c r="L36" i="35"/>
  <c r="G24" i="39" s="1"/>
  <c r="K36" i="35"/>
  <c r="F24" i="39" s="1"/>
  <c r="O36" i="35"/>
  <c r="J24" i="39" s="1"/>
  <c r="J31" i="35"/>
  <c r="E19" i="39" s="1"/>
  <c r="P31" i="35"/>
  <c r="K19" i="39" s="1"/>
  <c r="H34" i="35"/>
  <c r="C22" i="39" s="1"/>
  <c r="K34" i="35"/>
  <c r="F22" i="39" s="1"/>
  <c r="I30" i="35"/>
  <c r="D18" i="39" s="1"/>
  <c r="I34" i="35"/>
  <c r="D22" i="39" s="1"/>
  <c r="M30" i="35"/>
  <c r="H18" i="39" s="1"/>
  <c r="L34" i="35"/>
  <c r="G22" i="39" s="1"/>
  <c r="N30" i="35"/>
  <c r="I18" i="39" s="1"/>
  <c r="O34" i="35"/>
  <c r="J22" i="39" s="1"/>
  <c r="J30" i="35"/>
  <c r="E18" i="39" s="1"/>
  <c r="H31" i="35"/>
  <c r="C19" i="39" s="1"/>
  <c r="P34" i="35"/>
  <c r="K22" i="39" s="1"/>
  <c r="I13" i="35"/>
  <c r="I31" i="35"/>
  <c r="D19" i="39" s="1"/>
  <c r="I72" i="35"/>
  <c r="I74" i="35" s="1"/>
  <c r="J32" i="35"/>
  <c r="E20" i="39" s="1"/>
  <c r="L31" i="35"/>
  <c r="G19" i="39" s="1"/>
  <c r="M31" i="35"/>
  <c r="H19" i="39" s="1"/>
  <c r="O33" i="35"/>
  <c r="J21" i="39" s="1"/>
  <c r="P33" i="35"/>
  <c r="K21" i="39" s="1"/>
  <c r="L33" i="35"/>
  <c r="G21" i="39" s="1"/>
  <c r="K33" i="35"/>
  <c r="F21" i="39" s="1"/>
  <c r="I33" i="35"/>
  <c r="D21" i="39" s="1"/>
  <c r="J33" i="35"/>
  <c r="E21" i="39" s="1"/>
  <c r="H33" i="35"/>
  <c r="C21" i="39" s="1"/>
  <c r="J13" i="35"/>
  <c r="E12" i="39" s="1"/>
  <c r="I29" i="35"/>
  <c r="D17" i="39" s="1"/>
  <c r="K30" i="35"/>
  <c r="F18" i="39" s="1"/>
  <c r="N31" i="35"/>
  <c r="I19" i="39" s="1"/>
  <c r="P32" i="35"/>
  <c r="K20" i="39" s="1"/>
  <c r="M34" i="35"/>
  <c r="H22" i="39" s="1"/>
  <c r="J29" i="35"/>
  <c r="E17" i="39" s="1"/>
  <c r="L30" i="35"/>
  <c r="G18" i="39" s="1"/>
  <c r="O31" i="35"/>
  <c r="J19" i="39" s="1"/>
  <c r="N34" i="35"/>
  <c r="I22" i="39" s="1"/>
  <c r="L29" i="35"/>
  <c r="G17" i="39" s="1"/>
  <c r="M33" i="35"/>
  <c r="H21" i="39" s="1"/>
  <c r="J72" i="35"/>
  <c r="J74" i="35" s="1"/>
  <c r="M29" i="35"/>
  <c r="H17" i="39" s="1"/>
  <c r="O30" i="35"/>
  <c r="J18" i="39" s="1"/>
  <c r="H32" i="35"/>
  <c r="C20" i="39" s="1"/>
  <c r="N33" i="35"/>
  <c r="I21" i="39" s="1"/>
  <c r="K72" i="35"/>
  <c r="K74" i="35" s="1"/>
  <c r="K29" i="35"/>
  <c r="F17" i="39" s="1"/>
  <c r="N29" i="35"/>
  <c r="I17" i="39" s="1"/>
  <c r="P30" i="35"/>
  <c r="K18" i="39" s="1"/>
  <c r="I32" i="35"/>
  <c r="D20" i="39" s="1"/>
  <c r="P29" i="35"/>
  <c r="K17" i="39" s="1"/>
  <c r="K32" i="35"/>
  <c r="F20" i="39" s="1"/>
  <c r="L32" i="35"/>
  <c r="G20" i="39" s="1"/>
  <c r="M32" i="35"/>
  <c r="H20" i="39" s="1"/>
  <c r="O29" i="35"/>
  <c r="J17" i="39" s="1"/>
  <c r="N32" i="35"/>
  <c r="I20" i="39" s="1"/>
  <c r="I20" i="32"/>
  <c r="J20" i="32"/>
  <c r="K20" i="32"/>
  <c r="L20" i="32"/>
  <c r="M20" i="32"/>
  <c r="N20" i="32"/>
  <c r="O20" i="32"/>
  <c r="P20" i="32"/>
  <c r="H20" i="32"/>
  <c r="D37" i="32"/>
  <c r="D39" i="32" s="1"/>
  <c r="D21" i="32"/>
  <c r="D22" i="32" s="1"/>
  <c r="E81" i="39" l="1"/>
  <c r="E83" i="39" s="1"/>
  <c r="D55" i="39"/>
  <c r="C70" i="39"/>
  <c r="C69" i="39"/>
  <c r="H78" i="37"/>
  <c r="H78" i="36"/>
  <c r="K35" i="32"/>
  <c r="K38" i="32" s="1"/>
  <c r="O35" i="32"/>
  <c r="O38" i="32" s="1"/>
  <c r="H35" i="32"/>
  <c r="H38" i="32" s="1"/>
  <c r="L35" i="32"/>
  <c r="L38" i="32" s="1"/>
  <c r="P35" i="32"/>
  <c r="P38" i="32" s="1"/>
  <c r="M35" i="32"/>
  <c r="M38" i="32" s="1"/>
  <c r="J35" i="32"/>
  <c r="J38" i="32" s="1"/>
  <c r="N35" i="32"/>
  <c r="N38" i="32" s="1"/>
  <c r="I35" i="32"/>
  <c r="I38" i="32" s="1"/>
  <c r="H77" i="36"/>
  <c r="J57" i="39"/>
  <c r="M73" i="38"/>
  <c r="M75" i="38" s="1"/>
  <c r="H55" i="39"/>
  <c r="L73" i="38"/>
  <c r="G55" i="39"/>
  <c r="D12" i="39"/>
  <c r="D81" i="39" s="1"/>
  <c r="D83" i="39" s="1"/>
  <c r="I75" i="38"/>
  <c r="D57" i="39" s="1"/>
  <c r="H77" i="37"/>
  <c r="F57" i="39"/>
  <c r="E57" i="39"/>
  <c r="H72" i="35"/>
  <c r="H74" i="35" s="1"/>
  <c r="C57" i="39" s="1"/>
  <c r="C55" i="39"/>
  <c r="C81" i="39" s="1"/>
  <c r="C83" i="39" s="1"/>
  <c r="D45" i="32"/>
  <c r="D46" i="32" s="1"/>
  <c r="L39" i="32" s="1"/>
  <c r="D28" i="39"/>
  <c r="P13" i="38"/>
  <c r="P23" i="32" s="1"/>
  <c r="O13" i="38"/>
  <c r="O23" i="32" s="1"/>
  <c r="M13" i="37"/>
  <c r="N13" i="36"/>
  <c r="H39" i="35"/>
  <c r="O39" i="35"/>
  <c r="K39" i="35"/>
  <c r="L39" i="35"/>
  <c r="J39" i="35"/>
  <c r="I39" i="35"/>
  <c r="D27" i="39" s="1"/>
  <c r="P39" i="35"/>
  <c r="P41" i="35" s="1"/>
  <c r="N39" i="35"/>
  <c r="M39" i="35"/>
  <c r="M41" i="35" s="1"/>
  <c r="L13" i="35"/>
  <c r="G12" i="39" s="1"/>
  <c r="G81" i="39" s="1"/>
  <c r="G83" i="39" s="1"/>
  <c r="K13" i="35"/>
  <c r="F12" i="39" s="1"/>
  <c r="F81" i="39" s="1"/>
  <c r="F83" i="39" s="1"/>
  <c r="H21" i="32"/>
  <c r="H22" i="32" s="1"/>
  <c r="H24" i="32" s="1"/>
  <c r="I21" i="32"/>
  <c r="E14" i="30"/>
  <c r="F14" i="30"/>
  <c r="G14" i="30"/>
  <c r="I22" i="32" l="1"/>
  <c r="I24" i="32" s="1"/>
  <c r="J39" i="32"/>
  <c r="I39" i="32"/>
  <c r="H39" i="32"/>
  <c r="M39" i="32"/>
  <c r="K39" i="32"/>
  <c r="P39" i="32"/>
  <c r="O39" i="32"/>
  <c r="N39" i="32"/>
  <c r="I76" i="38"/>
  <c r="L75" i="38"/>
  <c r="G57" i="39" s="1"/>
  <c r="M76" i="38"/>
  <c r="H70" i="39" s="1"/>
  <c r="H57" i="39"/>
  <c r="I27" i="39"/>
  <c r="I29" i="39" s="1"/>
  <c r="N41" i="35"/>
  <c r="I41" i="35"/>
  <c r="E27" i="39"/>
  <c r="E29" i="39" s="1"/>
  <c r="J41" i="35"/>
  <c r="G27" i="39"/>
  <c r="G29" i="39" s="1"/>
  <c r="G84" i="39" s="1"/>
  <c r="L41" i="35"/>
  <c r="F27" i="39"/>
  <c r="F29" i="39" s="1"/>
  <c r="K41" i="35"/>
  <c r="J27" i="39"/>
  <c r="J29" i="39" s="1"/>
  <c r="O41" i="35"/>
  <c r="C27" i="39"/>
  <c r="C29" i="39" s="1"/>
  <c r="H41" i="35"/>
  <c r="D29" i="39"/>
  <c r="D84" i="39" s="1"/>
  <c r="H27" i="39"/>
  <c r="H29" i="39" s="1"/>
  <c r="K27" i="39"/>
  <c r="K29" i="39" s="1"/>
  <c r="N13" i="37"/>
  <c r="P13" i="36"/>
  <c r="O13" i="36"/>
  <c r="I40" i="32"/>
  <c r="M40" i="32"/>
  <c r="H40" i="32"/>
  <c r="O40" i="32"/>
  <c r="P40" i="32"/>
  <c r="J40" i="32"/>
  <c r="N40" i="32"/>
  <c r="K40" i="32"/>
  <c r="L40" i="32"/>
  <c r="J21" i="32"/>
  <c r="C84" i="39" l="1"/>
  <c r="F84" i="39"/>
  <c r="E84" i="39"/>
  <c r="D70" i="39"/>
  <c r="J22" i="32"/>
  <c r="J24" i="32" s="1"/>
  <c r="L76" i="38"/>
  <c r="H79" i="38" s="1"/>
  <c r="M13" i="35"/>
  <c r="H12" i="39" s="1"/>
  <c r="H81" i="39" s="1"/>
  <c r="H83" i="39" s="1"/>
  <c r="P13" i="37"/>
  <c r="O13" i="37"/>
  <c r="K21" i="32"/>
  <c r="D144" i="30"/>
  <c r="D130" i="30"/>
  <c r="D116" i="30"/>
  <c r="D102" i="30"/>
  <c r="E102" i="30" s="1"/>
  <c r="F102" i="30" s="1"/>
  <c r="G102" i="30" s="1"/>
  <c r="J102" i="30" s="1"/>
  <c r="K102" i="30" s="1"/>
  <c r="H84" i="39" l="1"/>
  <c r="K22" i="32"/>
  <c r="K24" i="32" s="1"/>
  <c r="H78" i="38"/>
  <c r="G70" i="39"/>
  <c r="N13" i="35"/>
  <c r="I12" i="39" s="1"/>
  <c r="I81" i="39" s="1"/>
  <c r="I83" i="39" s="1"/>
  <c r="L21" i="32"/>
  <c r="H102" i="30"/>
  <c r="I102" i="30" s="1"/>
  <c r="I84" i="39" l="1"/>
  <c r="L22" i="32"/>
  <c r="L24" i="32" s="1"/>
  <c r="O13" i="35"/>
  <c r="J12" i="39" s="1"/>
  <c r="J81" i="39" s="1"/>
  <c r="M21" i="32"/>
  <c r="C9" i="30"/>
  <c r="J83" i="39" l="1"/>
  <c r="J84" i="39" s="1"/>
  <c r="M22" i="32"/>
  <c r="M24" i="32" s="1"/>
  <c r="P13" i="35"/>
  <c r="K12" i="39" s="1"/>
  <c r="K81" i="39" s="1"/>
  <c r="N21" i="32"/>
  <c r="K148" i="30"/>
  <c r="J148" i="30"/>
  <c r="I148" i="30"/>
  <c r="H148" i="30"/>
  <c r="G148" i="30"/>
  <c r="F148" i="30"/>
  <c r="E148" i="30"/>
  <c r="D148" i="30"/>
  <c r="E144" i="30"/>
  <c r="H144" i="30" s="1"/>
  <c r="K134" i="30"/>
  <c r="J134" i="30"/>
  <c r="I134" i="30"/>
  <c r="H134" i="30"/>
  <c r="G134" i="30"/>
  <c r="F134" i="30"/>
  <c r="E134" i="30"/>
  <c r="D134" i="30"/>
  <c r="E130" i="30"/>
  <c r="K120" i="30"/>
  <c r="J120" i="30"/>
  <c r="I120" i="30"/>
  <c r="H120" i="30"/>
  <c r="G120" i="30"/>
  <c r="F120" i="30"/>
  <c r="E120" i="30"/>
  <c r="D120" i="30"/>
  <c r="D115" i="30"/>
  <c r="K106" i="30"/>
  <c r="J106" i="30"/>
  <c r="I106" i="30"/>
  <c r="H106" i="30"/>
  <c r="G106" i="30"/>
  <c r="F106" i="30"/>
  <c r="E106" i="30"/>
  <c r="D106" i="30"/>
  <c r="F24" i="30"/>
  <c r="G24" i="30" s="1"/>
  <c r="H24" i="30" s="1"/>
  <c r="F23" i="30"/>
  <c r="G23" i="30" s="1"/>
  <c r="H23" i="30" s="1"/>
  <c r="H25" i="30" s="1"/>
  <c r="K83" i="39" l="1"/>
  <c r="K84" i="39" s="1"/>
  <c r="N22" i="32"/>
  <c r="N24" i="32" s="1"/>
  <c r="O21" i="32"/>
  <c r="D143" i="30"/>
  <c r="E143" i="30"/>
  <c r="D129" i="30"/>
  <c r="E116" i="30"/>
  <c r="H116" i="30" s="1"/>
  <c r="D101" i="30"/>
  <c r="E25" i="30"/>
  <c r="F25" i="30"/>
  <c r="E101" i="30"/>
  <c r="E129" i="30"/>
  <c r="H130" i="30"/>
  <c r="F130" i="30"/>
  <c r="H143" i="30"/>
  <c r="I144" i="30"/>
  <c r="I143" i="30" s="1"/>
  <c r="F144" i="30"/>
  <c r="G25" i="30"/>
  <c r="C87" i="39" l="1"/>
  <c r="C86" i="39"/>
  <c r="O22" i="32"/>
  <c r="O24" i="32" s="1"/>
  <c r="P21" i="32"/>
  <c r="F116" i="30"/>
  <c r="E115" i="30"/>
  <c r="G144" i="30"/>
  <c r="F143" i="30"/>
  <c r="I116" i="30"/>
  <c r="I115" i="30" s="1"/>
  <c r="H115" i="30"/>
  <c r="F101" i="30"/>
  <c r="F129" i="30"/>
  <c r="G130" i="30"/>
  <c r="I130" i="30"/>
  <c r="I129" i="30" s="1"/>
  <c r="H129" i="30"/>
  <c r="H101" i="30"/>
  <c r="I101" i="30"/>
  <c r="P22" i="32" l="1"/>
  <c r="P24" i="32" s="1"/>
  <c r="F115" i="30"/>
  <c r="G116" i="30"/>
  <c r="G101" i="30"/>
  <c r="J130" i="30"/>
  <c r="G129" i="30"/>
  <c r="G143" i="30"/>
  <c r="J144" i="30"/>
  <c r="J116" i="30" l="1"/>
  <c r="G115" i="30"/>
  <c r="K101" i="30"/>
  <c r="J101" i="30"/>
  <c r="J129" i="30"/>
  <c r="K130" i="30"/>
  <c r="K129" i="30" s="1"/>
  <c r="K144" i="30"/>
  <c r="K143" i="30" s="1"/>
  <c r="J143" i="30"/>
  <c r="J115" i="30" l="1"/>
  <c r="K116" i="30"/>
  <c r="K115" i="30" s="1"/>
  <c r="D10" i="32" l="1"/>
  <c r="D11" i="32" s="1"/>
  <c r="L60" i="32" s="1"/>
  <c r="N60" i="32"/>
  <c r="I60" i="32"/>
  <c r="J60" i="32"/>
  <c r="P60" i="32"/>
  <c r="H60" i="32" l="1"/>
  <c r="M60" i="32"/>
  <c r="M67" i="32" s="1"/>
  <c r="I67" i="32"/>
  <c r="H61" i="32"/>
  <c r="H65" i="32" s="1"/>
  <c r="H67" i="32"/>
  <c r="J67" i="32"/>
  <c r="K60" i="32"/>
  <c r="K67" i="32" s="1"/>
  <c r="O60" i="32"/>
  <c r="O67" i="32" s="1"/>
  <c r="I61" i="32"/>
  <c r="I65" i="32" s="1"/>
  <c r="N61" i="32"/>
  <c r="N65" i="32" s="1"/>
  <c r="L61" i="32"/>
  <c r="L65" i="32" s="1"/>
  <c r="P61" i="32"/>
  <c r="P65" i="32" s="1"/>
  <c r="J61" i="32"/>
  <c r="J65" i="32" s="1"/>
  <c r="M61" i="32" l="1"/>
  <c r="M65" i="32" s="1"/>
  <c r="P95" i="32"/>
  <c r="P79" i="32"/>
  <c r="P87" i="32"/>
  <c r="H79" i="32"/>
  <c r="H87" i="32"/>
  <c r="H95" i="32"/>
  <c r="L95" i="32"/>
  <c r="L87" i="32"/>
  <c r="L79" i="32"/>
  <c r="N95" i="32"/>
  <c r="N87" i="32"/>
  <c r="N79" i="32"/>
  <c r="M95" i="32"/>
  <c r="M79" i="32"/>
  <c r="M87" i="32"/>
  <c r="J95" i="32"/>
  <c r="J87" i="32"/>
  <c r="J79" i="32"/>
  <c r="I95" i="32"/>
  <c r="I79" i="32"/>
  <c r="I87" i="32"/>
  <c r="H81" i="32"/>
  <c r="H89" i="32"/>
  <c r="H97" i="32"/>
  <c r="O97" i="32"/>
  <c r="O81" i="32"/>
  <c r="O89" i="32"/>
  <c r="K81" i="32"/>
  <c r="K89" i="32"/>
  <c r="K97" i="32"/>
  <c r="J81" i="32"/>
  <c r="J82" i="32" s="1"/>
  <c r="J89" i="32"/>
  <c r="J97" i="32"/>
  <c r="M81" i="32"/>
  <c r="M82" i="32" s="1"/>
  <c r="M89" i="32"/>
  <c r="M97" i="32"/>
  <c r="I81" i="32"/>
  <c r="I89" i="32"/>
  <c r="I97" i="32"/>
  <c r="N67" i="32"/>
  <c r="K61" i="32"/>
  <c r="K65" i="32" s="1"/>
  <c r="L67" i="32"/>
  <c r="P67" i="32"/>
  <c r="O61" i="32"/>
  <c r="O65" i="32" s="1"/>
  <c r="H82" i="32" l="1"/>
  <c r="O95" i="32"/>
  <c r="O79" i="32"/>
  <c r="O82" i="32" s="1"/>
  <c r="O87" i="32"/>
  <c r="K95" i="32"/>
  <c r="K87" i="32"/>
  <c r="K79" i="32"/>
  <c r="K82" i="32" s="1"/>
  <c r="I82" i="32"/>
  <c r="N81" i="32"/>
  <c r="N82" i="32" s="1"/>
  <c r="N89" i="32"/>
  <c r="N97" i="32"/>
  <c r="P97" i="32"/>
  <c r="P81" i="32"/>
  <c r="P82" i="32" s="1"/>
  <c r="P89" i="32"/>
  <c r="L97" i="32"/>
  <c r="L81" i="32"/>
  <c r="L82" i="32" s="1"/>
  <c r="L89" i="32"/>
  <c r="H83" i="32" l="1"/>
  <c r="K73" i="35"/>
  <c r="I73" i="35"/>
  <c r="J73" i="35"/>
  <c r="I75" i="35" l="1"/>
  <c r="D67" i="39" s="1"/>
  <c r="D56" i="39"/>
  <c r="D58" i="39" s="1"/>
  <c r="J75" i="35"/>
  <c r="E67" i="39" s="1"/>
  <c r="E56" i="39"/>
  <c r="E58" i="39" s="1"/>
  <c r="K75" i="35"/>
  <c r="F67" i="39" s="1"/>
  <c r="F56" i="39"/>
  <c r="F58" i="39" s="1"/>
  <c r="O73" i="35"/>
  <c r="L73" i="35"/>
  <c r="H73" i="35"/>
  <c r="N73" i="35"/>
  <c r="M73" i="35"/>
  <c r="P73" i="35"/>
  <c r="M75" i="35" l="1"/>
  <c r="H67" i="39" s="1"/>
  <c r="H56" i="39"/>
  <c r="H58" i="39" s="1"/>
  <c r="O75" i="35"/>
  <c r="J67" i="39" s="1"/>
  <c r="J56" i="39"/>
  <c r="J58" i="39" s="1"/>
  <c r="P75" i="35"/>
  <c r="K67" i="39" s="1"/>
  <c r="K56" i="39"/>
  <c r="K58" i="39" s="1"/>
  <c r="L75" i="35"/>
  <c r="G67" i="39" s="1"/>
  <c r="G56" i="39"/>
  <c r="G58" i="39" s="1"/>
  <c r="N75" i="35"/>
  <c r="I67" i="39" s="1"/>
  <c r="I56" i="39"/>
  <c r="I58" i="39" s="1"/>
  <c r="H75" i="35"/>
  <c r="H78" i="35" s="1"/>
  <c r="C56" i="39"/>
  <c r="C58" i="39" s="1"/>
  <c r="C61" i="39" l="1"/>
  <c r="C67" i="39"/>
  <c r="C60" i="39"/>
  <c r="H20" i="30" l="1"/>
  <c r="H28" i="30" l="1"/>
  <c r="H52" i="30"/>
  <c r="H65" i="30"/>
  <c r="H53" i="30"/>
  <c r="H30" i="30"/>
  <c r="H54" i="30"/>
  <c r="H29" i="30"/>
  <c r="H57" i="30"/>
  <c r="H32" i="30"/>
  <c r="H56" i="30"/>
  <c r="H31" i="30"/>
  <c r="H61" i="30"/>
  <c r="H34" i="30"/>
  <c r="H58" i="30"/>
  <c r="H33" i="30"/>
  <c r="H67" i="30"/>
  <c r="H36" i="30"/>
  <c r="H60" i="30"/>
  <c r="H35" i="30"/>
  <c r="H38" i="30"/>
  <c r="H62" i="30"/>
  <c r="H37" i="30"/>
  <c r="H40" i="30"/>
  <c r="H64" i="30"/>
  <c r="H39" i="30"/>
  <c r="H42" i="30"/>
  <c r="H66" i="30"/>
  <c r="H41" i="30"/>
  <c r="H44" i="30"/>
  <c r="H51" i="30"/>
  <c r="H43" i="30"/>
  <c r="H46" i="30"/>
  <c r="H55" i="30"/>
  <c r="H45" i="30"/>
  <c r="H48" i="30"/>
  <c r="H59" i="30"/>
  <c r="H47" i="30"/>
  <c r="H50" i="30"/>
  <c r="H63" i="30"/>
  <c r="H49" i="30"/>
  <c r="C20" i="30"/>
  <c r="D20" i="30"/>
  <c r="H54" i="32"/>
  <c r="D67" i="30" l="1"/>
  <c r="D31" i="30"/>
  <c r="D34" i="30"/>
  <c r="D29" i="30"/>
  <c r="D91" i="30" s="1"/>
  <c r="D94" i="30" s="1"/>
  <c r="D36" i="30"/>
  <c r="F91" i="30" s="1"/>
  <c r="F94" i="30" s="1"/>
  <c r="D54" i="30"/>
  <c r="J91" i="30" s="1"/>
  <c r="J94" i="30" s="1"/>
  <c r="D39" i="30"/>
  <c r="D28" i="30"/>
  <c r="D43" i="30"/>
  <c r="D59" i="30"/>
  <c r="D41" i="30"/>
  <c r="G91" i="30" s="1"/>
  <c r="G94" i="30" s="1"/>
  <c r="D58" i="30"/>
  <c r="D52" i="30"/>
  <c r="D46" i="30"/>
  <c r="H91" i="30" s="1"/>
  <c r="H94" i="30" s="1"/>
  <c r="D35" i="30"/>
  <c r="D47" i="30"/>
  <c r="D66" i="30"/>
  <c r="D56" i="30"/>
  <c r="D53" i="30"/>
  <c r="D63" i="30"/>
  <c r="D33" i="30"/>
  <c r="D44" i="30"/>
  <c r="D32" i="30"/>
  <c r="E91" i="30" s="1"/>
  <c r="E94" i="30" s="1"/>
  <c r="D45" i="30"/>
  <c r="D57" i="30"/>
  <c r="K91" i="30" s="1"/>
  <c r="K94" i="30" s="1"/>
  <c r="D51" i="30"/>
  <c r="I91" i="30" s="1"/>
  <c r="I94" i="30" s="1"/>
  <c r="D49" i="30"/>
  <c r="D61" i="30"/>
  <c r="D38" i="30"/>
  <c r="D64" i="30"/>
  <c r="D40" i="30"/>
  <c r="D62" i="30"/>
  <c r="D42" i="30"/>
  <c r="D48" i="30"/>
  <c r="D30" i="30"/>
  <c r="D60" i="30"/>
  <c r="D50" i="30"/>
  <c r="D55" i="30"/>
  <c r="D37" i="30"/>
  <c r="D65" i="30"/>
  <c r="C61" i="30"/>
  <c r="C47" i="30"/>
  <c r="C66" i="30"/>
  <c r="C49" i="30"/>
  <c r="I77" i="30" s="1"/>
  <c r="I80" i="30" s="1"/>
  <c r="C35" i="30"/>
  <c r="C41" i="30"/>
  <c r="C37" i="30"/>
  <c r="C62" i="30"/>
  <c r="C60" i="30"/>
  <c r="C43" i="30"/>
  <c r="C52" i="30"/>
  <c r="J77" i="30" s="1"/>
  <c r="J80" i="30" s="1"/>
  <c r="C48" i="30"/>
  <c r="C38" i="30"/>
  <c r="C63" i="30"/>
  <c r="C40" i="30"/>
  <c r="C65" i="30"/>
  <c r="C51" i="30"/>
  <c r="C50" i="30"/>
  <c r="C53" i="30"/>
  <c r="C39" i="30"/>
  <c r="G77" i="30" s="1"/>
  <c r="G80" i="30" s="1"/>
  <c r="C32" i="30"/>
  <c r="C29" i="30"/>
  <c r="C54" i="30"/>
  <c r="C44" i="30"/>
  <c r="H77" i="30" s="1"/>
  <c r="H80" i="30" s="1"/>
  <c r="C56" i="30"/>
  <c r="C42" i="30"/>
  <c r="C67" i="30"/>
  <c r="C59" i="30"/>
  <c r="C30" i="30"/>
  <c r="E77" i="30" s="1"/>
  <c r="E80" i="30" s="1"/>
  <c r="C55" i="30"/>
  <c r="K77" i="30" s="1"/>
  <c r="K80" i="30" s="1"/>
  <c r="C28" i="30"/>
  <c r="D77" i="30" s="1"/>
  <c r="D80" i="30" s="1"/>
  <c r="C45" i="30"/>
  <c r="C31" i="30"/>
  <c r="C57" i="30"/>
  <c r="C33" i="30"/>
  <c r="C58" i="30"/>
  <c r="C64" i="30"/>
  <c r="C46" i="30"/>
  <c r="C36" i="30"/>
  <c r="C34" i="30"/>
  <c r="F77" i="30" s="1"/>
  <c r="F80" i="30" s="1"/>
  <c r="H66" i="32"/>
  <c r="L54" i="32"/>
  <c r="M54" i="32"/>
  <c r="J54" i="32"/>
  <c r="P54" i="32"/>
  <c r="I54" i="32"/>
  <c r="N54" i="32"/>
  <c r="O54" i="32"/>
  <c r="K54" i="32"/>
  <c r="E20" i="30"/>
  <c r="C82" i="30" l="1"/>
  <c r="C81" i="30"/>
  <c r="C96" i="30"/>
  <c r="C95" i="30"/>
  <c r="H68" i="32"/>
  <c r="H96" i="32"/>
  <c r="H98" i="32" s="1"/>
  <c r="H88" i="32"/>
  <c r="H90" i="32" s="1"/>
  <c r="L66" i="32"/>
  <c r="P66" i="32"/>
  <c r="J66" i="32"/>
  <c r="I66" i="32"/>
  <c r="K66" i="32"/>
  <c r="O66" i="32"/>
  <c r="N66" i="32"/>
  <c r="M66" i="32"/>
  <c r="E28" i="30"/>
  <c r="E64" i="30"/>
  <c r="E60" i="30"/>
  <c r="E67" i="30"/>
  <c r="E63" i="30"/>
  <c r="E59" i="30"/>
  <c r="E66" i="30"/>
  <c r="E62" i="30"/>
  <c r="E58" i="30"/>
  <c r="K105" i="30" s="1"/>
  <c r="E65" i="30"/>
  <c r="E61" i="30"/>
  <c r="F20" i="30"/>
  <c r="E32" i="30"/>
  <c r="E53" i="30"/>
  <c r="E33" i="30"/>
  <c r="E105" i="30" s="1"/>
  <c r="E37" i="30"/>
  <c r="E29" i="30"/>
  <c r="E44" i="30"/>
  <c r="E38" i="30"/>
  <c r="E50" i="30"/>
  <c r="E30" i="30"/>
  <c r="D105" i="30" s="1"/>
  <c r="E41" i="30"/>
  <c r="E48" i="30"/>
  <c r="E47" i="30"/>
  <c r="H105" i="30" s="1"/>
  <c r="E43" i="30"/>
  <c r="E55" i="30"/>
  <c r="J105" i="30" s="1"/>
  <c r="E36" i="30"/>
  <c r="F105" i="30" s="1"/>
  <c r="E34" i="30"/>
  <c r="E40" i="30"/>
  <c r="E45" i="30"/>
  <c r="E31" i="30"/>
  <c r="E39" i="30"/>
  <c r="E51" i="30"/>
  <c r="E49" i="30"/>
  <c r="E57" i="30"/>
  <c r="E56" i="30"/>
  <c r="E46" i="30"/>
  <c r="E42" i="30"/>
  <c r="G105" i="30" s="1"/>
  <c r="E54" i="30"/>
  <c r="E35" i="30"/>
  <c r="E52" i="30"/>
  <c r="I105" i="30" s="1"/>
  <c r="P68" i="32" l="1"/>
  <c r="P88" i="32"/>
  <c r="P90" i="32" s="1"/>
  <c r="P96" i="32"/>
  <c r="P98" i="32" s="1"/>
  <c r="O68" i="32"/>
  <c r="O96" i="32"/>
  <c r="O98" i="32" s="1"/>
  <c r="O88" i="32"/>
  <c r="O90" i="32" s="1"/>
  <c r="N68" i="32"/>
  <c r="N88" i="32"/>
  <c r="N90" i="32" s="1"/>
  <c r="N96" i="32"/>
  <c r="N98" i="32" s="1"/>
  <c r="M68" i="32"/>
  <c r="M88" i="32"/>
  <c r="M90" i="32" s="1"/>
  <c r="M96" i="32"/>
  <c r="M98" i="32" s="1"/>
  <c r="K68" i="32"/>
  <c r="K96" i="32"/>
  <c r="K98" i="32" s="1"/>
  <c r="K88" i="32"/>
  <c r="K90" i="32" s="1"/>
  <c r="L68" i="32"/>
  <c r="L96" i="32"/>
  <c r="L98" i="32" s="1"/>
  <c r="L88" i="32"/>
  <c r="L90" i="32" s="1"/>
  <c r="J68" i="32"/>
  <c r="J88" i="32"/>
  <c r="J90" i="32" s="1"/>
  <c r="J96" i="32"/>
  <c r="J98" i="32" s="1"/>
  <c r="I68" i="32"/>
  <c r="H71" i="32" s="1"/>
  <c r="I96" i="32"/>
  <c r="I98" i="32" s="1"/>
  <c r="I88" i="32"/>
  <c r="I90" i="32" s="1"/>
  <c r="F67" i="30"/>
  <c r="F63" i="30"/>
  <c r="F59" i="30"/>
  <c r="K119" i="30" s="1"/>
  <c r="F66" i="30"/>
  <c r="F62" i="30"/>
  <c r="F58" i="30"/>
  <c r="F65" i="30"/>
  <c r="F61" i="30"/>
  <c r="F64" i="30"/>
  <c r="F60" i="30"/>
  <c r="K108" i="30"/>
  <c r="F108" i="30"/>
  <c r="J108" i="30"/>
  <c r="G108" i="30"/>
  <c r="I108" i="30"/>
  <c r="E108" i="30"/>
  <c r="D108" i="30"/>
  <c r="H108" i="30"/>
  <c r="F41" i="30"/>
  <c r="F57" i="30"/>
  <c r="F40" i="30"/>
  <c r="F56" i="30"/>
  <c r="J119" i="30" s="1"/>
  <c r="F50" i="30"/>
  <c r="F43" i="30"/>
  <c r="G119" i="30" s="1"/>
  <c r="F38" i="30"/>
  <c r="F29" i="30"/>
  <c r="F45" i="30"/>
  <c r="F28" i="30"/>
  <c r="F44" i="30"/>
  <c r="F30" i="30"/>
  <c r="F31" i="30"/>
  <c r="D119" i="30" s="1"/>
  <c r="F47" i="30"/>
  <c r="F46" i="30"/>
  <c r="F33" i="30"/>
  <c r="F49" i="30"/>
  <c r="F32" i="30"/>
  <c r="F48" i="30"/>
  <c r="H119" i="30" s="1"/>
  <c r="F34" i="30"/>
  <c r="E119" i="30" s="1"/>
  <c r="F35" i="30"/>
  <c r="F51" i="30"/>
  <c r="F54" i="30"/>
  <c r="F37" i="30"/>
  <c r="F119" i="30" s="1"/>
  <c r="F53" i="30"/>
  <c r="I119" i="30" s="1"/>
  <c r="F36" i="30"/>
  <c r="F52" i="30"/>
  <c r="F42" i="30"/>
  <c r="F39" i="30"/>
  <c r="F55" i="30"/>
  <c r="G20" i="30"/>
  <c r="C110" i="30" l="1"/>
  <c r="H99" i="32"/>
  <c r="H91" i="32"/>
  <c r="H70" i="32"/>
  <c r="G66" i="30"/>
  <c r="G62" i="30"/>
  <c r="G58" i="30"/>
  <c r="G65" i="30"/>
  <c r="G61" i="30"/>
  <c r="G64" i="30"/>
  <c r="G60" i="30"/>
  <c r="K133" i="30" s="1"/>
  <c r="G67" i="30"/>
  <c r="G63" i="30"/>
  <c r="G59" i="30"/>
  <c r="G122" i="30"/>
  <c r="E122" i="30"/>
  <c r="J122" i="30"/>
  <c r="F122" i="30"/>
  <c r="I122" i="30"/>
  <c r="H122" i="30"/>
  <c r="D122" i="30"/>
  <c r="K122" i="30"/>
  <c r="C109" i="30"/>
  <c r="G34" i="30"/>
  <c r="G50" i="30"/>
  <c r="G37" i="30"/>
  <c r="G53" i="30"/>
  <c r="G47" i="30"/>
  <c r="G36" i="30"/>
  <c r="G52" i="30"/>
  <c r="G51" i="30"/>
  <c r="G29" i="30"/>
  <c r="G35" i="30"/>
  <c r="E133" i="30" s="1"/>
  <c r="G30" i="30"/>
  <c r="G46" i="30"/>
  <c r="G33" i="30"/>
  <c r="G49" i="30"/>
  <c r="H133" i="30" s="1"/>
  <c r="G39" i="30"/>
  <c r="G32" i="30"/>
  <c r="D133" i="30" s="1"/>
  <c r="G48" i="30"/>
  <c r="G43" i="30"/>
  <c r="G38" i="30"/>
  <c r="F133" i="30" s="1"/>
  <c r="G54" i="30"/>
  <c r="I133" i="30" s="1"/>
  <c r="G41" i="30"/>
  <c r="G57" i="30"/>
  <c r="J133" i="30" s="1"/>
  <c r="G55" i="30"/>
  <c r="G40" i="30"/>
  <c r="G56" i="30"/>
  <c r="G42" i="30"/>
  <c r="G45" i="30"/>
  <c r="G31" i="30"/>
  <c r="G28" i="30"/>
  <c r="G44" i="30"/>
  <c r="G133" i="30" s="1"/>
  <c r="C124" i="30" l="1"/>
  <c r="K136" i="30"/>
  <c r="J136" i="30"/>
  <c r="G136" i="30"/>
  <c r="F136" i="30"/>
  <c r="I136" i="30"/>
  <c r="E136" i="30"/>
  <c r="D136" i="30"/>
  <c r="C123" i="30"/>
  <c r="H136" i="30"/>
  <c r="C138" i="30" l="1"/>
  <c r="C137" i="30"/>
  <c r="H77" i="35" l="1"/>
  <c r="O60" i="53"/>
  <c r="O62" i="53" s="1"/>
  <c r="P55" i="53"/>
  <c r="P60" i="53"/>
  <c r="P62" i="53" s="1"/>
  <c r="P63" i="53" s="1"/>
  <c r="N60" i="53"/>
  <c r="N62" i="53" s="1"/>
  <c r="K55" i="53"/>
  <c r="K60" i="53"/>
  <c r="K62" i="53" s="1"/>
  <c r="K63" i="53" s="1"/>
  <c r="M60" i="53"/>
  <c r="M62" i="53" s="1"/>
  <c r="M63" i="53" s="1"/>
  <c r="M55" i="53"/>
  <c r="O55" i="53"/>
  <c r="L55" i="53"/>
  <c r="L60" i="53"/>
  <c r="N55" i="53"/>
  <c r="L62" i="53" l="1"/>
  <c r="L63" i="53" s="1"/>
  <c r="N63" i="53"/>
  <c r="O63" i="53"/>
  <c r="H66" i="53" l="1"/>
  <c r="H65" i="53"/>
  <c r="E147" i="30"/>
  <c r="E150" i="30" s="1"/>
  <c r="H147" i="30"/>
  <c r="H150" i="30" s="1"/>
  <c r="I147" i="30"/>
  <c r="I150" i="30" s="1"/>
  <c r="D147" i="30"/>
  <c r="D150" i="30" s="1"/>
  <c r="K147" i="30"/>
  <c r="K150" i="30" s="1"/>
  <c r="J147" i="30"/>
  <c r="J150" i="30" s="1"/>
  <c r="F147" i="30"/>
  <c r="F150" i="30" s="1"/>
  <c r="G147" i="30"/>
  <c r="G150" i="30" s="1"/>
  <c r="C151" i="30" l="1"/>
  <c r="C15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kyung</author>
  </authors>
  <commentList>
    <comment ref="I4" authorId="0" shapeId="0" xr:uid="{00000000-0006-0000-0200-000004000000}">
      <text>
        <r>
          <rPr>
            <b/>
            <sz val="9"/>
            <color indexed="81"/>
            <rFont val="Tahoma"/>
            <family val="2"/>
          </rPr>
          <t>kyung:</t>
        </r>
        <r>
          <rPr>
            <sz val="9"/>
            <color indexed="81"/>
            <rFont val="Tahoma"/>
            <family val="2"/>
          </rPr>
          <t xml:space="preserve">
half of acq. costs are for fiber assets</t>
        </r>
      </text>
    </comment>
    <comment ref="I6" authorId="0" shapeId="0" xr:uid="{00000000-0006-0000-0200-00000B000000}">
      <text>
        <r>
          <rPr>
            <b/>
            <sz val="9"/>
            <color indexed="81"/>
            <rFont val="Tahoma"/>
            <family val="2"/>
          </rPr>
          <t>kyung:</t>
        </r>
        <r>
          <rPr>
            <sz val="9"/>
            <color indexed="81"/>
            <rFont val="Tahoma"/>
            <family val="2"/>
          </rPr>
          <t xml:space="preserve">
$60K (in 2020)</t>
        </r>
      </text>
    </comment>
    <comment ref="I11" authorId="0" shapeId="0" xr:uid="{00000000-0006-0000-0200-00000F000000}">
      <text>
        <r>
          <rPr>
            <b/>
            <sz val="9"/>
            <color indexed="81"/>
            <rFont val="Tahoma"/>
            <family val="2"/>
          </rPr>
          <t>kyung:</t>
        </r>
        <r>
          <rPr>
            <sz val="9"/>
            <color indexed="81"/>
            <rFont val="Tahoma"/>
            <family val="2"/>
          </rPr>
          <t xml:space="preserve">
$0.15 hosted EPC cost (at 10M subs scale), assume 8K pop per cell site, 40% of Pop are subscribers</t>
        </r>
      </text>
    </comment>
    <comment ref="K11" authorId="0" shapeId="0" xr:uid="{00000000-0006-0000-0200-000010000000}">
      <text>
        <r>
          <rPr>
            <b/>
            <sz val="9"/>
            <color indexed="81"/>
            <rFont val="Tahoma"/>
            <family val="2"/>
          </rPr>
          <t>kyung:</t>
        </r>
        <r>
          <rPr>
            <sz val="9"/>
            <color indexed="81"/>
            <rFont val="Tahoma"/>
            <family val="2"/>
          </rPr>
          <t xml:space="preserve">
$0.15 hosted EPC cost (at 10M subs scale), assume 8K pop per cell site, 40% of Pop are subscribers</t>
        </r>
      </text>
    </comment>
    <comment ref="M11" authorId="0" shapeId="0" xr:uid="{00000000-0006-0000-0200-000011000000}">
      <text>
        <r>
          <rPr>
            <b/>
            <sz val="9"/>
            <color indexed="81"/>
            <rFont val="Tahoma"/>
            <family val="2"/>
          </rPr>
          <t>kyung:</t>
        </r>
        <r>
          <rPr>
            <sz val="9"/>
            <color indexed="81"/>
            <rFont val="Tahoma"/>
            <family val="2"/>
          </rPr>
          <t xml:space="preserve">
$0.15 hosted EPC cost (at 10M subs scale), assume 8K pop per cell site, 40% of Pop are subscribers</t>
        </r>
      </text>
    </comment>
    <comment ref="O11" authorId="0" shapeId="0" xr:uid="{00000000-0006-0000-0200-000012000000}">
      <text>
        <r>
          <rPr>
            <b/>
            <sz val="9"/>
            <color indexed="81"/>
            <rFont val="Tahoma"/>
            <family val="2"/>
          </rPr>
          <t>kyung:</t>
        </r>
        <r>
          <rPr>
            <sz val="9"/>
            <color indexed="81"/>
            <rFont val="Tahoma"/>
            <family val="2"/>
          </rPr>
          <t xml:space="preserve">
$0.15 hosted EPC cost (at 10M subs scale), assume 8K pop per cell site, 40% of Pop are subscribers</t>
        </r>
      </text>
    </comment>
    <comment ref="I13" authorId="0" shapeId="0" xr:uid="{00000000-0006-0000-0200-000016000000}">
      <text>
        <r>
          <rPr>
            <b/>
            <sz val="9"/>
            <color indexed="81"/>
            <rFont val="Tahoma"/>
            <family val="2"/>
          </rPr>
          <t>kyung:</t>
        </r>
        <r>
          <rPr>
            <sz val="9"/>
            <color indexed="81"/>
            <rFont val="Tahoma"/>
            <family val="2"/>
          </rPr>
          <t xml:space="preserve">
$800 monthly for 100Mbps Ethernet + $1000 GigE at core shared across 10 sites</t>
        </r>
      </text>
    </comment>
    <comment ref="K13" authorId="0" shapeId="0" xr:uid="{00000000-0006-0000-0200-000017000000}">
      <text>
        <r>
          <rPr>
            <b/>
            <sz val="9"/>
            <color indexed="81"/>
            <rFont val="Tahoma"/>
            <family val="2"/>
          </rPr>
          <t>kyung:</t>
        </r>
        <r>
          <rPr>
            <sz val="9"/>
            <color indexed="81"/>
            <rFont val="Tahoma"/>
            <family val="2"/>
          </rPr>
          <t xml:space="preserve">
$800 monthly for 100Mbps Ethernet + $1000 GigE at core shared across 10 sites</t>
        </r>
      </text>
    </comment>
    <comment ref="M13" authorId="0" shapeId="0" xr:uid="{00000000-0006-0000-0200-000018000000}">
      <text>
        <r>
          <rPr>
            <b/>
            <sz val="9"/>
            <color indexed="81"/>
            <rFont val="Tahoma"/>
            <family val="2"/>
          </rPr>
          <t>kyung:</t>
        </r>
        <r>
          <rPr>
            <sz val="9"/>
            <color indexed="81"/>
            <rFont val="Tahoma"/>
            <family val="2"/>
          </rPr>
          <t xml:space="preserve">
$800 monthly for 100Mbps Ethernet + $1000 GigE at core shared across 10 sites</t>
        </r>
      </text>
    </comment>
    <comment ref="I17" authorId="0" shapeId="0" xr:uid="{00000000-0006-0000-0200-00001C000000}">
      <text>
        <r>
          <rPr>
            <b/>
            <sz val="9"/>
            <color indexed="81"/>
            <rFont val="Tahoma"/>
            <family val="2"/>
          </rPr>
          <t>kyung:</t>
        </r>
        <r>
          <rPr>
            <sz val="9"/>
            <color indexed="81"/>
            <rFont val="Tahoma"/>
            <family val="2"/>
          </rPr>
          <t xml:space="preserve">
25Mbps/sector x 3 sectors x 30 days x 24 hrs x 3600 sec /1024 bytes /8 bits   (2.5 bps/hz quoted by major urban lte operators)
</t>
        </r>
      </text>
    </comment>
    <comment ref="K17" authorId="0" shapeId="0" xr:uid="{00000000-0006-0000-0200-00001D000000}">
      <text>
        <r>
          <rPr>
            <b/>
            <sz val="9"/>
            <color indexed="81"/>
            <rFont val="Tahoma"/>
            <family val="2"/>
          </rPr>
          <t>kyung:</t>
        </r>
        <r>
          <rPr>
            <sz val="9"/>
            <color indexed="81"/>
            <rFont val="Tahoma"/>
            <family val="2"/>
          </rPr>
          <t xml:space="preserve">
25Mbps/sector x 3 sectors x 30 days x 24 hrs x 3600 sec /1024 bytes /8 bits   (2.5 bps/hz quoted by major urban lte operators)
</t>
        </r>
      </text>
    </comment>
    <comment ref="M17" authorId="0" shapeId="0" xr:uid="{00000000-0006-0000-0200-00001E000000}">
      <text>
        <r>
          <rPr>
            <b/>
            <sz val="9"/>
            <color indexed="81"/>
            <rFont val="Tahoma"/>
            <family val="2"/>
          </rPr>
          <t>kyung:</t>
        </r>
        <r>
          <rPr>
            <sz val="9"/>
            <color indexed="81"/>
            <rFont val="Tahoma"/>
            <family val="2"/>
          </rPr>
          <t xml:space="preserve">
25Mbps/sector x 3 sectors x 30 days x 24 hrs x 3600 sec /1024 bytes /8 bits   (2.5 bps/hz quoted by major urban lte operators)
</t>
        </r>
      </text>
    </comment>
    <comment ref="O17" authorId="0" shapeId="0" xr:uid="{00000000-0006-0000-0200-00001F000000}">
      <text>
        <r>
          <rPr>
            <b/>
            <sz val="9"/>
            <color indexed="81"/>
            <rFont val="Tahoma"/>
            <family val="2"/>
          </rPr>
          <t>kyung:</t>
        </r>
        <r>
          <rPr>
            <sz val="9"/>
            <color indexed="81"/>
            <rFont val="Tahoma"/>
            <family val="2"/>
          </rPr>
          <t xml:space="preserve">
25Mbps/sector x 3 sectors x 30 days x 24 hrs x 3600 sec /1024 bytes /8 bits   (2.5 bps/hz quoted by major urban lte operators)
</t>
        </r>
      </text>
    </comment>
    <comment ref="O21" authorId="0" shapeId="0" xr:uid="{00000000-0006-0000-0200-000020000000}">
      <text>
        <r>
          <rPr>
            <b/>
            <sz val="9"/>
            <color indexed="81"/>
            <rFont val="Tahoma"/>
            <family val="2"/>
          </rPr>
          <t>kyung:</t>
        </r>
        <r>
          <rPr>
            <sz val="9"/>
            <color indexed="81"/>
            <rFont val="Tahoma"/>
            <family val="2"/>
          </rPr>
          <t xml:space="preserve">
LAA coexistence throughput from NI emulation (3GPP nov2015 filing)</t>
        </r>
      </text>
    </comment>
    <comment ref="P21" authorId="0" shapeId="0" xr:uid="{00000000-0006-0000-0200-000021000000}">
      <text>
        <r>
          <rPr>
            <b/>
            <sz val="9"/>
            <color indexed="81"/>
            <rFont val="Tahoma"/>
            <family val="2"/>
          </rPr>
          <t>kyung:</t>
        </r>
        <r>
          <rPr>
            <sz val="9"/>
            <color indexed="81"/>
            <rFont val="Tahoma"/>
            <family val="2"/>
          </rPr>
          <t xml:space="preserve">
NI 3GPP nov 2015 filiing</t>
        </r>
      </text>
    </comment>
    <comment ref="L22" authorId="0" shapeId="0" xr:uid="{00000000-0006-0000-0200-000022000000}">
      <text>
        <r>
          <rPr>
            <b/>
            <sz val="9"/>
            <color indexed="81"/>
            <rFont val="Tahoma"/>
            <family val="2"/>
          </rPr>
          <t>kyung:</t>
        </r>
        <r>
          <rPr>
            <sz val="9"/>
            <color indexed="81"/>
            <rFont val="Tahoma"/>
            <family val="2"/>
          </rPr>
          <t xml:space="preserve">
2010 Sweden network study showing 12.5% busy-hour rate</t>
        </r>
      </text>
    </comment>
    <comment ref="N22" authorId="0" shapeId="0" xr:uid="{00000000-0006-0000-0200-000023000000}">
      <text>
        <r>
          <rPr>
            <b/>
            <sz val="9"/>
            <color indexed="81"/>
            <rFont val="Tahoma"/>
            <family val="2"/>
          </rPr>
          <t>kyung:</t>
        </r>
        <r>
          <rPr>
            <sz val="9"/>
            <color indexed="81"/>
            <rFont val="Tahoma"/>
            <family val="2"/>
          </rPr>
          <t xml:space="preserve">
2010 Sweden network study showing 12.5% busy-hour rate</t>
        </r>
      </text>
    </comment>
    <comment ref="I24" authorId="0" shapeId="0" xr:uid="{00000000-0006-0000-0200-000027000000}">
      <text>
        <r>
          <rPr>
            <b/>
            <sz val="9"/>
            <color indexed="81"/>
            <rFont val="Tahoma"/>
            <family val="2"/>
          </rPr>
          <t>kyung:</t>
        </r>
        <r>
          <rPr>
            <sz val="9"/>
            <color indexed="81"/>
            <rFont val="Tahoma"/>
            <family val="2"/>
          </rPr>
          <t xml:space="preserve">
25Mbps/sector x 3 sectors x 30 days x 24 hrs x 3600 sec /1024 bytes /8 bits   (2.5 bps/hz quoted by major urban lte operators)
</t>
        </r>
      </text>
    </comment>
    <comment ref="K24" authorId="0" shapeId="0" xr:uid="{00000000-0006-0000-0200-000028000000}">
      <text>
        <r>
          <rPr>
            <b/>
            <sz val="9"/>
            <color indexed="81"/>
            <rFont val="Tahoma"/>
            <family val="2"/>
          </rPr>
          <t>kyung:</t>
        </r>
        <r>
          <rPr>
            <sz val="9"/>
            <color indexed="81"/>
            <rFont val="Tahoma"/>
            <family val="2"/>
          </rPr>
          <t xml:space="preserve">
25Mbps/sector x 3 sectors x 30 days x 24 hrs x 3600 sec /1024 bytes /8 bits   (2.5 bps/hz quoted by major urban lte operators)
</t>
        </r>
      </text>
    </comment>
    <comment ref="M24" authorId="0" shapeId="0" xr:uid="{00000000-0006-0000-0200-000029000000}">
      <text>
        <r>
          <rPr>
            <b/>
            <sz val="9"/>
            <color indexed="81"/>
            <rFont val="Tahoma"/>
            <family val="2"/>
          </rPr>
          <t>kyung:</t>
        </r>
        <r>
          <rPr>
            <sz val="9"/>
            <color indexed="81"/>
            <rFont val="Tahoma"/>
            <family val="2"/>
          </rPr>
          <t xml:space="preserve">
25Mbps/sector x 3 sectors x 30 days x 24 hrs x 3600 sec /1024 bytes /8 bits   (2.5 bps/hz quoted by major urban lte operators)
</t>
        </r>
      </text>
    </comment>
  </commentList>
</comments>
</file>

<file path=xl/sharedStrings.xml><?xml version="1.0" encoding="utf-8"?>
<sst xmlns="http://schemas.openxmlformats.org/spreadsheetml/2006/main" count="2393" uniqueCount="306">
  <si>
    <t>Year 1</t>
  </si>
  <si>
    <t>Year 2</t>
  </si>
  <si>
    <t>Year 3</t>
  </si>
  <si>
    <t>Year 4</t>
  </si>
  <si>
    <t>Year 5</t>
  </si>
  <si>
    <t>Year 6</t>
  </si>
  <si>
    <t>Year 7</t>
  </si>
  <si>
    <t>Year 8</t>
  </si>
  <si>
    <t>Year 0</t>
  </si>
  <si>
    <t>Cash Flow</t>
  </si>
  <si>
    <t>Costs</t>
  </si>
  <si>
    <t>Dense Urban</t>
  </si>
  <si>
    <t>Total</t>
  </si>
  <si>
    <t>Suburban</t>
  </si>
  <si>
    <t>Rural</t>
  </si>
  <si>
    <t>Avg. GB per month per user</t>
  </si>
  <si>
    <t>ARPU (service only)</t>
  </si>
  <si>
    <t>Urban</t>
  </si>
  <si>
    <t>Service revenue</t>
  </si>
  <si>
    <t>Spectrum Cost</t>
  </si>
  <si>
    <r>
      <rPr>
        <b/>
        <sz val="11"/>
        <color theme="1"/>
        <rFont val="Candara"/>
        <family val="2"/>
      </rPr>
      <t>NPV</t>
    </r>
    <r>
      <rPr>
        <sz val="11"/>
        <color theme="1"/>
        <rFont val="Candara"/>
        <family val="2"/>
      </rPr>
      <t xml:space="preserve"> (10% WACC, 8-year)</t>
    </r>
  </si>
  <si>
    <t>5G Fixed Wireless Access</t>
  </si>
  <si>
    <t>(ROI Analysis based on Housing Density)</t>
  </si>
  <si>
    <t>"Cost to Pass"</t>
  </si>
  <si>
    <t>5G Base Station</t>
  </si>
  <si>
    <t>Backhaul</t>
  </si>
  <si>
    <t>Power</t>
  </si>
  <si>
    <t>Base Station Radius</t>
  </si>
  <si>
    <t>km</t>
  </si>
  <si>
    <t>"Cost to Connect"</t>
  </si>
  <si>
    <t>Customer premise equip (CPE)</t>
  </si>
  <si>
    <t>Truck roll</t>
  </si>
  <si>
    <t>Churn rate (monthly)</t>
  </si>
  <si>
    <t>months</t>
  </si>
  <si>
    <t>Customer lifetime value</t>
  </si>
  <si>
    <t>Penetration</t>
  </si>
  <si>
    <t>Network</t>
  </si>
  <si>
    <t>Licensed to:</t>
  </si>
  <si>
    <t>Kyung Mun, Principal Analyst</t>
  </si>
  <si>
    <t>(408) 540-7284</t>
  </si>
  <si>
    <t>kyung@mobile-experts.net</t>
  </si>
  <si>
    <t>Customer service cost</t>
  </si>
  <si>
    <t>customer acq. and serving cost estimate</t>
  </si>
  <si>
    <r>
      <t>ROI - 2000 Homes/km</t>
    </r>
    <r>
      <rPr>
        <b/>
        <vertAlign val="superscript"/>
        <sz val="11"/>
        <color theme="0"/>
        <rFont val="Candara"/>
        <family val="2"/>
      </rPr>
      <t>2</t>
    </r>
  </si>
  <si>
    <r>
      <t>ROI - 1500 Homes/km</t>
    </r>
    <r>
      <rPr>
        <b/>
        <vertAlign val="superscript"/>
        <sz val="11"/>
        <color theme="0"/>
        <rFont val="Candara"/>
        <family val="2"/>
      </rPr>
      <t>2</t>
    </r>
  </si>
  <si>
    <r>
      <t>ROI - 500 Homes/km</t>
    </r>
    <r>
      <rPr>
        <b/>
        <vertAlign val="superscript"/>
        <sz val="11"/>
        <color theme="0"/>
        <rFont val="Candara"/>
        <family val="2"/>
      </rPr>
      <t>2</t>
    </r>
  </si>
  <si>
    <t>assume customer serving cost (SG&amp;A) is about 25% of service revenue</t>
  </si>
  <si>
    <t>Network OPEX</t>
  </si>
  <si>
    <t>Network CAPEX</t>
  </si>
  <si>
    <t>Spectrum</t>
  </si>
  <si>
    <t>"Cost to Pass" a home</t>
  </si>
  <si>
    <t>Total Monthly Network Cost per Subscriber by Market Penetration Rate</t>
  </si>
  <si>
    <t>Homes per km^2</t>
  </si>
  <si>
    <t>No. base stations (per km^2)</t>
  </si>
  <si>
    <r>
      <t>ROI - 1000 Homes/km</t>
    </r>
    <r>
      <rPr>
        <b/>
        <vertAlign val="superscript"/>
        <sz val="11"/>
        <color theme="0"/>
        <rFont val="Candara"/>
        <family val="2"/>
      </rPr>
      <t>2</t>
    </r>
  </si>
  <si>
    <t>Customer service</t>
  </si>
  <si>
    <t>0.2 km cell radius</t>
  </si>
  <si>
    <t>5G FWA service pricing</t>
  </si>
  <si>
    <t>per month</t>
  </si>
  <si>
    <t>Network Costs</t>
  </si>
  <si>
    <t>Mobile Experts Inc.</t>
  </si>
  <si>
    <t xml:space="preserve">5G Broadband Business Case Analysis </t>
  </si>
  <si>
    <t>Joe Madden, Principal Analyst</t>
  </si>
  <si>
    <t>joe@mobile-experts.net</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</si>
  <si>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</si>
  <si>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(ROI Analysis based on Cord Cutting)</t>
  </si>
  <si>
    <t>Average LTE spectrum:</t>
  </si>
  <si>
    <t>Spectral Efficiency:</t>
  </si>
  <si>
    <t>MHz</t>
  </si>
  <si>
    <t>bps/Hz</t>
  </si>
  <si>
    <t>Radio Capacity:</t>
  </si>
  <si>
    <t>Coverage for LTE tower:</t>
  </si>
  <si>
    <t>km2</t>
  </si>
  <si>
    <t>Mbps/km2</t>
  </si>
  <si>
    <t>Spectrum:</t>
  </si>
  <si>
    <t>Coverage per tower:</t>
  </si>
  <si>
    <t>Subscriber adoption (% of homes)</t>
  </si>
  <si>
    <t>GB consumed per site (GB/mo)</t>
  </si>
  <si>
    <t>Assume rural area of:</t>
  </si>
  <si>
    <t>square km</t>
  </si>
  <si>
    <t>Housing Density:</t>
  </si>
  <si>
    <t>per square km</t>
  </si>
  <si>
    <t>5G (4T4R) at 3.5 GHz</t>
  </si>
  <si>
    <t>5G (64T64R) at 3.5 GHz</t>
  </si>
  <si>
    <t>Capacity:</t>
  </si>
  <si>
    <t>GB/mo/km2</t>
  </si>
  <si>
    <t>Demand per km2: (GB/mo/km2)</t>
  </si>
  <si>
    <t>CAPACITY</t>
  </si>
  <si>
    <t>DEMAND</t>
  </si>
  <si>
    <t>LTE+5G  (GB/mo/km2)</t>
  </si>
  <si>
    <t>Capacity for 5G, 4T4R at 3.5 GHz</t>
  </si>
  <si>
    <t>COST OF DEPLOYMENT</t>
  </si>
  <si>
    <t>Network Rollout:  (Percentage of complete coverage)</t>
  </si>
  <si>
    <t>Total Population</t>
  </si>
  <si>
    <t>nationwide total</t>
  </si>
  <si>
    <t>Number of Rural BS:</t>
  </si>
  <si>
    <t>LTE radio equipment</t>
  </si>
  <si>
    <t>LTE network</t>
  </si>
  <si>
    <t>5G (4T4R) 3.5GHz RAN</t>
  </si>
  <si>
    <t>5G (mMIMO) 3.5 GHz RAN</t>
  </si>
  <si>
    <t>REVENUE</t>
  </si>
  <si>
    <t>FWA Revenue per User ($/mo)</t>
  </si>
  <si>
    <t>Adoption</t>
  </si>
  <si>
    <t>Subscribers</t>
  </si>
  <si>
    <t>Revenue ($/year)</t>
  </si>
  <si>
    <t>CASH FLOW</t>
  </si>
  <si>
    <t>CPE/Subscriber Costs</t>
  </si>
  <si>
    <t>Revenue</t>
  </si>
  <si>
    <t>NPV</t>
  </si>
  <si>
    <t>IRR</t>
  </si>
  <si>
    <t>Assume 10% network utilization factor, and spectrum amortized over # of subscribers</t>
  </si>
  <si>
    <t>Rural Case:   Assume no fixed broadband service in the service area but 2G/3G towers available</t>
  </si>
  <si>
    <t>Capacity and ROI Analysis</t>
  </si>
  <si>
    <t>Number of Sites Total:</t>
  </si>
  <si>
    <t>Capacity for 5G, mmwave</t>
  </si>
  <si>
    <t>Market Share</t>
  </si>
  <si>
    <t>Number of subscribers</t>
  </si>
  <si>
    <t>Demand (GB/mo)</t>
  </si>
  <si>
    <t>5G (64T64R) at 2.5 GHz</t>
  </si>
  <si>
    <t>5G mm-wave</t>
  </si>
  <si>
    <t>LTE at 2.5 GHz</t>
  </si>
  <si>
    <t>LTE at 700-850 MHz</t>
  </si>
  <si>
    <t>LTE at 1900-2300 MHz</t>
  </si>
  <si>
    <t>Network Rollout:  (Percentage of sites)</t>
  </si>
  <si>
    <t>5G (8T8R) at 2.5 GHz</t>
  </si>
  <si>
    <t>TOTAL CAPACITY (GB/month)</t>
  </si>
  <si>
    <t>GB/mo per base station:</t>
  </si>
  <si>
    <t>Assume all sites have 3 sectors</t>
  </si>
  <si>
    <t>5G at 600 MHz</t>
  </si>
  <si>
    <t>5G (mMIMO) mm-wave</t>
  </si>
  <si>
    <t>5G (64T) at 2.5 GHz</t>
  </si>
  <si>
    <t>5G (8T) at 2.5 GHz</t>
  </si>
  <si>
    <t>5G (64T) at 3.5 GHz CBRS</t>
  </si>
  <si>
    <t>5G (64T) at 3.7 GHz</t>
  </si>
  <si>
    <t>Capacity for 5G, 64T at 3.7 GHz</t>
  </si>
  <si>
    <t>Capacity for 5G, 64T at 3.5 GHz</t>
  </si>
  <si>
    <t>Capacity for 5G, 64T at 2.5 GHz</t>
  </si>
  <si>
    <t>Capacity for 5G, 8T at 2.5 GHz</t>
  </si>
  <si>
    <t>Capacity for LTE, 8T at 2.5 GHz</t>
  </si>
  <si>
    <t>Capacity below 6 GHz</t>
  </si>
  <si>
    <t>5G mm-wave capacity</t>
  </si>
  <si>
    <t>SCENARIO 1:  FWA AT 28 GHZ, ESTIMATING SENSITIVITY TO HOUSING DENSITY</t>
  </si>
  <si>
    <t>Capacity for 5G Macro, 600 MHz</t>
  </si>
  <si>
    <t>Capacity for Combined LTE Macros, 700-850 MHz:</t>
  </si>
  <si>
    <t>Number of Small Cells:</t>
  </si>
  <si>
    <t>number at year 0</t>
  </si>
  <si>
    <t>Assume 15% network utilization factor, and macros have 3 sectors</t>
  </si>
  <si>
    <t>Capacity for Combined LTE Macros,  1.9 to 2.3 GHz:</t>
  </si>
  <si>
    <t>Capacity for Small Cell, Multiband LTE</t>
  </si>
  <si>
    <t>Small Cell Capacity, LTE</t>
  </si>
  <si>
    <t>Small Cell Capacity, 5G &lt; 6GHz</t>
  </si>
  <si>
    <t>Capacity for Small Cell, Multiband 5G &lt;6 GHz</t>
  </si>
  <si>
    <t>Small Cells, LTE</t>
  </si>
  <si>
    <t>Small Cells, 5G</t>
  </si>
  <si>
    <t>Average LTE DL spectrum:</t>
  </si>
  <si>
    <t xml:space="preserve">Urban Case:   </t>
  </si>
  <si>
    <t xml:space="preserve">Dense Urban Case:   </t>
  </si>
  <si>
    <t>Number of Macro Sites:</t>
  </si>
  <si>
    <t xml:space="preserve">Suburban Case:   </t>
  </si>
  <si>
    <t xml:space="preserve">Rural Case:   </t>
  </si>
  <si>
    <t>Nationwide Total:</t>
  </si>
  <si>
    <t>Average LTE   spectrum:</t>
  </si>
  <si>
    <t>Small Cells, LAA</t>
  </si>
  <si>
    <t>5G @3.5GHz or 3.7 GHz</t>
  </si>
  <si>
    <t>5G @CBRS</t>
  </si>
  <si>
    <t>5G @28/39GHz</t>
  </si>
  <si>
    <t>LTE @2GHz</t>
  </si>
  <si>
    <t>LAA Small Cell</t>
  </si>
  <si>
    <t>Per Cell Site:</t>
  </si>
  <si>
    <t>Spectrum ($/MHz-Pop)</t>
  </si>
  <si>
    <t xml:space="preserve">estimate </t>
  </si>
  <si>
    <t>Straigthpath and XO acq. as proxies</t>
  </si>
  <si>
    <t>Spectrum cost</t>
  </si>
  <si>
    <t>100MHz of spectrum</t>
  </si>
  <si>
    <t>40MHz of spectrum</t>
  </si>
  <si>
    <t>20MHz for DL + 20MHz for UL (FDD)</t>
  </si>
  <si>
    <t>40MHz for DL</t>
  </si>
  <si>
    <t>Radio equipment</t>
  </si>
  <si>
    <t>5GNR radio + mMIMO premium</t>
  </si>
  <si>
    <t>LTE 4x4</t>
  </si>
  <si>
    <t>LTE 2x2</t>
  </si>
  <si>
    <t>Non-Radio Capex items (installation/upgrades)</t>
  </si>
  <si>
    <t>Spectrum (monthly)</t>
  </si>
  <si>
    <t>20-year depreciation</t>
  </si>
  <si>
    <t>Radio (monthly)</t>
  </si>
  <si>
    <t>5-year depreciation</t>
  </si>
  <si>
    <t>Core hosted cost (monthly)</t>
  </si>
  <si>
    <t>Site lease (monthly)</t>
  </si>
  <si>
    <t>avg. of muni poles in top markets</t>
  </si>
  <si>
    <t>Backhaul (monthly)</t>
  </si>
  <si>
    <t>dark fiber</t>
  </si>
  <si>
    <t>Power (monthly)</t>
  </si>
  <si>
    <t xml:space="preserve">10% increase </t>
  </si>
  <si>
    <t>LTE max. cell capacity (GB/monthly)</t>
  </si>
  <si>
    <t>2.5bps/Hz spectral efficiency w/ LTE</t>
  </si>
  <si>
    <t>massive MIMO gain</t>
  </si>
  <si>
    <t>64T64R gain from 4T4R</t>
  </si>
  <si>
    <t>5GNR spectral efficiency gain</t>
  </si>
  <si>
    <t>30% gain estimate from 5GNR vs. LTE</t>
  </si>
  <si>
    <t>Max. cell capacity (GB/monthly)</t>
  </si>
  <si>
    <t>LAA coexistence throughput from NI emulation</t>
  </si>
  <si>
    <t>Eff. cell capacity (GB/monthly)</t>
  </si>
  <si>
    <t>10% average-monthly usage</t>
  </si>
  <si>
    <t>8% average-monthly usage</t>
  </si>
  <si>
    <t>12.5% average-monthly usage</t>
  </si>
  <si>
    <t>5% average-monthly usage</t>
  </si>
  <si>
    <t xml:space="preserve"> Avg. cell  throughput (Mbps)</t>
  </si>
  <si>
    <t>5GNR, 3-sector, 40MHz (DL), 64T64R</t>
  </si>
  <si>
    <t>5GNR, 3-sector, 200MHz (DL), 64T64R</t>
  </si>
  <si>
    <t>LTE, 3-sector, 10MHz (DL), 4T4R</t>
  </si>
  <si>
    <t>LTE, 40MHz (DL)</t>
  </si>
  <si>
    <t>Cost per GB ($/GB)</t>
  </si>
  <si>
    <t>spectrum</t>
  </si>
  <si>
    <t>network eq.</t>
  </si>
  <si>
    <t>site lease</t>
  </si>
  <si>
    <t>backhaul</t>
  </si>
  <si>
    <t>power</t>
  </si>
  <si>
    <t>Relative Site Density (LTE macro = 1)</t>
  </si>
  <si>
    <t>LAA small cell</t>
  </si>
  <si>
    <t>rough estimate</t>
  </si>
  <si>
    <t>5G @3.5Ghz</t>
  </si>
  <si>
    <t>5G @mmW</t>
  </si>
  <si>
    <t>estimate based on simulation and field trial reporting from vendors</t>
  </si>
  <si>
    <t>VZ 5G Home pricing ($50/monthly for existing VZ mobile customer); typical 300Mbps speed and up to 940Mbps</t>
  </si>
  <si>
    <t xml:space="preserve">300 Mbps typical speed </t>
  </si>
  <si>
    <r>
      <t>ROI - 2500 Homes/km</t>
    </r>
    <r>
      <rPr>
        <b/>
        <vertAlign val="superscript"/>
        <sz val="11"/>
        <color theme="0"/>
        <rFont val="Candara"/>
        <family val="2"/>
      </rPr>
      <t>2</t>
    </r>
  </si>
  <si>
    <t>FWA  discount (premium) to capture share</t>
  </si>
  <si>
    <t>0.4 km cell radius</t>
  </si>
  <si>
    <t>0.3 km cell radius</t>
  </si>
  <si>
    <t>5G mmW FWA break-even</t>
  </si>
  <si>
    <r>
      <t>5000 homes/km</t>
    </r>
    <r>
      <rPr>
        <vertAlign val="superscript"/>
        <sz val="11"/>
        <rFont val="Candara"/>
        <family val="2"/>
      </rPr>
      <t>2</t>
    </r>
    <r>
      <rPr>
        <sz val="11"/>
        <rFont val="Candara"/>
        <family val="2"/>
      </rPr>
      <t xml:space="preserve">  (Brooklyn, NY)</t>
    </r>
  </si>
  <si>
    <r>
      <t>2500 homes/km</t>
    </r>
    <r>
      <rPr>
        <vertAlign val="superscript"/>
        <sz val="11"/>
        <rFont val="Candara"/>
        <family val="2"/>
      </rPr>
      <t>2</t>
    </r>
    <r>
      <rPr>
        <sz val="11"/>
        <rFont val="Candara"/>
        <family val="2"/>
      </rPr>
      <t xml:space="preserve">  (Cambridge, MA)</t>
    </r>
  </si>
  <si>
    <r>
      <t>2000 homes/km</t>
    </r>
    <r>
      <rPr>
        <vertAlign val="superscript"/>
        <sz val="11"/>
        <rFont val="Candara"/>
        <family val="2"/>
      </rPr>
      <t>2</t>
    </r>
    <r>
      <rPr>
        <sz val="11"/>
        <rFont val="Candara"/>
        <family val="2"/>
      </rPr>
      <t xml:space="preserve">  (Chicago, IL)</t>
    </r>
  </si>
  <si>
    <r>
      <t>1500 homes/km</t>
    </r>
    <r>
      <rPr>
        <vertAlign val="superscript"/>
        <sz val="11"/>
        <rFont val="Candara"/>
        <family val="2"/>
      </rPr>
      <t>2</t>
    </r>
    <r>
      <rPr>
        <sz val="11"/>
        <rFont val="Candara"/>
        <family val="2"/>
      </rPr>
      <t xml:space="preserve">  (Arlington, VA)</t>
    </r>
  </si>
  <si>
    <r>
      <t>1000 homes/km</t>
    </r>
    <r>
      <rPr>
        <vertAlign val="superscript"/>
        <sz val="11"/>
        <rFont val="Candara"/>
        <family val="2"/>
      </rPr>
      <t>2</t>
    </r>
    <r>
      <rPr>
        <sz val="11"/>
        <rFont val="Candara"/>
        <family val="2"/>
      </rPr>
      <t xml:space="preserve"> (Orange County, CA)</t>
    </r>
  </si>
  <si>
    <r>
      <t>500 homes/km</t>
    </r>
    <r>
      <rPr>
        <vertAlign val="superscript"/>
        <sz val="11"/>
        <rFont val="Candara"/>
        <family val="2"/>
      </rPr>
      <t>2</t>
    </r>
    <r>
      <rPr>
        <sz val="11"/>
        <rFont val="Candara"/>
        <family val="2"/>
      </rPr>
      <t xml:space="preserve">  (Plano, TX)</t>
    </r>
  </si>
  <si>
    <r>
      <t>ROI - 5000 Homes/km</t>
    </r>
    <r>
      <rPr>
        <b/>
        <vertAlign val="superscript"/>
        <sz val="11"/>
        <color theme="0"/>
        <rFont val="Candara"/>
        <family val="2"/>
      </rPr>
      <t>2</t>
    </r>
  </si>
  <si>
    <t>assume 30% cellular coverage in rural land mass</t>
  </si>
  <si>
    <t>Total rural Population</t>
  </si>
  <si>
    <t>Avg. GB per month per home</t>
  </si>
  <si>
    <t>Capacity for Existing LTE Network at 700-800 MHz</t>
  </si>
  <si>
    <t>Capacity for Existing LTE Network at 1900-2300 MHz</t>
  </si>
  <si>
    <t>Number of (home) subscribers per km2</t>
  </si>
  <si>
    <t>based on 700-800MHz carrier</t>
  </si>
  <si>
    <t>5GNR radio + mMIMO (128T) premium</t>
  </si>
  <si>
    <t>FWA Target homes</t>
  </si>
  <si>
    <t># of Rural homes</t>
  </si>
  <si>
    <t>5GNR radio + mMIMO (64T) premium (subtract $10K for 4T4R variety)</t>
  </si>
  <si>
    <t xml:space="preserve">20% target </t>
  </si>
  <si>
    <t xml:space="preserve">Total Population </t>
  </si>
  <si>
    <t>number of dense urban pop, year 0 (under coverage)</t>
  </si>
  <si>
    <t>monthly utilization w/ 3-sector macro</t>
  </si>
  <si>
    <t>3.5-3.7 GHz</t>
  </si>
  <si>
    <t>mm-wave</t>
  </si>
  <si>
    <t>5G @2.5GHz</t>
  </si>
  <si>
    <t>Small Cell, LTE</t>
  </si>
  <si>
    <t>Small Cell, 5G</t>
  </si>
  <si>
    <t>Subscriber Serving Costs</t>
  </si>
  <si>
    <t>5G @600MHz</t>
  </si>
  <si>
    <t>LTE 4x4 or 8T</t>
  </si>
  <si>
    <t>Mobile Demand (GB/mo/km2)</t>
  </si>
  <si>
    <t>Demand incl. Mobile (GB/mo/km2)</t>
  </si>
  <si>
    <t>Country Wide</t>
  </si>
  <si>
    <t>Revenue (Euro/year)</t>
  </si>
  <si>
    <t>constant foreign exchange ($1.2 to 1 euro) assumed</t>
  </si>
  <si>
    <t>Capacity for Combined LTE Macros, 700-900 MHz:</t>
  </si>
  <si>
    <t>Capacity for Combined LTE Macros,  1.5 - 2.6 GHz:</t>
  </si>
  <si>
    <t>Capacity for 5G, 64T at 3.6 GHz</t>
  </si>
  <si>
    <t>3.4-3.8 GHz</t>
  </si>
  <si>
    <t>LTE at 700-900 MHz</t>
  </si>
  <si>
    <t>LTE at 1500-2600 MHz</t>
  </si>
  <si>
    <t>5G (64T) at 3.6 GHz</t>
  </si>
  <si>
    <t>800MHz for DL</t>
  </si>
  <si>
    <t>(Cambridge, MA)</t>
  </si>
  <si>
    <t>(Chicago)</t>
  </si>
  <si>
    <t>(Brooklyn)</t>
  </si>
  <si>
    <t>(Arlington, VA)</t>
  </si>
  <si>
    <t>(Orange County)</t>
  </si>
  <si>
    <t>(Plano, TX)</t>
  </si>
  <si>
    <r>
      <t>Subscriber homes (per km</t>
    </r>
    <r>
      <rPr>
        <vertAlign val="superscript"/>
        <sz val="11"/>
        <rFont val="Candara"/>
        <family val="2"/>
      </rPr>
      <t>2</t>
    </r>
    <r>
      <rPr>
        <sz val="11"/>
        <rFont val="Candara"/>
        <family val="2"/>
      </rPr>
      <t>)</t>
    </r>
  </si>
  <si>
    <t>5G mmW FWA IRR</t>
  </si>
  <si>
    <t>LTE capacity</t>
  </si>
  <si>
    <t>SCENARIO ANALYSIS</t>
  </si>
  <si>
    <t>5G at 3-4 GHz</t>
  </si>
  <si>
    <t>Net Cash Flow by Morphology</t>
  </si>
  <si>
    <t>2)  LTE+5G network investments to meet projected Mobile and Fixed data demand but serve only the Fixed Wireless opportunity</t>
  </si>
  <si>
    <t>1)  LTE network dedicated to serve only the Fixed Wireless opportunity without 5G investment</t>
  </si>
  <si>
    <t>Small Cell, 5G &lt; 6GHz</t>
  </si>
  <si>
    <t>Network Costs (incl. Spectrum)</t>
  </si>
  <si>
    <t>Capacity for 5G, 64T64R at 3.7 GHz</t>
  </si>
  <si>
    <t>3)  LTE+5G network investments to serve both the Fixed Wireless and Mobile opportunity</t>
  </si>
  <si>
    <t>"Cost to Connect" a home</t>
  </si>
  <si>
    <r>
      <t>5000 homes/km</t>
    </r>
    <r>
      <rPr>
        <vertAlign val="superscript"/>
        <sz val="11"/>
        <color theme="0"/>
        <rFont val="Candara"/>
        <family val="2"/>
      </rPr>
      <t>2</t>
    </r>
    <r>
      <rPr>
        <sz val="11"/>
        <color theme="0"/>
        <rFont val="Candara"/>
        <family val="2"/>
      </rPr>
      <t xml:space="preserve"> (Brooklyn)</t>
    </r>
  </si>
  <si>
    <r>
      <t>2500 homes/km</t>
    </r>
    <r>
      <rPr>
        <vertAlign val="superscript"/>
        <sz val="11"/>
        <color theme="0"/>
        <rFont val="Candara"/>
        <family val="2"/>
      </rPr>
      <t>2</t>
    </r>
    <r>
      <rPr>
        <sz val="11"/>
        <color theme="0"/>
        <rFont val="Candara"/>
        <family val="2"/>
      </rPr>
      <t xml:space="preserve"> (Cambridge, MA)</t>
    </r>
  </si>
  <si>
    <r>
      <t>2000 homes/km</t>
    </r>
    <r>
      <rPr>
        <vertAlign val="superscript"/>
        <sz val="11"/>
        <color theme="0"/>
        <rFont val="Candara"/>
        <family val="2"/>
      </rPr>
      <t>2</t>
    </r>
    <r>
      <rPr>
        <sz val="11"/>
        <color theme="0"/>
        <rFont val="Candara"/>
        <family val="2"/>
      </rPr>
      <t xml:space="preserve"> (Chicago)</t>
    </r>
  </si>
  <si>
    <r>
      <t>1500 homes/km</t>
    </r>
    <r>
      <rPr>
        <vertAlign val="superscript"/>
        <sz val="11"/>
        <color theme="0"/>
        <rFont val="Candara"/>
        <family val="2"/>
      </rPr>
      <t>2</t>
    </r>
    <r>
      <rPr>
        <sz val="11"/>
        <color theme="0"/>
        <rFont val="Candara"/>
        <family val="2"/>
      </rPr>
      <t xml:space="preserve"> (Arlington, VA)</t>
    </r>
  </si>
  <si>
    <r>
      <t>1000 homes/km</t>
    </r>
    <r>
      <rPr>
        <vertAlign val="superscript"/>
        <sz val="11"/>
        <color theme="0"/>
        <rFont val="Candara"/>
        <family val="2"/>
      </rPr>
      <t>2</t>
    </r>
    <r>
      <rPr>
        <sz val="11"/>
        <color theme="0"/>
        <rFont val="Candara"/>
        <family val="2"/>
      </rPr>
      <t xml:space="preserve"> (Orange County)</t>
    </r>
  </si>
  <si>
    <t>CASH FLOW In "Do-Nothing" Scenario</t>
  </si>
  <si>
    <t>SCENARIO 2:  5G FWA Service in Rural Markets</t>
  </si>
  <si>
    <t>SCENARIO 3:   NORTH AMERICAN TIER-ONE OPERATOR</t>
  </si>
  <si>
    <t>SCENARIO 3:   NORTH AMERICAN TIER ONE OPERATOR</t>
  </si>
  <si>
    <t>SCENARIO 4:  T-Mobile/Sprint Merger</t>
  </si>
  <si>
    <t>SCENARIO 5:   EUROPEAN TIER ONE OPERATOR</t>
  </si>
  <si>
    <t>Network utilization factor</t>
  </si>
  <si>
    <t>Assume 3-sector macros</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</si>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</sst>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quot;$&quot;#,##0,,&quot; M&quot;"/>
    <numFmt numFmtId="166" formatCode="_(* #,##0.0_);_(* \(#,##0.0\);_(* &quot;-&quot;??_);_(@_)"/>
    <numFmt numFmtId="167" formatCode="0.0"/>
    <numFmt numFmtId="168" formatCode="[$-409]d\-mmm\-yyyy;@"/>
    <numFmt numFmtId="169" formatCode="0.0%"/>
    <numFmt numFmtId="170" formatCode="_(&quot;$&quot;* #,##0.00_);_(&quot;$&quot;* \(#,##0.00\);_(&quot;$&quot;* &quot;-&quot;_);_(@_)"/>
    <numFmt numFmtId="171" formatCode="_(&quot;$&quot;* #,##0_);_(&quot;$&quot;* \(#,##0\);_(&quot;$&quot;* &quot;-&quot;??_);_(@_)"/>
    <numFmt numFmtId="172" formatCode="&quot;$&quot;#,##0,,\ &quot; M&quot;"/>
    <numFmt numFmtId="173" formatCode="_(* #,##0.0_);_(* \(#,##0.0\);_(* &quot;-&quot;?_);_(@_)"/>
    <numFmt numFmtId="174" formatCode="[$€-2]\ #,##0,,&quot; M&quot;"/>
    <numFmt numFmtId="175" formatCode="&quot;$&quot;#,##0.000_);[Red]\(&quot;$&quot;#,##0.000\)"/>
  </numFmts>
  <fonts count="29" x14ac:knownFonts="1">
    <font>
      <sz val="11"/>
      <color theme="1"/>
      <name val="Calibri"/>
      <family val="2"/>
      <scheme val="minor"/>
    </font>
    <font>
      <sz val="11"/>
      <color theme="1"/>
      <name val="Candara"/>
      <family val="2"/>
    </font>
    <font>
      <sz val="11"/>
      <color theme="1"/>
      <name val="Candara"/>
      <family val="2"/>
    </font>
    <font>
      <sz val="11"/>
      <color theme="1"/>
      <name val="Calibri"/>
      <family val="2"/>
      <scheme val="minor"/>
    </font>
    <font>
      <sz val="9"/>
      <color indexed="81"/>
      <name val="Tahoma"/>
      <family val="2"/>
    </font>
    <font>
      <b/>
      <sz val="9"/>
      <color indexed="81"/>
      <name val="Tahoma"/>
      <family val="2"/>
    </font>
    <font>
      <b/>
      <sz val="11"/>
      <color theme="1"/>
      <name val="Candara"/>
      <family val="2"/>
    </font>
    <font>
      <sz val="11"/>
      <color theme="8"/>
      <name val="Candara"/>
      <family val="2"/>
    </font>
    <font>
      <u/>
      <sz val="11"/>
      <color theme="10"/>
      <name val="Calibri"/>
      <family val="2"/>
      <scheme val="minor"/>
    </font>
    <font>
      <sz val="11"/>
      <color rgb="FFFF0000"/>
      <name val="Candara"/>
      <family val="2"/>
    </font>
    <font>
      <sz val="11"/>
      <color theme="0"/>
      <name val="Candara"/>
      <family val="2"/>
    </font>
    <font>
      <b/>
      <sz val="11"/>
      <color theme="0"/>
      <name val="Candara"/>
      <family val="2"/>
    </font>
    <font>
      <b/>
      <sz val="11"/>
      <color rgb="FFFF0000"/>
      <name val="Candara"/>
      <family val="2"/>
    </font>
    <font>
      <b/>
      <sz val="11"/>
      <name val="Candara"/>
      <family val="2"/>
    </font>
    <font>
      <b/>
      <sz val="11"/>
      <color theme="4"/>
      <name val="Candara"/>
      <family val="2"/>
    </font>
    <font>
      <sz val="9"/>
      <color theme="1"/>
      <name val="Candara"/>
      <family val="2"/>
    </font>
    <font>
      <b/>
      <vertAlign val="superscript"/>
      <sz val="11"/>
      <color theme="0"/>
      <name val="Candara"/>
      <family val="2"/>
    </font>
    <font>
      <sz val="11"/>
      <name val="Candara"/>
      <family val="2"/>
    </font>
    <font>
      <vertAlign val="superscript"/>
      <sz val="11"/>
      <name val="Candara"/>
      <family val="2"/>
    </font>
    <font>
      <sz val="11"/>
      <color theme="4"/>
      <name val="Candara"/>
      <family val="2"/>
    </font>
    <font>
      <sz val="11"/>
      <color theme="3"/>
      <name val="Candara"/>
      <family val="2"/>
    </font>
    <font>
      <sz val="11"/>
      <color theme="0" tint="-0.249977111117893"/>
      <name val="Candara"/>
      <family val="2"/>
    </font>
    <font>
      <sz val="11"/>
      <color theme="0" tint="-4.9989318521683403E-2"/>
      <name val="Candara"/>
      <family val="2"/>
    </font>
    <font>
      <b/>
      <u/>
      <sz val="11"/>
      <color theme="0"/>
      <name val="Candara"/>
      <family val="2"/>
    </font>
    <font>
      <b/>
      <u/>
      <sz val="11"/>
      <color theme="1"/>
      <name val="Candara"/>
      <family val="2"/>
    </font>
    <font>
      <sz val="11"/>
      <color rgb="FF0070C0"/>
      <name val="Candara"/>
      <family val="2"/>
    </font>
    <font>
      <i/>
      <sz val="11"/>
      <color theme="1"/>
      <name val="Candara"/>
      <family val="2"/>
    </font>
    <font>
      <b/>
      <sz val="11"/>
      <color theme="8"/>
      <name val="Candara"/>
      <family val="2"/>
    </font>
    <font>
      <vertAlign val="superscript"/>
      <sz val="11"/>
      <color theme="0"/>
      <name val="Candara"/>
      <family val="2"/>
    </font>
  </fonts>
  <fills count="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2"/>
        <bgColor indexed="64"/>
      </patternFill>
    </fill>
    <fill>
      <patternFill patternType="solid">
        <fgColor theme="0" tint="-0.249977111117893"/>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6">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168" fontId="8" fillId="0" borderId="0" applyNumberFormat="0" applyFill="0" applyBorder="0" applyAlignment="0" applyProtection="0"/>
    <xf numFmtId="0" fontId="8" fillId="0" borderId="0" applyNumberFormat="0" applyFill="0" applyBorder="0" applyAlignment="0" applyProtection="0"/>
  </cellStyleXfs>
  <cellXfs count="428">
    <xf numFmtId="0" fontId="0" fillId="0" borderId="0" xfId="0"/>
    <xf numFmtId="0" fontId="2" fillId="0" borderId="4" xfId="0" applyFont="1" applyBorder="1"/>
    <xf numFmtId="0" fontId="2" fillId="0" borderId="0" xfId="0" applyFont="1" applyBorder="1"/>
    <xf numFmtId="0" fontId="2" fillId="0" borderId="0" xfId="0" applyFont="1"/>
    <xf numFmtId="0" fontId="6" fillId="0" borderId="0" xfId="0" applyFont="1"/>
    <xf numFmtId="0" fontId="6" fillId="0" borderId="4" xfId="0" applyFont="1" applyBorder="1"/>
    <xf numFmtId="164" fontId="2" fillId="0" borderId="0" xfId="0" applyNumberFormat="1" applyFont="1" applyBorder="1"/>
    <xf numFmtId="0" fontId="2" fillId="0" borderId="4" xfId="0" applyFont="1" applyBorder="1" applyAlignment="1">
      <alignment horizontal="left" indent="2"/>
    </xf>
    <xf numFmtId="0" fontId="6" fillId="0" borderId="0" xfId="0" applyFont="1" applyBorder="1"/>
    <xf numFmtId="0" fontId="2" fillId="0" borderId="5" xfId="0" applyFont="1" applyBorder="1"/>
    <xf numFmtId="0" fontId="2" fillId="0" borderId="0" xfId="0" applyFont="1" applyBorder="1" applyAlignment="1">
      <alignment horizontal="left" indent="2"/>
    </xf>
    <xf numFmtId="43" fontId="2" fillId="0" borderId="0" xfId="0" applyNumberFormat="1" applyFont="1" applyBorder="1"/>
    <xf numFmtId="164" fontId="2" fillId="0" borderId="5" xfId="0" applyNumberFormat="1" applyFont="1" applyBorder="1"/>
    <xf numFmtId="0" fontId="2" fillId="0" borderId="4" xfId="0" applyFont="1" applyBorder="1" applyAlignment="1">
      <alignment horizontal="left"/>
    </xf>
    <xf numFmtId="0" fontId="2" fillId="0" borderId="0" xfId="0" applyFont="1" applyBorder="1" applyAlignment="1">
      <alignment horizontal="left"/>
    </xf>
    <xf numFmtId="0" fontId="11" fillId="2" borderId="2" xfId="0" applyFont="1" applyFill="1" applyBorder="1"/>
    <xf numFmtId="0" fontId="11" fillId="2" borderId="3" xfId="0" applyFont="1" applyFill="1" applyBorder="1"/>
    <xf numFmtId="2" fontId="2" fillId="0" borderId="0" xfId="0" applyNumberFormat="1" applyFont="1"/>
    <xf numFmtId="43" fontId="2" fillId="0" borderId="0" xfId="1" applyFont="1"/>
    <xf numFmtId="0" fontId="11" fillId="2" borderId="1" xfId="0" applyFont="1" applyFill="1" applyBorder="1"/>
    <xf numFmtId="0" fontId="10" fillId="2" borderId="2" xfId="0" applyFont="1" applyFill="1" applyBorder="1"/>
    <xf numFmtId="6" fontId="6" fillId="0" borderId="7" xfId="0" applyNumberFormat="1" applyFont="1" applyBorder="1"/>
    <xf numFmtId="0" fontId="2" fillId="0" borderId="0" xfId="0" applyFont="1" applyAlignment="1">
      <alignment horizontal="right"/>
    </xf>
    <xf numFmtId="0" fontId="14" fillId="0" borderId="0" xfId="0" applyFont="1" applyFill="1"/>
    <xf numFmtId="14" fontId="2" fillId="0" borderId="0" xfId="0" applyNumberFormat="1" applyFont="1"/>
    <xf numFmtId="168" fontId="8" fillId="0" borderId="0" xfId="4"/>
    <xf numFmtId="2" fontId="2" fillId="0" borderId="0" xfId="0" applyNumberFormat="1" applyFont="1" applyBorder="1"/>
    <xf numFmtId="2" fontId="2" fillId="0" borderId="5" xfId="0" applyNumberFormat="1" applyFont="1" applyBorder="1"/>
    <xf numFmtId="0" fontId="6" fillId="0" borderId="6" xfId="0" applyFont="1" applyBorder="1"/>
    <xf numFmtId="6" fontId="6" fillId="0" borderId="8" xfId="0" applyNumberFormat="1" applyFont="1" applyBorder="1"/>
    <xf numFmtId="0" fontId="11" fillId="2" borderId="1" xfId="0" applyFont="1" applyFill="1" applyBorder="1" applyAlignment="1">
      <alignment wrapText="1"/>
    </xf>
    <xf numFmtId="165" fontId="17" fillId="0" borderId="0" xfId="0" applyNumberFormat="1" applyFont="1" applyBorder="1"/>
    <xf numFmtId="42" fontId="2" fillId="0" borderId="0" xfId="0" applyNumberFormat="1" applyFont="1" applyBorder="1"/>
    <xf numFmtId="170" fontId="2" fillId="0" borderId="0" xfId="0" applyNumberFormat="1" applyFont="1" applyBorder="1"/>
    <xf numFmtId="42" fontId="2" fillId="0" borderId="5" xfId="0" applyNumberFormat="1" applyFont="1" applyBorder="1"/>
    <xf numFmtId="170" fontId="2" fillId="0" borderId="5" xfId="0" applyNumberFormat="1" applyFont="1" applyBorder="1"/>
    <xf numFmtId="6" fontId="6" fillId="0" borderId="0" xfId="0" applyNumberFormat="1" applyFont="1" applyFill="1" applyBorder="1"/>
    <xf numFmtId="6" fontId="2" fillId="0" borderId="0" xfId="0" applyNumberFormat="1" applyFont="1" applyFill="1" applyBorder="1"/>
    <xf numFmtId="0" fontId="2" fillId="0" borderId="8" xfId="0" applyFont="1" applyBorder="1"/>
    <xf numFmtId="43" fontId="2" fillId="0" borderId="0" xfId="0" applyNumberFormat="1" applyFont="1"/>
    <xf numFmtId="0" fontId="2" fillId="0" borderId="7" xfId="0" applyFont="1" applyBorder="1"/>
    <xf numFmtId="8" fontId="2" fillId="0" borderId="0" xfId="0" applyNumberFormat="1" applyFont="1"/>
    <xf numFmtId="164" fontId="6" fillId="0" borderId="0" xfId="0" applyNumberFormat="1" applyFont="1"/>
    <xf numFmtId="9" fontId="6" fillId="0" borderId="0" xfId="3" applyFont="1"/>
    <xf numFmtId="8" fontId="2" fillId="0" borderId="0" xfId="0" applyNumberFormat="1" applyFont="1" applyFill="1" applyBorder="1"/>
    <xf numFmtId="44" fontId="6" fillId="0" borderId="5" xfId="2" applyFont="1" applyFill="1" applyBorder="1"/>
    <xf numFmtId="164" fontId="7" fillId="0" borderId="0" xfId="1" applyNumberFormat="1" applyFont="1" applyBorder="1"/>
    <xf numFmtId="9" fontId="2" fillId="0" borderId="5" xfId="3" applyFont="1" applyBorder="1"/>
    <xf numFmtId="165" fontId="17" fillId="0" borderId="5" xfId="0" applyNumberFormat="1" applyFont="1" applyBorder="1"/>
    <xf numFmtId="0" fontId="1" fillId="0" borderId="0" xfId="0" applyFont="1"/>
    <xf numFmtId="168" fontId="8" fillId="0" borderId="0" xfId="5" applyNumberFormat="1"/>
    <xf numFmtId="0" fontId="1" fillId="0" borderId="1" xfId="0" applyFont="1" applyBorder="1"/>
    <xf numFmtId="0" fontId="1" fillId="0" borderId="2" xfId="0" applyFont="1" applyBorder="1" applyAlignment="1">
      <alignment horizontal="right"/>
    </xf>
    <xf numFmtId="0" fontId="1" fillId="0" borderId="3" xfId="0" applyFont="1" applyBorder="1"/>
    <xf numFmtId="0" fontId="1" fillId="0" borderId="4" xfId="0" applyFont="1" applyBorder="1"/>
    <xf numFmtId="0" fontId="1" fillId="0" borderId="0" xfId="0" applyFont="1" applyBorder="1" applyAlignment="1">
      <alignment horizontal="right"/>
    </xf>
    <xf numFmtId="0" fontId="1" fillId="0" borderId="0" xfId="0" applyFont="1" applyBorder="1"/>
    <xf numFmtId="0" fontId="1" fillId="0" borderId="5" xfId="0" applyFont="1" applyBorder="1"/>
    <xf numFmtId="0" fontId="1" fillId="0" borderId="6" xfId="0" applyFont="1" applyBorder="1"/>
    <xf numFmtId="0" fontId="1" fillId="0" borderId="8" xfId="0" applyFont="1" applyBorder="1"/>
    <xf numFmtId="0" fontId="1" fillId="0" borderId="4" xfId="0" applyFont="1" applyBorder="1" applyAlignment="1"/>
    <xf numFmtId="0" fontId="1" fillId="0" borderId="4" xfId="0" applyFont="1" applyBorder="1" applyAlignment="1">
      <alignment horizontal="left"/>
    </xf>
    <xf numFmtId="0" fontId="11" fillId="5" borderId="2" xfId="0" applyFont="1" applyFill="1" applyBorder="1"/>
    <xf numFmtId="0" fontId="11" fillId="5" borderId="3" xfId="0" applyFont="1" applyFill="1" applyBorder="1"/>
    <xf numFmtId="164" fontId="1" fillId="0" borderId="0" xfId="1" applyNumberFormat="1" applyFont="1"/>
    <xf numFmtId="0" fontId="17" fillId="0" borderId="0" xfId="0" applyFont="1" applyFill="1" applyBorder="1"/>
    <xf numFmtId="0" fontId="13" fillId="0" borderId="0" xfId="0" applyFont="1" applyFill="1" applyBorder="1"/>
    <xf numFmtId="164" fontId="17" fillId="0" borderId="0" xfId="1" applyNumberFormat="1" applyFont="1" applyFill="1" applyBorder="1"/>
    <xf numFmtId="0" fontId="11" fillId="5" borderId="1" xfId="0" applyFont="1" applyFill="1" applyBorder="1"/>
    <xf numFmtId="0" fontId="1" fillId="0" borderId="11" xfId="0" applyFont="1" applyBorder="1"/>
    <xf numFmtId="0" fontId="1" fillId="0" borderId="12" xfId="0" applyFont="1" applyBorder="1"/>
    <xf numFmtId="0" fontId="1" fillId="0" borderId="13" xfId="0" applyFont="1" applyBorder="1"/>
    <xf numFmtId="0" fontId="17" fillId="0" borderId="0" xfId="0" applyFont="1" applyBorder="1"/>
    <xf numFmtId="0" fontId="19" fillId="0" borderId="0" xfId="0" applyFont="1" applyBorder="1"/>
    <xf numFmtId="0" fontId="19" fillId="0" borderId="2" xfId="0" applyFont="1" applyBorder="1"/>
    <xf numFmtId="0" fontId="1" fillId="3" borderId="0" xfId="0" applyFont="1" applyFill="1"/>
    <xf numFmtId="0" fontId="20" fillId="3" borderId="0" xfId="0" applyFont="1" applyFill="1"/>
    <xf numFmtId="164" fontId="1" fillId="0" borderId="0" xfId="1" applyNumberFormat="1" applyFont="1" applyBorder="1"/>
    <xf numFmtId="164" fontId="1" fillId="0" borderId="5" xfId="1" applyNumberFormat="1" applyFont="1" applyBorder="1"/>
    <xf numFmtId="164" fontId="17" fillId="0" borderId="5" xfId="1" applyNumberFormat="1" applyFont="1" applyFill="1" applyBorder="1"/>
    <xf numFmtId="164" fontId="1" fillId="0" borderId="0" xfId="0" applyNumberFormat="1" applyFont="1" applyBorder="1"/>
    <xf numFmtId="0" fontId="9" fillId="0" borderId="0" xfId="0" applyFont="1" applyBorder="1"/>
    <xf numFmtId="0" fontId="1" fillId="0" borderId="4" xfId="0" applyFont="1" applyFill="1" applyBorder="1"/>
    <xf numFmtId="0" fontId="9" fillId="0" borderId="0" xfId="0" applyFont="1"/>
    <xf numFmtId="165" fontId="9" fillId="4" borderId="3" xfId="0" applyNumberFormat="1" applyFont="1" applyFill="1" applyBorder="1"/>
    <xf numFmtId="165" fontId="9" fillId="0" borderId="0" xfId="2" applyNumberFormat="1" applyFont="1" applyBorder="1"/>
    <xf numFmtId="164" fontId="13" fillId="0" borderId="0" xfId="1" applyNumberFormat="1" applyFont="1" applyFill="1" applyBorder="1"/>
    <xf numFmtId="0" fontId="6" fillId="0" borderId="4" xfId="0" applyFont="1" applyFill="1" applyBorder="1"/>
    <xf numFmtId="165" fontId="9" fillId="0" borderId="2" xfId="2" applyNumberFormat="1" applyFont="1" applyBorder="1"/>
    <xf numFmtId="0" fontId="9" fillId="0" borderId="2" xfId="0" applyFont="1" applyBorder="1"/>
    <xf numFmtId="0" fontId="9" fillId="0" borderId="3" xfId="0" applyFont="1" applyBorder="1"/>
    <xf numFmtId="0" fontId="9" fillId="0" borderId="5" xfId="0" applyFont="1" applyBorder="1"/>
    <xf numFmtId="0" fontId="12" fillId="0" borderId="0" xfId="0" applyFont="1"/>
    <xf numFmtId="165" fontId="12" fillId="0" borderId="7" xfId="0" applyNumberFormat="1" applyFont="1" applyBorder="1"/>
    <xf numFmtId="0" fontId="21" fillId="0" borderId="0" xfId="0" applyFont="1"/>
    <xf numFmtId="164" fontId="13" fillId="0" borderId="5" xfId="1" applyNumberFormat="1" applyFont="1" applyFill="1" applyBorder="1"/>
    <xf numFmtId="164" fontId="17" fillId="0" borderId="0" xfId="1" applyNumberFormat="1" applyFont="1"/>
    <xf numFmtId="164" fontId="17" fillId="0" borderId="0" xfId="1" applyNumberFormat="1" applyFont="1" applyBorder="1"/>
    <xf numFmtId="164" fontId="17" fillId="0" borderId="5" xfId="1" applyNumberFormat="1" applyFont="1" applyBorder="1"/>
    <xf numFmtId="0" fontId="22" fillId="0" borderId="0" xfId="0" applyFont="1"/>
    <xf numFmtId="0" fontId="10" fillId="2" borderId="14" xfId="0" applyFont="1" applyFill="1" applyBorder="1"/>
    <xf numFmtId="0" fontId="10" fillId="2" borderId="0" xfId="0" applyFont="1" applyFill="1"/>
    <xf numFmtId="0" fontId="23" fillId="2" borderId="0" xfId="0" applyFont="1" applyFill="1"/>
    <xf numFmtId="0" fontId="6" fillId="0" borderId="14" xfId="0" applyFont="1" applyBorder="1"/>
    <xf numFmtId="0" fontId="24" fillId="0" borderId="0" xfId="0" applyFont="1" applyFill="1" applyBorder="1"/>
    <xf numFmtId="0" fontId="1" fillId="0" borderId="3" xfId="0" applyFont="1" applyFill="1" applyBorder="1"/>
    <xf numFmtId="0" fontId="24" fillId="0" borderId="14" xfId="0" applyFont="1" applyFill="1" applyBorder="1"/>
    <xf numFmtId="0" fontId="24" fillId="0" borderId="3" xfId="0" applyFont="1" applyFill="1" applyBorder="1"/>
    <xf numFmtId="0" fontId="24" fillId="0" borderId="2" xfId="0" applyFont="1" applyBorder="1"/>
    <xf numFmtId="0" fontId="1" fillId="0" borderId="10" xfId="0" applyFont="1" applyBorder="1"/>
    <xf numFmtId="8" fontId="1" fillId="0" borderId="0" xfId="0" applyNumberFormat="1" applyFont="1" applyFill="1" applyBorder="1"/>
    <xf numFmtId="0" fontId="1" fillId="0" borderId="5" xfId="0" applyFont="1" applyFill="1" applyBorder="1"/>
    <xf numFmtId="8" fontId="1" fillId="0" borderId="5" xfId="0" applyNumberFormat="1" applyFont="1" applyFill="1" applyBorder="1"/>
    <xf numFmtId="8" fontId="1" fillId="0" borderId="0" xfId="0" applyNumberFormat="1" applyFont="1" applyBorder="1"/>
    <xf numFmtId="6" fontId="1" fillId="0" borderId="0" xfId="0" applyNumberFormat="1" applyFont="1" applyFill="1" applyBorder="1"/>
    <xf numFmtId="6" fontId="1" fillId="0" borderId="10" xfId="0" applyNumberFormat="1" applyFont="1" applyFill="1" applyBorder="1"/>
    <xf numFmtId="6" fontId="1" fillId="0" borderId="5" xfId="0" applyNumberFormat="1" applyFont="1" applyFill="1" applyBorder="1"/>
    <xf numFmtId="6" fontId="1" fillId="0" borderId="0" xfId="0" applyNumberFormat="1" applyFont="1" applyBorder="1"/>
    <xf numFmtId="0" fontId="1" fillId="0" borderId="10" xfId="0" applyFont="1" applyFill="1" applyBorder="1"/>
    <xf numFmtId="0" fontId="6" fillId="0" borderId="10" xfId="0" applyFont="1" applyBorder="1"/>
    <xf numFmtId="6" fontId="6" fillId="0" borderId="10" xfId="0" applyNumberFormat="1" applyFont="1" applyFill="1" applyBorder="1"/>
    <xf numFmtId="6" fontId="6" fillId="0" borderId="5" xfId="0" applyNumberFormat="1" applyFont="1" applyFill="1" applyBorder="1"/>
    <xf numFmtId="6" fontId="6" fillId="0" borderId="0" xfId="0" applyNumberFormat="1" applyFont="1" applyBorder="1"/>
    <xf numFmtId="164" fontId="1" fillId="0" borderId="0" xfId="1" applyNumberFormat="1" applyFont="1" applyFill="1" applyBorder="1"/>
    <xf numFmtId="164" fontId="1" fillId="0" borderId="10" xfId="1" applyNumberFormat="1" applyFont="1" applyFill="1" applyBorder="1"/>
    <xf numFmtId="164" fontId="1" fillId="0" borderId="5" xfId="1" applyNumberFormat="1" applyFont="1" applyFill="1" applyBorder="1"/>
    <xf numFmtId="166" fontId="1" fillId="0" borderId="0" xfId="1" applyNumberFormat="1" applyFont="1" applyFill="1" applyBorder="1"/>
    <xf numFmtId="166" fontId="1" fillId="0" borderId="10" xfId="1" applyNumberFormat="1" applyFont="1" applyFill="1" applyBorder="1"/>
    <xf numFmtId="166" fontId="1" fillId="0" borderId="5" xfId="1" applyNumberFormat="1" applyFont="1" applyFill="1" applyBorder="1"/>
    <xf numFmtId="166" fontId="1" fillId="0" borderId="0" xfId="1" applyNumberFormat="1" applyFont="1" applyBorder="1"/>
    <xf numFmtId="164" fontId="1" fillId="0" borderId="0" xfId="0" applyNumberFormat="1" applyFont="1" applyFill="1" applyBorder="1"/>
    <xf numFmtId="164" fontId="1" fillId="0" borderId="10" xfId="0" applyNumberFormat="1" applyFont="1" applyFill="1" applyBorder="1"/>
    <xf numFmtId="0" fontId="17" fillId="0" borderId="5" xfId="0" applyFont="1" applyFill="1" applyBorder="1"/>
    <xf numFmtId="164" fontId="1" fillId="0" borderId="5" xfId="0" applyNumberFormat="1" applyFont="1" applyFill="1" applyBorder="1"/>
    <xf numFmtId="0" fontId="1" fillId="0" borderId="0" xfId="0" applyFont="1" applyFill="1" applyBorder="1"/>
    <xf numFmtId="44" fontId="6" fillId="0" borderId="0" xfId="2" applyNumberFormat="1" applyFont="1" applyFill="1" applyBorder="1"/>
    <xf numFmtId="44" fontId="6" fillId="0" borderId="10" xfId="2" applyFont="1" applyFill="1" applyBorder="1"/>
    <xf numFmtId="44" fontId="6" fillId="0" borderId="0" xfId="2" applyFont="1" applyBorder="1"/>
    <xf numFmtId="0" fontId="1" fillId="0" borderId="10" xfId="0" applyFont="1" applyBorder="1" applyAlignment="1">
      <alignment horizontal="left" indent="2"/>
    </xf>
    <xf numFmtId="44" fontId="1" fillId="0" borderId="0" xfId="2" applyFont="1" applyFill="1" applyBorder="1"/>
    <xf numFmtId="44" fontId="1" fillId="0" borderId="10" xfId="2" applyFont="1" applyFill="1" applyBorder="1"/>
    <xf numFmtId="44" fontId="1" fillId="0" borderId="5" xfId="2" applyFont="1" applyFill="1" applyBorder="1"/>
    <xf numFmtId="44" fontId="1" fillId="0" borderId="0" xfId="2" applyFont="1" applyBorder="1"/>
    <xf numFmtId="0" fontId="1" fillId="0" borderId="9" xfId="0" applyFont="1" applyBorder="1" applyAlignment="1">
      <alignment horizontal="left" indent="2"/>
    </xf>
    <xf numFmtId="44" fontId="1" fillId="0" borderId="7" xfId="2" applyFont="1" applyFill="1" applyBorder="1"/>
    <xf numFmtId="0" fontId="1" fillId="0" borderId="8" xfId="0" applyFont="1" applyFill="1" applyBorder="1"/>
    <xf numFmtId="44" fontId="1" fillId="0" borderId="9" xfId="2" applyFont="1" applyFill="1" applyBorder="1"/>
    <xf numFmtId="44" fontId="1" fillId="0" borderId="8" xfId="2" applyFont="1" applyFill="1" applyBorder="1"/>
    <xf numFmtId="44" fontId="1" fillId="0" borderId="7" xfId="2" applyFont="1" applyBorder="1"/>
    <xf numFmtId="0" fontId="11" fillId="2" borderId="2" xfId="0" applyFont="1" applyFill="1" applyBorder="1" applyAlignment="1">
      <alignment horizontal="right"/>
    </xf>
    <xf numFmtId="0" fontId="11" fillId="2" borderId="3" xfId="0" applyFont="1" applyFill="1" applyBorder="1" applyAlignment="1">
      <alignment horizontal="right"/>
    </xf>
    <xf numFmtId="0" fontId="11" fillId="2" borderId="0" xfId="0" applyFont="1" applyFill="1" applyBorder="1" applyAlignment="1">
      <alignment horizontal="right"/>
    </xf>
    <xf numFmtId="167" fontId="1" fillId="0" borderId="7" xfId="0" applyNumberFormat="1" applyFont="1" applyBorder="1"/>
    <xf numFmtId="167" fontId="1" fillId="0" borderId="8" xfId="0" applyNumberFormat="1" applyFont="1" applyBorder="1"/>
    <xf numFmtId="167" fontId="1" fillId="0" borderId="0" xfId="0" applyNumberFormat="1" applyFont="1" applyBorder="1"/>
    <xf numFmtId="44" fontId="1" fillId="0" borderId="0" xfId="0" applyNumberFormat="1" applyFont="1"/>
    <xf numFmtId="43" fontId="1" fillId="0" borderId="0" xfId="0" applyNumberFormat="1" applyFont="1"/>
    <xf numFmtId="0" fontId="1" fillId="0" borderId="0" xfId="0" applyFont="1" applyAlignment="1">
      <alignment horizontal="left" indent="2"/>
    </xf>
    <xf numFmtId="9" fontId="25" fillId="3" borderId="0" xfId="0" applyNumberFormat="1" applyFont="1" applyFill="1"/>
    <xf numFmtId="42" fontId="9" fillId="0" borderId="0" xfId="0" applyNumberFormat="1" applyFont="1" applyBorder="1"/>
    <xf numFmtId="42" fontId="9" fillId="0" borderId="5" xfId="0" applyNumberFormat="1" applyFont="1" applyBorder="1"/>
    <xf numFmtId="9" fontId="2" fillId="0" borderId="0" xfId="3" applyFont="1"/>
    <xf numFmtId="42" fontId="17" fillId="0" borderId="0" xfId="0" applyNumberFormat="1" applyFont="1" applyBorder="1"/>
    <xf numFmtId="0" fontId="1" fillId="0" borderId="4" xfId="0" applyFont="1" applyBorder="1" applyAlignment="1">
      <alignment horizontal="left" indent="2"/>
    </xf>
    <xf numFmtId="0" fontId="11" fillId="2" borderId="14" xfId="0" applyFont="1" applyFill="1" applyBorder="1"/>
    <xf numFmtId="0" fontId="11" fillId="0" borderId="0" xfId="0" applyFont="1" applyFill="1" applyBorder="1"/>
    <xf numFmtId="0" fontId="17" fillId="0" borderId="9" xfId="0" applyFont="1" applyFill="1" applyBorder="1" applyAlignment="1">
      <alignment horizontal="left"/>
    </xf>
    <xf numFmtId="0" fontId="17" fillId="0" borderId="10" xfId="0" applyFont="1" applyFill="1" applyBorder="1" applyAlignment="1">
      <alignment horizontal="left"/>
    </xf>
    <xf numFmtId="9" fontId="2" fillId="0" borderId="8" xfId="0" applyNumberFormat="1" applyFont="1" applyBorder="1"/>
    <xf numFmtId="173" fontId="1" fillId="0" borderId="0" xfId="0" applyNumberFormat="1" applyFont="1"/>
    <xf numFmtId="0" fontId="17" fillId="3" borderId="0" xfId="0" applyFont="1" applyFill="1"/>
    <xf numFmtId="0" fontId="17" fillId="0" borderId="4" xfId="0" applyFont="1" applyBorder="1"/>
    <xf numFmtId="164" fontId="17" fillId="0" borderId="0" xfId="0" applyNumberFormat="1" applyFont="1" applyBorder="1"/>
    <xf numFmtId="164" fontId="17" fillId="0" borderId="5" xfId="0" applyNumberFormat="1" applyFont="1" applyBorder="1"/>
    <xf numFmtId="9" fontId="17" fillId="0" borderId="0" xfId="0" applyNumberFormat="1" applyFont="1" applyBorder="1"/>
    <xf numFmtId="9" fontId="2" fillId="0" borderId="0" xfId="0" applyNumberFormat="1" applyFont="1" applyFill="1" applyBorder="1"/>
    <xf numFmtId="0" fontId="17" fillId="0" borderId="4" xfId="0" applyFont="1" applyBorder="1" applyAlignment="1">
      <alignment horizontal="left" indent="2"/>
    </xf>
    <xf numFmtId="165" fontId="17" fillId="0" borderId="0" xfId="2" applyNumberFormat="1" applyFont="1" applyBorder="1"/>
    <xf numFmtId="6" fontId="1" fillId="6" borderId="0" xfId="0" applyNumberFormat="1" applyFont="1" applyFill="1" applyBorder="1"/>
    <xf numFmtId="6" fontId="1" fillId="6" borderId="10" xfId="0" applyNumberFormat="1" applyFont="1" applyFill="1" applyBorder="1"/>
    <xf numFmtId="172" fontId="17" fillId="0" borderId="0" xfId="0" applyNumberFormat="1" applyFont="1" applyBorder="1"/>
    <xf numFmtId="0" fontId="17" fillId="0" borderId="1" xfId="0" applyFont="1" applyBorder="1"/>
    <xf numFmtId="0" fontId="17" fillId="0" borderId="6" xfId="0" applyFont="1" applyBorder="1"/>
    <xf numFmtId="165" fontId="13" fillId="0" borderId="7" xfId="0" applyNumberFormat="1" applyFont="1" applyBorder="1"/>
    <xf numFmtId="165" fontId="13" fillId="0" borderId="8" xfId="0" applyNumberFormat="1" applyFont="1" applyBorder="1"/>
    <xf numFmtId="0" fontId="17" fillId="4" borderId="1" xfId="0" applyFont="1" applyFill="1" applyBorder="1"/>
    <xf numFmtId="0" fontId="17" fillId="4" borderId="6" xfId="0" applyFont="1" applyFill="1" applyBorder="1"/>
    <xf numFmtId="0" fontId="13" fillId="0" borderId="6" xfId="0" applyFont="1" applyBorder="1"/>
    <xf numFmtId="9" fontId="1" fillId="0" borderId="0" xfId="3" applyFont="1"/>
    <xf numFmtId="164" fontId="19" fillId="0" borderId="0" xfId="1" applyNumberFormat="1" applyFont="1"/>
    <xf numFmtId="0" fontId="1" fillId="0" borderId="4" xfId="0" applyFont="1" applyFill="1" applyBorder="1" applyAlignment="1">
      <alignment horizontal="left" indent="2"/>
    </xf>
    <xf numFmtId="165" fontId="17" fillId="4" borderId="3" xfId="0" applyNumberFormat="1" applyFont="1" applyFill="1" applyBorder="1"/>
    <xf numFmtId="165" fontId="17" fillId="0" borderId="5" xfId="2" applyNumberFormat="1" applyFont="1" applyBorder="1"/>
    <xf numFmtId="172" fontId="17" fillId="0" borderId="5" xfId="0" applyNumberFormat="1" applyFont="1" applyBorder="1"/>
    <xf numFmtId="164" fontId="13" fillId="0" borderId="0" xfId="0" applyNumberFormat="1" applyFont="1" applyFill="1" applyBorder="1"/>
    <xf numFmtId="165" fontId="1" fillId="0" borderId="0" xfId="2" applyNumberFormat="1" applyFont="1" applyBorder="1"/>
    <xf numFmtId="165" fontId="13" fillId="0" borderId="7" xfId="2" applyNumberFormat="1" applyFont="1" applyBorder="1"/>
    <xf numFmtId="165" fontId="13" fillId="0" borderId="8" xfId="2" applyNumberFormat="1" applyFont="1" applyBorder="1"/>
    <xf numFmtId="164" fontId="1" fillId="7" borderId="0" xfId="0" applyNumberFormat="1" applyFont="1" applyFill="1" applyBorder="1"/>
    <xf numFmtId="164" fontId="6" fillId="0" borderId="7" xfId="0" applyNumberFormat="1" applyFont="1" applyBorder="1"/>
    <xf numFmtId="164" fontId="6" fillId="0" borderId="8" xfId="0" applyNumberFormat="1" applyFont="1" applyBorder="1"/>
    <xf numFmtId="0" fontId="13" fillId="0" borderId="6" xfId="0" applyFont="1" applyFill="1" applyBorder="1"/>
    <xf numFmtId="164" fontId="13" fillId="0" borderId="7" xfId="0" applyNumberFormat="1" applyFont="1" applyFill="1" applyBorder="1"/>
    <xf numFmtId="164" fontId="13" fillId="0" borderId="8" xfId="0" applyNumberFormat="1" applyFont="1" applyFill="1" applyBorder="1"/>
    <xf numFmtId="0" fontId="1" fillId="7" borderId="4" xfId="0" applyFont="1" applyFill="1" applyBorder="1"/>
    <xf numFmtId="164" fontId="1" fillId="7" borderId="5" xfId="0" applyNumberFormat="1" applyFont="1" applyFill="1" applyBorder="1"/>
    <xf numFmtId="0" fontId="6" fillId="7" borderId="6" xfId="0" applyFont="1" applyFill="1" applyBorder="1"/>
    <xf numFmtId="164" fontId="6" fillId="7" borderId="7" xfId="0" applyNumberFormat="1" applyFont="1" applyFill="1" applyBorder="1"/>
    <xf numFmtId="164" fontId="6" fillId="7" borderId="8" xfId="0" applyNumberFormat="1" applyFont="1" applyFill="1" applyBorder="1"/>
    <xf numFmtId="164" fontId="6" fillId="0" borderId="0" xfId="0" applyNumberFormat="1" applyFont="1" applyBorder="1"/>
    <xf numFmtId="0" fontId="6" fillId="0" borderId="0" xfId="0" applyFont="1" applyFill="1" applyBorder="1"/>
    <xf numFmtId="164" fontId="6" fillId="0" borderId="5" xfId="0" applyNumberFormat="1" applyFont="1" applyBorder="1"/>
    <xf numFmtId="9" fontId="19" fillId="0" borderId="0" xfId="0" applyNumberFormat="1" applyFont="1" applyBorder="1"/>
    <xf numFmtId="9" fontId="19" fillId="0" borderId="5" xfId="0" applyNumberFormat="1" applyFont="1" applyBorder="1"/>
    <xf numFmtId="0" fontId="2" fillId="0" borderId="0" xfId="0" applyFont="1" applyFill="1" applyBorder="1"/>
    <xf numFmtId="0" fontId="11" fillId="0" borderId="0" xfId="0" applyFont="1" applyFill="1" applyBorder="1" applyAlignment="1">
      <alignment wrapText="1"/>
    </xf>
    <xf numFmtId="42" fontId="13" fillId="0" borderId="0" xfId="0" applyNumberFormat="1" applyFont="1" applyBorder="1"/>
    <xf numFmtId="0" fontId="2" fillId="0" borderId="4" xfId="0" applyFont="1" applyFill="1" applyBorder="1"/>
    <xf numFmtId="9" fontId="6" fillId="0" borderId="7" xfId="0" applyNumberFormat="1" applyFont="1" applyBorder="1"/>
    <xf numFmtId="42" fontId="12" fillId="0" borderId="0" xfId="0" applyNumberFormat="1" applyFont="1" applyBorder="1"/>
    <xf numFmtId="8" fontId="1" fillId="0" borderId="0" xfId="0" applyNumberFormat="1" applyFont="1"/>
    <xf numFmtId="175" fontId="1" fillId="0" borderId="10" xfId="0" applyNumberFormat="1" applyFont="1" applyFill="1" applyBorder="1"/>
    <xf numFmtId="9" fontId="9" fillId="0" borderId="0" xfId="0" applyNumberFormat="1" applyFont="1" applyBorder="1"/>
    <xf numFmtId="9" fontId="9" fillId="0" borderId="0" xfId="3" applyFont="1" applyBorder="1"/>
    <xf numFmtId="9" fontId="9" fillId="0" borderId="5" xfId="0" applyNumberFormat="1" applyFont="1" applyBorder="1"/>
    <xf numFmtId="9" fontId="9" fillId="0" borderId="5" xfId="3" applyFont="1" applyBorder="1"/>
    <xf numFmtId="9" fontId="17" fillId="0" borderId="5" xfId="3" applyFont="1" applyBorder="1"/>
    <xf numFmtId="9" fontId="17" fillId="0" borderId="0" xfId="3" applyFont="1" applyBorder="1"/>
    <xf numFmtId="9" fontId="17" fillId="0" borderId="7" xfId="0" applyNumberFormat="1" applyFont="1" applyBorder="1"/>
    <xf numFmtId="0" fontId="11" fillId="2" borderId="5" xfId="0" applyFont="1" applyFill="1" applyBorder="1" applyAlignment="1">
      <alignment horizontal="right"/>
    </xf>
    <xf numFmtId="6" fontId="7" fillId="0" borderId="0" xfId="0" applyNumberFormat="1" applyFont="1" applyFill="1"/>
    <xf numFmtId="0" fontId="7" fillId="0" borderId="0" xfId="0" applyFont="1" applyFill="1"/>
    <xf numFmtId="169" fontId="7" fillId="0" borderId="0" xfId="0" applyNumberFormat="1" applyFont="1" applyFill="1"/>
    <xf numFmtId="0" fontId="17" fillId="0" borderId="4" xfId="0" applyFont="1" applyFill="1" applyBorder="1"/>
    <xf numFmtId="164" fontId="2" fillId="0" borderId="0" xfId="1" applyNumberFormat="1" applyFont="1" applyFill="1" applyBorder="1"/>
    <xf numFmtId="164" fontId="2" fillId="0" borderId="5" xfId="1" applyNumberFormat="1" applyFont="1" applyFill="1" applyBorder="1"/>
    <xf numFmtId="9" fontId="7" fillId="0" borderId="0" xfId="0" applyNumberFormat="1" applyFont="1" applyFill="1" applyBorder="1"/>
    <xf numFmtId="9" fontId="7" fillId="0" borderId="5" xfId="0" applyNumberFormat="1" applyFont="1" applyFill="1" applyBorder="1"/>
    <xf numFmtId="0" fontId="13" fillId="0" borderId="0" xfId="0" applyFont="1" applyBorder="1"/>
    <xf numFmtId="165" fontId="13" fillId="0" borderId="0" xfId="0" applyNumberFormat="1" applyFont="1" applyBorder="1"/>
    <xf numFmtId="0" fontId="7" fillId="0" borderId="0" xfId="0" applyFont="1"/>
    <xf numFmtId="0" fontId="27" fillId="0" borderId="0" xfId="0" applyFont="1"/>
    <xf numFmtId="165" fontId="9" fillId="0" borderId="0" xfId="0" applyNumberFormat="1" applyFont="1" applyFill="1" applyBorder="1"/>
    <xf numFmtId="9" fontId="9" fillId="0" borderId="0" xfId="0" applyNumberFormat="1" applyFont="1" applyFill="1" applyBorder="1"/>
    <xf numFmtId="0" fontId="17" fillId="0" borderId="10" xfId="0" applyFont="1" applyBorder="1"/>
    <xf numFmtId="0" fontId="13" fillId="0" borderId="9" xfId="0" applyFont="1" applyBorder="1"/>
    <xf numFmtId="0" fontId="17" fillId="0" borderId="14" xfId="0" applyFont="1" applyBorder="1"/>
    <xf numFmtId="165" fontId="17" fillId="0" borderId="2" xfId="0" applyNumberFormat="1" applyFont="1" applyBorder="1"/>
    <xf numFmtId="165" fontId="17" fillId="0" borderId="3" xfId="0" applyNumberFormat="1" applyFont="1" applyBorder="1"/>
    <xf numFmtId="0" fontId="1" fillId="6" borderId="19" xfId="0" applyFont="1" applyFill="1" applyBorder="1"/>
    <xf numFmtId="0" fontId="6" fillId="6" borderId="19" xfId="0" applyFont="1" applyFill="1" applyBorder="1"/>
    <xf numFmtId="165" fontId="12" fillId="0" borderId="8" xfId="0" applyNumberFormat="1" applyFont="1" applyBorder="1"/>
    <xf numFmtId="0" fontId="26" fillId="8" borderId="4" xfId="0" applyFont="1" applyFill="1" applyBorder="1"/>
    <xf numFmtId="164" fontId="26" fillId="8" borderId="0" xfId="0" applyNumberFormat="1" applyFont="1" applyFill="1" applyBorder="1"/>
    <xf numFmtId="164" fontId="26" fillId="8" borderId="5" xfId="0" applyNumberFormat="1" applyFont="1" applyFill="1" applyBorder="1"/>
    <xf numFmtId="0" fontId="17" fillId="0" borderId="0" xfId="0" applyFont="1"/>
    <xf numFmtId="165" fontId="17" fillId="0" borderId="7" xfId="0" applyNumberFormat="1" applyFont="1" applyBorder="1"/>
    <xf numFmtId="165" fontId="17" fillId="0" borderId="8" xfId="0" applyNumberFormat="1" applyFont="1" applyBorder="1"/>
    <xf numFmtId="165" fontId="9" fillId="0" borderId="0" xfId="0" applyNumberFormat="1" applyFont="1" applyBorder="1"/>
    <xf numFmtId="165" fontId="12" fillId="6" borderId="13" xfId="0" applyNumberFormat="1" applyFont="1" applyFill="1" applyBorder="1"/>
    <xf numFmtId="165" fontId="13" fillId="6" borderId="13" xfId="0" applyNumberFormat="1" applyFont="1" applyFill="1" applyBorder="1"/>
    <xf numFmtId="165" fontId="1" fillId="0" borderId="0" xfId="0" applyNumberFormat="1" applyFont="1" applyBorder="1"/>
    <xf numFmtId="165" fontId="9" fillId="0" borderId="7" xfId="0" applyNumberFormat="1" applyFont="1" applyBorder="1"/>
    <xf numFmtId="0" fontId="10" fillId="0" borderId="0" xfId="0" applyFont="1"/>
    <xf numFmtId="165" fontId="1" fillId="0" borderId="0" xfId="0" applyNumberFormat="1" applyFont="1"/>
    <xf numFmtId="165" fontId="17" fillId="4" borderId="0" xfId="0" applyNumberFormat="1" applyFont="1" applyFill="1" applyBorder="1"/>
    <xf numFmtId="165" fontId="17" fillId="4" borderId="5" xfId="0" applyNumberFormat="1" applyFont="1" applyFill="1" applyBorder="1"/>
    <xf numFmtId="9" fontId="6" fillId="0" borderId="7" xfId="0" applyNumberFormat="1" applyFont="1" applyBorder="1" applyAlignment="1">
      <alignment horizontal="right"/>
    </xf>
    <xf numFmtId="9" fontId="9" fillId="4" borderId="8" xfId="0" applyNumberFormat="1" applyFont="1" applyFill="1" applyBorder="1" applyAlignment="1">
      <alignment horizontal="right"/>
    </xf>
    <xf numFmtId="9" fontId="17" fillId="4" borderId="8" xfId="0" applyNumberFormat="1" applyFont="1" applyFill="1" applyBorder="1" applyAlignment="1">
      <alignment horizontal="right"/>
    </xf>
    <xf numFmtId="9" fontId="6" fillId="0" borderId="10" xfId="0" applyNumberFormat="1" applyFont="1" applyBorder="1"/>
    <xf numFmtId="9" fontId="6" fillId="0" borderId="10" xfId="0" applyNumberFormat="1" applyFont="1" applyFill="1" applyBorder="1"/>
    <xf numFmtId="9" fontId="6" fillId="0" borderId="9" xfId="0" applyNumberFormat="1" applyFont="1" applyBorder="1"/>
    <xf numFmtId="6" fontId="7" fillId="0" borderId="0" xfId="0" applyNumberFormat="1" applyFont="1" applyBorder="1"/>
    <xf numFmtId="6" fontId="7" fillId="0" borderId="5" xfId="0" applyNumberFormat="1" applyFont="1" applyBorder="1"/>
    <xf numFmtId="6" fontId="7" fillId="0" borderId="0" xfId="0" applyNumberFormat="1" applyFont="1" applyFill="1" applyBorder="1"/>
    <xf numFmtId="6" fontId="2" fillId="7" borderId="0" xfId="0" applyNumberFormat="1" applyFont="1" applyFill="1" applyBorder="1" applyProtection="1">
      <protection hidden="1"/>
    </xf>
    <xf numFmtId="6" fontId="2" fillId="7" borderId="5" xfId="0" applyNumberFormat="1" applyFont="1" applyFill="1" applyBorder="1" applyProtection="1">
      <protection hidden="1"/>
    </xf>
    <xf numFmtId="6" fontId="2" fillId="0" borderId="0" xfId="0" applyNumberFormat="1" applyFont="1" applyFill="1" applyBorder="1" applyProtection="1">
      <protection hidden="1"/>
    </xf>
    <xf numFmtId="6" fontId="2" fillId="0" borderId="7" xfId="0" applyNumberFormat="1" applyFont="1" applyFill="1" applyBorder="1" applyProtection="1">
      <protection hidden="1"/>
    </xf>
    <xf numFmtId="6" fontId="2" fillId="7" borderId="7" xfId="0" applyNumberFormat="1" applyFont="1" applyFill="1" applyBorder="1" applyProtection="1">
      <protection hidden="1"/>
    </xf>
    <xf numFmtId="6" fontId="2" fillId="7" borderId="8" xfId="0" applyNumberFormat="1" applyFont="1" applyFill="1" applyBorder="1" applyProtection="1">
      <protection hidden="1"/>
    </xf>
    <xf numFmtId="164" fontId="7" fillId="0" borderId="0" xfId="1" applyNumberFormat="1" applyFont="1"/>
    <xf numFmtId="9" fontId="7" fillId="0" borderId="0" xfId="0" applyNumberFormat="1" applyFont="1" applyBorder="1"/>
    <xf numFmtId="9" fontId="7" fillId="0" borderId="5" xfId="0" applyNumberFormat="1" applyFont="1" applyBorder="1"/>
    <xf numFmtId="171" fontId="7" fillId="0" borderId="0" xfId="2" applyNumberFormat="1" applyFont="1" applyBorder="1"/>
    <xf numFmtId="171" fontId="7" fillId="0" borderId="5" xfId="2" applyNumberFormat="1" applyFont="1" applyBorder="1"/>
    <xf numFmtId="165" fontId="17" fillId="0" borderId="0" xfId="2" applyNumberFormat="1" applyFont="1" applyBorder="1" applyProtection="1">
      <protection hidden="1"/>
    </xf>
    <xf numFmtId="0" fontId="9" fillId="0" borderId="0" xfId="0" applyFont="1" applyBorder="1" applyProtection="1">
      <protection hidden="1"/>
    </xf>
    <xf numFmtId="0" fontId="9" fillId="0" borderId="5" xfId="0" applyFont="1" applyBorder="1" applyProtection="1">
      <protection hidden="1"/>
    </xf>
    <xf numFmtId="165" fontId="9" fillId="0" borderId="0" xfId="2" applyNumberFormat="1" applyFont="1" applyBorder="1" applyProtection="1">
      <protection hidden="1"/>
    </xf>
    <xf numFmtId="165" fontId="17" fillId="0" borderId="5" xfId="2" applyNumberFormat="1" applyFont="1" applyBorder="1" applyProtection="1">
      <protection hidden="1"/>
    </xf>
    <xf numFmtId="172" fontId="17" fillId="0" borderId="0" xfId="0" applyNumberFormat="1" applyFont="1" applyBorder="1" applyProtection="1">
      <protection hidden="1"/>
    </xf>
    <xf numFmtId="172" fontId="17" fillId="0" borderId="5" xfId="0" applyNumberFormat="1" applyFont="1" applyBorder="1" applyProtection="1">
      <protection hidden="1"/>
    </xf>
    <xf numFmtId="0" fontId="17" fillId="0" borderId="4" xfId="0" applyFont="1" applyBorder="1" applyProtection="1">
      <protection hidden="1"/>
    </xf>
    <xf numFmtId="174" fontId="13" fillId="0" borderId="0" xfId="0" applyNumberFormat="1" applyFont="1" applyBorder="1" applyProtection="1">
      <protection hidden="1"/>
    </xf>
    <xf numFmtId="174" fontId="13" fillId="0" borderId="5" xfId="0" applyNumberFormat="1" applyFont="1" applyBorder="1" applyProtection="1">
      <protection hidden="1"/>
    </xf>
    <xf numFmtId="0" fontId="17" fillId="0" borderId="4" xfId="0" applyFont="1" applyBorder="1" applyAlignment="1" applyProtection="1">
      <alignment horizontal="left" indent="2"/>
      <protection hidden="1"/>
    </xf>
    <xf numFmtId="0" fontId="1" fillId="0" borderId="0" xfId="0" applyFont="1" applyBorder="1" applyProtection="1">
      <protection hidden="1"/>
    </xf>
    <xf numFmtId="0" fontId="1" fillId="0" borderId="4" xfId="0" applyFont="1" applyFill="1" applyBorder="1" applyAlignment="1" applyProtection="1">
      <alignment horizontal="left" indent="2"/>
      <protection hidden="1"/>
    </xf>
    <xf numFmtId="0" fontId="1" fillId="0" borderId="4" xfId="0" applyFont="1" applyBorder="1" applyAlignment="1" applyProtection="1">
      <alignment horizontal="left" indent="2"/>
      <protection hidden="1"/>
    </xf>
    <xf numFmtId="0" fontId="17" fillId="0" borderId="6" xfId="0" applyFont="1" applyBorder="1" applyProtection="1">
      <protection hidden="1"/>
    </xf>
    <xf numFmtId="165" fontId="13" fillId="0" borderId="7" xfId="0" applyNumberFormat="1" applyFont="1" applyBorder="1" applyProtection="1">
      <protection hidden="1"/>
    </xf>
    <xf numFmtId="165" fontId="13" fillId="0" borderId="8" xfId="0" applyNumberFormat="1" applyFont="1" applyBorder="1" applyProtection="1">
      <protection hidden="1"/>
    </xf>
    <xf numFmtId="165" fontId="13" fillId="0" borderId="7" xfId="2" applyNumberFormat="1" applyFont="1" applyBorder="1" applyProtection="1">
      <protection hidden="1"/>
    </xf>
    <xf numFmtId="165" fontId="13" fillId="0" borderId="8" xfId="2" applyNumberFormat="1" applyFont="1" applyBorder="1" applyProtection="1">
      <protection hidden="1"/>
    </xf>
    <xf numFmtId="164" fontId="1" fillId="0" borderId="0" xfId="1" applyNumberFormat="1" applyFont="1" applyBorder="1" applyProtection="1">
      <protection locked="0"/>
    </xf>
    <xf numFmtId="164" fontId="1" fillId="0" borderId="5" xfId="1" applyNumberFormat="1" applyFont="1" applyBorder="1" applyProtection="1">
      <protection locked="0"/>
    </xf>
    <xf numFmtId="9" fontId="19" fillId="0" borderId="0" xfId="3" applyFont="1" applyBorder="1" applyProtection="1">
      <protection locked="0"/>
    </xf>
    <xf numFmtId="9" fontId="19" fillId="0" borderId="5" xfId="3" applyFont="1" applyBorder="1" applyProtection="1">
      <protection locked="0"/>
    </xf>
    <xf numFmtId="164" fontId="1" fillId="0" borderId="0" xfId="0" applyNumberFormat="1" applyFont="1" applyBorder="1" applyProtection="1">
      <protection locked="0"/>
    </xf>
    <xf numFmtId="164" fontId="1" fillId="0" borderId="5" xfId="0" applyNumberFormat="1" applyFont="1" applyBorder="1" applyProtection="1">
      <protection locked="0"/>
    </xf>
    <xf numFmtId="164" fontId="6" fillId="0" borderId="7" xfId="0" applyNumberFormat="1" applyFont="1" applyBorder="1" applyProtection="1">
      <protection locked="0"/>
    </xf>
    <xf numFmtId="164" fontId="6" fillId="0" borderId="8" xfId="0" applyNumberFormat="1" applyFont="1" applyBorder="1" applyProtection="1">
      <protection locked="0"/>
    </xf>
    <xf numFmtId="164" fontId="6" fillId="0" borderId="0" xfId="0" applyNumberFormat="1" applyFont="1" applyProtection="1">
      <protection locked="0"/>
    </xf>
    <xf numFmtId="0" fontId="20" fillId="3" borderId="0" xfId="0" applyFont="1" applyFill="1" applyProtection="1">
      <protection locked="0"/>
    </xf>
    <xf numFmtId="9" fontId="25" fillId="3" borderId="0" xfId="0" applyNumberFormat="1" applyFont="1" applyFill="1" applyProtection="1">
      <protection locked="0"/>
    </xf>
    <xf numFmtId="0" fontId="6" fillId="0" borderId="0" xfId="0" applyFont="1" applyProtection="1">
      <protection locked="0"/>
    </xf>
    <xf numFmtId="0" fontId="1" fillId="0" borderId="0" xfId="0" applyFont="1" applyProtection="1">
      <protection locked="0"/>
    </xf>
    <xf numFmtId="164" fontId="1" fillId="0" borderId="0" xfId="1" applyNumberFormat="1" applyFont="1" applyProtection="1">
      <protection locked="0"/>
    </xf>
    <xf numFmtId="164" fontId="19" fillId="0" borderId="0" xfId="1" applyNumberFormat="1" applyFont="1" applyProtection="1">
      <protection locked="0"/>
    </xf>
    <xf numFmtId="9" fontId="1" fillId="0" borderId="0" xfId="3" applyFont="1" applyProtection="1">
      <protection locked="0"/>
    </xf>
    <xf numFmtId="0" fontId="21" fillId="0" borderId="0" xfId="0" applyFont="1" applyProtection="1">
      <protection locked="0"/>
    </xf>
    <xf numFmtId="0" fontId="6" fillId="0" borderId="0" xfId="0" applyFont="1" applyBorder="1" applyProtection="1">
      <protection locked="0"/>
    </xf>
    <xf numFmtId="0" fontId="6" fillId="0" borderId="1" xfId="0" applyFont="1" applyBorder="1" applyProtection="1">
      <protection locked="0"/>
    </xf>
    <xf numFmtId="0" fontId="6" fillId="0" borderId="2" xfId="0" applyFont="1" applyBorder="1" applyProtection="1">
      <protection locked="0"/>
    </xf>
    <xf numFmtId="0" fontId="6" fillId="0" borderId="3" xfId="0" applyFont="1" applyBorder="1" applyProtection="1">
      <protection locked="0"/>
    </xf>
    <xf numFmtId="0" fontId="11" fillId="5" borderId="1" xfId="0" applyFont="1" applyFill="1" applyBorder="1" applyProtection="1">
      <protection locked="0"/>
    </xf>
    <xf numFmtId="0" fontId="11" fillId="5" borderId="2" xfId="0" applyFont="1" applyFill="1" applyBorder="1" applyProtection="1">
      <protection locked="0"/>
    </xf>
    <xf numFmtId="0" fontId="11" fillId="5" borderId="3" xfId="0" applyFont="1" applyFill="1" applyBorder="1" applyProtection="1">
      <protection locked="0"/>
    </xf>
    <xf numFmtId="0" fontId="1" fillId="0" borderId="0" xfId="0" applyFont="1" applyBorder="1" applyProtection="1">
      <protection locked="0"/>
    </xf>
    <xf numFmtId="0" fontId="1" fillId="0" borderId="4" xfId="0" applyFont="1" applyBorder="1" applyProtection="1">
      <protection locked="0"/>
    </xf>
    <xf numFmtId="0" fontId="1" fillId="0" borderId="0" xfId="0" applyFont="1" applyBorder="1" applyAlignment="1" applyProtection="1">
      <alignment horizontal="right"/>
      <protection locked="0"/>
    </xf>
    <xf numFmtId="0" fontId="17" fillId="0" borderId="0" xfId="0" applyFont="1" applyBorder="1" applyProtection="1">
      <protection locked="0"/>
    </xf>
    <xf numFmtId="0" fontId="1" fillId="0" borderId="5" xfId="0" applyFont="1" applyBorder="1" applyProtection="1">
      <protection locked="0"/>
    </xf>
    <xf numFmtId="0" fontId="2" fillId="0" borderId="4" xfId="0" applyFont="1" applyBorder="1" applyProtection="1">
      <protection locked="0"/>
    </xf>
    <xf numFmtId="0" fontId="19" fillId="0" borderId="0" xfId="0" applyFont="1" applyBorder="1" applyProtection="1">
      <protection locked="0"/>
    </xf>
    <xf numFmtId="0" fontId="1" fillId="0" borderId="6" xfId="0" applyFont="1" applyBorder="1" applyProtection="1">
      <protection locked="0"/>
    </xf>
    <xf numFmtId="0" fontId="1" fillId="0" borderId="7" xfId="0" applyFont="1" applyBorder="1" applyAlignment="1" applyProtection="1">
      <alignment horizontal="right"/>
      <protection locked="0"/>
    </xf>
    <xf numFmtId="0" fontId="17" fillId="0" borderId="7" xfId="0" applyFont="1" applyBorder="1" applyProtection="1">
      <protection locked="0"/>
    </xf>
    <xf numFmtId="0" fontId="1" fillId="0" borderId="8" xfId="0" applyFont="1" applyBorder="1" applyProtection="1">
      <protection locked="0"/>
    </xf>
    <xf numFmtId="0" fontId="1" fillId="0" borderId="4" xfId="0" applyFont="1" applyBorder="1" applyAlignment="1" applyProtection="1">
      <protection locked="0"/>
    </xf>
    <xf numFmtId="0" fontId="6" fillId="0" borderId="4" xfId="0" applyFont="1" applyBorder="1" applyProtection="1">
      <protection locked="0"/>
    </xf>
    <xf numFmtId="0" fontId="6" fillId="0" borderId="5" xfId="0" applyFont="1" applyBorder="1" applyProtection="1">
      <protection locked="0"/>
    </xf>
    <xf numFmtId="0" fontId="6" fillId="0" borderId="6" xfId="0" applyFont="1" applyBorder="1" applyProtection="1">
      <protection locked="0"/>
    </xf>
    <xf numFmtId="0" fontId="1" fillId="3" borderId="0" xfId="0" applyFont="1" applyFill="1" applyProtection="1">
      <protection locked="0"/>
    </xf>
    <xf numFmtId="9" fontId="1" fillId="0" borderId="0" xfId="0" applyNumberFormat="1" applyFont="1" applyProtection="1">
      <protection locked="0"/>
    </xf>
    <xf numFmtId="0" fontId="11" fillId="2" borderId="1" xfId="0" applyFont="1" applyFill="1" applyBorder="1" applyProtection="1">
      <protection locked="0"/>
    </xf>
    <xf numFmtId="0" fontId="11" fillId="2" borderId="2" xfId="0" applyFont="1" applyFill="1" applyBorder="1" applyProtection="1">
      <protection locked="0"/>
    </xf>
    <xf numFmtId="0" fontId="11" fillId="2" borderId="3" xfId="0" applyFont="1" applyFill="1" applyBorder="1" applyProtection="1">
      <protection locked="0"/>
    </xf>
    <xf numFmtId="0" fontId="1" fillId="0" borderId="4" xfId="0" applyFont="1" applyFill="1" applyBorder="1" applyProtection="1">
      <protection locked="0"/>
    </xf>
    <xf numFmtId="164" fontId="17" fillId="0" borderId="0" xfId="1" applyNumberFormat="1" applyFont="1" applyFill="1" applyBorder="1" applyProtection="1">
      <protection locked="0"/>
    </xf>
    <xf numFmtId="164" fontId="17" fillId="0" borderId="5" xfId="1" applyNumberFormat="1" applyFont="1" applyFill="1" applyBorder="1" applyProtection="1">
      <protection locked="0"/>
    </xf>
    <xf numFmtId="9" fontId="9" fillId="0" borderId="0" xfId="3" applyFont="1" applyProtection="1">
      <protection locked="0"/>
    </xf>
    <xf numFmtId="0" fontId="9" fillId="0" borderId="0" xfId="0" applyFont="1" applyProtection="1">
      <protection locked="0"/>
    </xf>
    <xf numFmtId="0" fontId="1" fillId="0" borderId="2" xfId="0" applyFont="1" applyBorder="1" applyAlignment="1" applyProtection="1">
      <alignment horizontal="right"/>
      <protection locked="0"/>
    </xf>
    <xf numFmtId="0" fontId="17" fillId="0" borderId="2" xfId="0" applyFont="1" applyBorder="1" applyProtection="1">
      <protection locked="0"/>
    </xf>
    <xf numFmtId="0" fontId="1" fillId="0" borderId="3" xfId="0" applyFont="1" applyBorder="1" applyProtection="1">
      <protection locked="0"/>
    </xf>
    <xf numFmtId="0" fontId="6" fillId="0" borderId="4" xfId="0" applyFont="1" applyFill="1" applyBorder="1" applyProtection="1">
      <protection locked="0"/>
    </xf>
    <xf numFmtId="164" fontId="13" fillId="0" borderId="0" xfId="1" applyNumberFormat="1" applyFont="1" applyFill="1" applyBorder="1" applyProtection="1">
      <protection locked="0"/>
    </xf>
    <xf numFmtId="164" fontId="13" fillId="0" borderId="5" xfId="1" applyNumberFormat="1" applyFont="1" applyFill="1" applyBorder="1" applyProtection="1">
      <protection locked="0"/>
    </xf>
    <xf numFmtId="164" fontId="17" fillId="0" borderId="0" xfId="0" applyNumberFormat="1" applyFont="1" applyFill="1" applyBorder="1" applyProtection="1">
      <protection locked="0"/>
    </xf>
    <xf numFmtId="164" fontId="17" fillId="0" borderId="5" xfId="0" applyNumberFormat="1" applyFont="1" applyFill="1" applyBorder="1" applyProtection="1">
      <protection locked="0"/>
    </xf>
    <xf numFmtId="0" fontId="13" fillId="0" borderId="6" xfId="0" applyFont="1" applyFill="1" applyBorder="1" applyProtection="1">
      <protection locked="0"/>
    </xf>
    <xf numFmtId="164" fontId="13" fillId="0" borderId="7" xfId="0" applyNumberFormat="1" applyFont="1" applyFill="1" applyBorder="1" applyProtection="1">
      <protection locked="0"/>
    </xf>
    <xf numFmtId="164" fontId="13" fillId="0" borderId="8" xfId="0" applyNumberFormat="1" applyFont="1" applyFill="1" applyBorder="1" applyProtection="1">
      <protection locked="0"/>
    </xf>
    <xf numFmtId="0" fontId="17" fillId="0" borderId="0" xfId="0" applyFont="1" applyFill="1" applyBorder="1" applyProtection="1">
      <protection locked="0"/>
    </xf>
    <xf numFmtId="0" fontId="13" fillId="0" borderId="0" xfId="0" applyFont="1" applyFill="1" applyBorder="1" applyProtection="1">
      <protection locked="0"/>
    </xf>
    <xf numFmtId="0" fontId="17" fillId="0" borderId="4" xfId="0" applyFont="1" applyBorder="1" applyProtection="1">
      <protection locked="0" hidden="1"/>
    </xf>
    <xf numFmtId="0" fontId="17" fillId="0" borderId="4" xfId="0" applyFont="1" applyBorder="1" applyAlignment="1" applyProtection="1">
      <alignment horizontal="left" indent="2"/>
      <protection locked="0" hidden="1"/>
    </xf>
    <xf numFmtId="0" fontId="1" fillId="0" borderId="4" xfId="0" applyFont="1" applyFill="1" applyBorder="1" applyAlignment="1" applyProtection="1">
      <alignment horizontal="left" indent="2"/>
      <protection locked="0" hidden="1"/>
    </xf>
    <xf numFmtId="0" fontId="1" fillId="0" borderId="4" xfId="0" applyFont="1" applyBorder="1" applyAlignment="1" applyProtection="1">
      <alignment horizontal="left" indent="2"/>
      <protection locked="0" hidden="1"/>
    </xf>
    <xf numFmtId="9" fontId="1" fillId="0" borderId="0" xfId="0" applyNumberFormat="1" applyFont="1" applyBorder="1" applyProtection="1">
      <protection locked="0"/>
    </xf>
    <xf numFmtId="9" fontId="9" fillId="0" borderId="0" xfId="0" applyNumberFormat="1" applyFont="1" applyFill="1" applyBorder="1" applyProtection="1">
      <protection locked="0"/>
    </xf>
    <xf numFmtId="165" fontId="17" fillId="0" borderId="0" xfId="2" applyNumberFormat="1" applyFont="1" applyBorder="1" applyProtection="1">
      <protection locked="0"/>
    </xf>
    <xf numFmtId="0" fontId="1" fillId="0" borderId="0" xfId="0" applyFont="1" applyFill="1" applyBorder="1" applyProtection="1">
      <protection locked="0"/>
    </xf>
    <xf numFmtId="0" fontId="17" fillId="0" borderId="6" xfId="0" applyFont="1" applyBorder="1" applyProtection="1">
      <protection locked="0" hidden="1"/>
    </xf>
    <xf numFmtId="0" fontId="17" fillId="0" borderId="4" xfId="0" applyFont="1" applyBorder="1" applyProtection="1">
      <protection locked="0"/>
    </xf>
    <xf numFmtId="44" fontId="17" fillId="0" borderId="0" xfId="2" applyNumberFormat="1" applyFont="1" applyBorder="1" applyProtection="1">
      <protection locked="0"/>
    </xf>
    <xf numFmtId="44" fontId="17" fillId="0" borderId="5" xfId="2" applyNumberFormat="1" applyFont="1" applyBorder="1" applyProtection="1">
      <protection locked="0"/>
    </xf>
    <xf numFmtId="0" fontId="13" fillId="0" borderId="6" xfId="0" applyFont="1" applyBorder="1" applyProtection="1">
      <protection locked="0"/>
    </xf>
    <xf numFmtId="165" fontId="13" fillId="0" borderId="7" xfId="0" applyNumberFormat="1" applyFont="1" applyBorder="1" applyProtection="1">
      <protection locked="0"/>
    </xf>
    <xf numFmtId="165" fontId="13" fillId="0" borderId="8" xfId="0" applyNumberFormat="1" applyFont="1" applyBorder="1" applyProtection="1">
      <protection locked="0"/>
    </xf>
    <xf numFmtId="165" fontId="17" fillId="0" borderId="0" xfId="0" applyNumberFormat="1" applyFont="1" applyBorder="1" applyProtection="1">
      <protection locked="0"/>
    </xf>
    <xf numFmtId="165" fontId="17" fillId="0" borderId="5" xfId="0" applyNumberFormat="1" applyFont="1" applyBorder="1" applyProtection="1">
      <protection locked="0"/>
    </xf>
    <xf numFmtId="0" fontId="17" fillId="4" borderId="1" xfId="0" applyFont="1" applyFill="1" applyBorder="1" applyProtection="1">
      <protection locked="0"/>
    </xf>
    <xf numFmtId="165" fontId="17" fillId="4" borderId="3" xfId="0" applyNumberFormat="1" applyFont="1" applyFill="1" applyBorder="1" applyProtection="1">
      <protection locked="0"/>
    </xf>
    <xf numFmtId="0" fontId="17" fillId="4" borderId="6" xfId="0" applyFont="1" applyFill="1" applyBorder="1" applyProtection="1">
      <protection locked="0"/>
    </xf>
    <xf numFmtId="9" fontId="17" fillId="4" borderId="8" xfId="0" applyNumberFormat="1" applyFont="1" applyFill="1" applyBorder="1" applyAlignment="1" applyProtection="1">
      <alignment horizontal="right"/>
      <protection locked="0"/>
    </xf>
    <xf numFmtId="1" fontId="17" fillId="0" borderId="7" xfId="0" applyNumberFormat="1" applyFont="1" applyBorder="1" applyProtection="1">
      <protection locked="0"/>
    </xf>
    <xf numFmtId="9" fontId="25" fillId="0" borderId="0" xfId="0" applyNumberFormat="1" applyFont="1" applyProtection="1">
      <protection locked="0"/>
    </xf>
    <xf numFmtId="164" fontId="12" fillId="0" borderId="8" xfId="0" applyNumberFormat="1" applyFont="1" applyFill="1" applyBorder="1" applyProtection="1">
      <protection locked="0"/>
    </xf>
    <xf numFmtId="0" fontId="17" fillId="0" borderId="0" xfId="0" applyFont="1" applyProtection="1">
      <protection locked="0"/>
    </xf>
    <xf numFmtId="9" fontId="20" fillId="3" borderId="0" xfId="0" applyNumberFormat="1" applyFont="1" applyFill="1" applyProtection="1">
      <protection locked="0"/>
    </xf>
    <xf numFmtId="0" fontId="10" fillId="0" borderId="0" xfId="0" applyFont="1" applyBorder="1" applyProtection="1">
      <protection locked="0"/>
    </xf>
    <xf numFmtId="164" fontId="17" fillId="0" borderId="0" xfId="1" applyNumberFormat="1" applyFont="1" applyProtection="1">
      <protection locked="0"/>
    </xf>
    <xf numFmtId="9" fontId="9" fillId="0" borderId="0" xfId="0" applyNumberFormat="1" applyFont="1" applyFill="1" applyProtection="1">
      <protection locked="0"/>
    </xf>
    <xf numFmtId="9" fontId="25" fillId="0" borderId="0" xfId="0" applyNumberFormat="1" applyFont="1" applyFill="1" applyProtection="1">
      <protection locked="0"/>
    </xf>
    <xf numFmtId="164" fontId="1" fillId="0" borderId="0" xfId="1" applyNumberFormat="1" applyFont="1" applyFill="1" applyBorder="1" applyProtection="1">
      <protection locked="0"/>
    </xf>
    <xf numFmtId="0" fontId="10" fillId="0" borderId="2" xfId="0" applyFont="1" applyBorder="1" applyProtection="1">
      <protection locked="0"/>
    </xf>
    <xf numFmtId="165" fontId="12" fillId="0" borderId="7" xfId="0" applyNumberFormat="1" applyFont="1" applyBorder="1" applyProtection="1">
      <protection locked="0"/>
    </xf>
    <xf numFmtId="0" fontId="17" fillId="0" borderId="6" xfId="0" applyFont="1" applyBorder="1" applyProtection="1">
      <protection locked="0"/>
    </xf>
    <xf numFmtId="165" fontId="13" fillId="0" borderId="7" xfId="0" applyNumberFormat="1" applyFont="1" applyBorder="1" applyProtection="1"/>
    <xf numFmtId="165" fontId="13" fillId="0" borderId="8" xfId="0" applyNumberFormat="1" applyFont="1" applyBorder="1" applyProtection="1"/>
    <xf numFmtId="0" fontId="1" fillId="0" borderId="0" xfId="0" applyFont="1" applyFill="1" applyProtection="1">
      <protection locked="0"/>
    </xf>
    <xf numFmtId="0" fontId="6" fillId="0" borderId="11" xfId="0" applyFont="1" applyBorder="1" applyProtection="1">
      <protection locked="0"/>
    </xf>
    <xf numFmtId="164" fontId="6" fillId="0" borderId="12" xfId="0" applyNumberFormat="1" applyFont="1" applyBorder="1" applyProtection="1">
      <protection locked="0"/>
    </xf>
    <xf numFmtId="164" fontId="6" fillId="0" borderId="13" xfId="0" applyNumberFormat="1" applyFont="1" applyBorder="1" applyProtection="1">
      <protection locked="0"/>
    </xf>
    <xf numFmtId="0" fontId="13" fillId="0" borderId="11" xfId="0" applyFont="1" applyFill="1" applyBorder="1" applyProtection="1">
      <protection locked="0"/>
    </xf>
    <xf numFmtId="164" fontId="13" fillId="0" borderId="12" xfId="0" applyNumberFormat="1" applyFont="1" applyFill="1" applyBorder="1" applyProtection="1">
      <protection locked="0"/>
    </xf>
    <xf numFmtId="164" fontId="13" fillId="0" borderId="13" xfId="0" applyNumberFormat="1" applyFont="1" applyFill="1" applyBorder="1" applyProtection="1">
      <protection locked="0"/>
    </xf>
    <xf numFmtId="165" fontId="6" fillId="0" borderId="7" xfId="0" applyNumberFormat="1" applyFont="1" applyBorder="1" applyProtection="1">
      <protection locked="0"/>
    </xf>
    <xf numFmtId="164" fontId="1" fillId="0" borderId="0" xfId="0" applyNumberFormat="1" applyFont="1" applyProtection="1">
      <protection locked="0"/>
    </xf>
    <xf numFmtId="1" fontId="19" fillId="0" borderId="0" xfId="0" applyNumberFormat="1" applyFont="1" applyBorder="1" applyProtection="1">
      <protection locked="0"/>
    </xf>
    <xf numFmtId="9" fontId="6" fillId="0" borderId="0" xfId="3" applyFont="1" applyProtection="1">
      <protection locked="0"/>
    </xf>
    <xf numFmtId="167" fontId="1" fillId="0" borderId="0" xfId="0" applyNumberFormat="1" applyFont="1" applyProtection="1">
      <protection locked="0"/>
    </xf>
    <xf numFmtId="0" fontId="19" fillId="0" borderId="0" xfId="0" applyFont="1" applyFill="1" applyBorder="1" applyProtection="1">
      <protection locked="0"/>
    </xf>
    <xf numFmtId="0" fontId="1" fillId="0" borderId="15" xfId="0" applyFont="1" applyBorder="1" applyProtection="1">
      <protection locked="0"/>
    </xf>
    <xf numFmtId="0" fontId="9" fillId="0" borderId="0" xfId="0" applyFont="1" applyBorder="1" applyProtection="1">
      <protection locked="0"/>
    </xf>
    <xf numFmtId="165" fontId="13" fillId="0" borderId="7" xfId="2" applyNumberFormat="1" applyFont="1" applyBorder="1" applyProtection="1">
      <protection locked="0"/>
    </xf>
    <xf numFmtId="165" fontId="13" fillId="0" borderId="8" xfId="2" applyNumberFormat="1" applyFont="1" applyBorder="1" applyProtection="1">
      <protection locked="0"/>
    </xf>
    <xf numFmtId="165" fontId="17" fillId="0" borderId="5" xfId="2" applyNumberFormat="1" applyFont="1" applyBorder="1" applyProtection="1">
      <protection locked="0"/>
    </xf>
    <xf numFmtId="165" fontId="6" fillId="0" borderId="7" xfId="2" applyNumberFormat="1" applyFont="1" applyBorder="1" applyProtection="1">
      <protection locked="0"/>
    </xf>
    <xf numFmtId="0" fontId="20" fillId="0" borderId="0" xfId="0" applyFont="1" applyProtection="1">
      <protection locked="0"/>
    </xf>
    <xf numFmtId="0" fontId="15" fillId="0" borderId="0" xfId="0" applyFont="1" applyAlignment="1">
      <alignment horizontal="left" vertical="center" wrapText="1"/>
    </xf>
    <xf numFmtId="0" fontId="13" fillId="0" borderId="16" xfId="0" applyFont="1" applyFill="1" applyBorder="1" applyAlignment="1">
      <alignment horizontal="center"/>
    </xf>
    <xf numFmtId="0" fontId="13" fillId="0" borderId="17" xfId="0" applyFont="1" applyFill="1" applyBorder="1" applyAlignment="1">
      <alignment horizontal="center"/>
    </xf>
    <xf numFmtId="0" fontId="13" fillId="0" borderId="18" xfId="0" applyFont="1" applyFill="1" applyBorder="1" applyAlignment="1">
      <alignment horizontal="center"/>
    </xf>
  </cellXfs>
  <cellStyles count="6">
    <cellStyle name="Comma" xfId="1" builtinId="3"/>
    <cellStyle name="Currency" xfId="2" builtinId="4"/>
    <cellStyle name="Hyperlink" xfId="5" builtinId="8"/>
    <cellStyle name="Hyperlink 2" xfId="4" xr:uid="{00000000-0005-0000-0000-000003000000}"/>
    <cellStyle name="Normal" xfId="0" builtinId="0"/>
    <cellStyle name="Percent" xfId="3" builtinId="5"/>
  </cellStyles>
  <dxfs count="14">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44195962493536"/>
          <c:y val="5.0925925925925923E-2"/>
          <c:w val="0.7935944345246807"/>
          <c:h val="0.77685987168270632"/>
        </c:manualLayout>
      </c:layout>
      <c:lineChart>
        <c:grouping val="standard"/>
        <c:varyColors val="0"/>
        <c:ser>
          <c:idx val="2"/>
          <c:order val="1"/>
          <c:tx>
            <c:v>1000 homes per km^2</c:v>
          </c:tx>
          <c:spPr>
            <a:ln w="28575" cap="rnd">
              <a:solidFill>
                <a:schemeClr val="accent1">
                  <a:lumMod val="60000"/>
                  <a:lumOff val="40000"/>
                </a:schemeClr>
              </a:solidFill>
              <a:round/>
            </a:ln>
            <a:effectLst/>
          </c:spPr>
          <c:marker>
            <c:symbol val="none"/>
          </c:marker>
          <c:cat>
            <c:numRef>
              <c:f>'1. FWA mmwave'!$B$28:$B$57</c:f>
              <c:numCache>
                <c:formatCode>0%</c:formatCode>
                <c:ptCount val="3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numCache>
            </c:numRef>
          </c:cat>
          <c:val>
            <c:numRef>
              <c:f>'1. FWA mmwave'!$G$28:$G$57</c:f>
              <c:numCache>
                <c:formatCode>"$"#,##0_);[Red]\("$"#,##0\)</c:formatCode>
                <c:ptCount val="30"/>
                <c:pt idx="0">
                  <c:v>2905.915338896094</c:v>
                </c:pt>
                <c:pt idx="1">
                  <c:v>1457.332669448047</c:v>
                </c:pt>
                <c:pt idx="2">
                  <c:v>974.47177963203137</c:v>
                </c:pt>
                <c:pt idx="3">
                  <c:v>733.0413347240235</c:v>
                </c:pt>
                <c:pt idx="4">
                  <c:v>588.18306777921885</c:v>
                </c:pt>
                <c:pt idx="5">
                  <c:v>491.61088981601569</c:v>
                </c:pt>
                <c:pt idx="6">
                  <c:v>422.63076269944196</c:v>
                </c:pt>
                <c:pt idx="7">
                  <c:v>370.89566736201175</c:v>
                </c:pt>
                <c:pt idx="8">
                  <c:v>330.65725987734379</c:v>
                </c:pt>
                <c:pt idx="9">
                  <c:v>298.46653388960942</c:v>
                </c:pt>
                <c:pt idx="10">
                  <c:v>272.12866717237222</c:v>
                </c:pt>
                <c:pt idx="11">
                  <c:v>250.18044490800784</c:v>
                </c:pt>
                <c:pt idx="12">
                  <c:v>231.60887222277648</c:v>
                </c:pt>
                <c:pt idx="13">
                  <c:v>215.69038134972098</c:v>
                </c:pt>
                <c:pt idx="14">
                  <c:v>201.89435592640629</c:v>
                </c:pt>
                <c:pt idx="15">
                  <c:v>189.82283368100587</c:v>
                </c:pt>
                <c:pt idx="16">
                  <c:v>179.17149052329964</c:v>
                </c:pt>
                <c:pt idx="17">
                  <c:v>169.7036299386719</c:v>
                </c:pt>
                <c:pt idx="18">
                  <c:v>161.23238625768917</c:v>
                </c:pt>
                <c:pt idx="19">
                  <c:v>153.60826694480471</c:v>
                </c:pt>
                <c:pt idx="20">
                  <c:v>146.71025423314734</c:v>
                </c:pt>
                <c:pt idx="21">
                  <c:v>140.43933358618611</c:v>
                </c:pt>
                <c:pt idx="22">
                  <c:v>134.71371038678669</c:v>
                </c:pt>
                <c:pt idx="23">
                  <c:v>129.46522245400394</c:v>
                </c:pt>
                <c:pt idx="24">
                  <c:v>124.63661355584377</c:v>
                </c:pt>
                <c:pt idx="25">
                  <c:v>120.17943611138824</c:v>
                </c:pt>
                <c:pt idx="26">
                  <c:v>116.0524199591146</c:v>
                </c:pt>
                <c:pt idx="27">
                  <c:v>112.22019067486049</c:v>
                </c:pt>
                <c:pt idx="28">
                  <c:v>108.65225306538257</c:v>
                </c:pt>
                <c:pt idx="29">
                  <c:v>105.32217796320315</c:v>
                </c:pt>
              </c:numCache>
              <c:extLst/>
            </c:numRef>
          </c:val>
          <c:smooth val="0"/>
          <c:extLst>
            <c:ext xmlns:c16="http://schemas.microsoft.com/office/drawing/2014/chart" uri="{C3380CC4-5D6E-409C-BE32-E72D297353CC}">
              <c16:uniqueId val="{00000002-18B1-4AD9-A085-C4D3A8A6AE8D}"/>
            </c:ext>
          </c:extLst>
        </c:ser>
        <c:ser>
          <c:idx val="1"/>
          <c:order val="2"/>
          <c:tx>
            <c:v>1500 homes per km^2</c:v>
          </c:tx>
          <c:spPr>
            <a:ln w="28575" cap="rnd">
              <a:solidFill>
                <a:schemeClr val="accent1"/>
              </a:solidFill>
              <a:round/>
            </a:ln>
            <a:effectLst/>
          </c:spPr>
          <c:marker>
            <c:symbol val="none"/>
          </c:marker>
          <c:cat>
            <c:numRef>
              <c:f>'1. FWA mmwave'!$B$28:$B$57</c:f>
              <c:numCache>
                <c:formatCode>0%</c:formatCode>
                <c:ptCount val="3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numCache>
            </c:numRef>
          </c:cat>
          <c:val>
            <c:numRef>
              <c:f>'1. FWA mmwave'!$F$28:$F$57</c:f>
              <c:numCache>
                <c:formatCode>"$"#,##0_);[Red]\("$"#,##0\)</c:formatCode>
                <c:ptCount val="30"/>
                <c:pt idx="0">
                  <c:v>1940.1935592640627</c:v>
                </c:pt>
                <c:pt idx="1">
                  <c:v>974.47177963203137</c:v>
                </c:pt>
                <c:pt idx="2">
                  <c:v>652.56451975468758</c:v>
                </c:pt>
                <c:pt idx="3">
                  <c:v>491.61088981601569</c:v>
                </c:pt>
                <c:pt idx="4">
                  <c:v>395.03871185281253</c:v>
                </c:pt>
                <c:pt idx="5">
                  <c:v>330.65725987734379</c:v>
                </c:pt>
                <c:pt idx="6">
                  <c:v>284.67050846629468</c:v>
                </c:pt>
                <c:pt idx="7">
                  <c:v>250.18044490800784</c:v>
                </c:pt>
                <c:pt idx="8">
                  <c:v>223.3548399182292</c:v>
                </c:pt>
                <c:pt idx="9">
                  <c:v>201.89435592640626</c:v>
                </c:pt>
                <c:pt idx="10">
                  <c:v>184.33577811491483</c:v>
                </c:pt>
                <c:pt idx="11">
                  <c:v>169.7036299386719</c:v>
                </c:pt>
                <c:pt idx="12">
                  <c:v>157.32258148185099</c:v>
                </c:pt>
                <c:pt idx="13">
                  <c:v>146.71025423314734</c:v>
                </c:pt>
                <c:pt idx="14">
                  <c:v>137.51290395093753</c:v>
                </c:pt>
                <c:pt idx="15">
                  <c:v>129.46522245400394</c:v>
                </c:pt>
                <c:pt idx="16">
                  <c:v>122.36432701553311</c:v>
                </c:pt>
                <c:pt idx="17">
                  <c:v>116.0524199591146</c:v>
                </c:pt>
                <c:pt idx="18">
                  <c:v>110.4049241717928</c:v>
                </c:pt>
                <c:pt idx="19">
                  <c:v>105.32217796320315</c:v>
                </c:pt>
                <c:pt idx="20">
                  <c:v>100.72350282209824</c:v>
                </c:pt>
                <c:pt idx="21">
                  <c:v>96.542889057457415</c:v>
                </c:pt>
                <c:pt idx="22">
                  <c:v>92.725806924524463</c:v>
                </c:pt>
                <c:pt idx="23">
                  <c:v>89.226814969335948</c:v>
                </c:pt>
                <c:pt idx="24">
                  <c:v>86.007742370562511</c:v>
                </c:pt>
                <c:pt idx="25">
                  <c:v>83.036290740925494</c:v>
                </c:pt>
                <c:pt idx="26">
                  <c:v>80.284946639409739</c:v>
                </c:pt>
                <c:pt idx="27">
                  <c:v>77.730127116573669</c:v>
                </c:pt>
                <c:pt idx="28">
                  <c:v>75.351502043588383</c:v>
                </c:pt>
                <c:pt idx="29">
                  <c:v>73.131451975468764</c:v>
                </c:pt>
              </c:numCache>
              <c:extLst/>
            </c:numRef>
          </c:val>
          <c:smooth val="0"/>
          <c:extLst>
            <c:ext xmlns:c16="http://schemas.microsoft.com/office/drawing/2014/chart" uri="{C3380CC4-5D6E-409C-BE32-E72D297353CC}">
              <c16:uniqueId val="{00000001-18B1-4AD9-A085-C4D3A8A6AE8D}"/>
            </c:ext>
          </c:extLst>
        </c:ser>
        <c:ser>
          <c:idx val="0"/>
          <c:order val="3"/>
          <c:tx>
            <c:v>2000 homes per km^2</c:v>
          </c:tx>
          <c:spPr>
            <a:ln w="28575" cap="rnd">
              <a:solidFill>
                <a:schemeClr val="accent5"/>
              </a:solidFill>
              <a:round/>
            </a:ln>
            <a:effectLst/>
          </c:spPr>
          <c:marker>
            <c:symbol val="none"/>
          </c:marker>
          <c:cat>
            <c:numRef>
              <c:f>'1. FWA mmwave'!$B$28:$B$57</c:f>
              <c:numCache>
                <c:formatCode>0%</c:formatCode>
                <c:ptCount val="3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numCache>
            </c:numRef>
          </c:cat>
          <c:val>
            <c:numRef>
              <c:f>'1. FWA mmwave'!$E$28:$E$57</c:f>
              <c:numCache>
                <c:formatCode>"$"#,##0_);[Red]\("$"#,##0\)</c:formatCode>
                <c:ptCount val="30"/>
                <c:pt idx="0">
                  <c:v>1457.332669448047</c:v>
                </c:pt>
                <c:pt idx="1">
                  <c:v>733.0413347240235</c:v>
                </c:pt>
                <c:pt idx="2">
                  <c:v>491.61088981601569</c:v>
                </c:pt>
                <c:pt idx="3">
                  <c:v>370.89566736201175</c:v>
                </c:pt>
                <c:pt idx="4">
                  <c:v>298.46653388960942</c:v>
                </c:pt>
                <c:pt idx="5">
                  <c:v>250.18044490800784</c:v>
                </c:pt>
                <c:pt idx="6">
                  <c:v>215.69038134972098</c:v>
                </c:pt>
                <c:pt idx="7">
                  <c:v>189.82283368100587</c:v>
                </c:pt>
                <c:pt idx="8">
                  <c:v>169.7036299386719</c:v>
                </c:pt>
                <c:pt idx="9">
                  <c:v>153.60826694480471</c:v>
                </c:pt>
                <c:pt idx="10">
                  <c:v>140.43933358618611</c:v>
                </c:pt>
                <c:pt idx="11">
                  <c:v>129.46522245400394</c:v>
                </c:pt>
                <c:pt idx="12">
                  <c:v>120.17943611138824</c:v>
                </c:pt>
                <c:pt idx="13">
                  <c:v>112.22019067486049</c:v>
                </c:pt>
                <c:pt idx="14">
                  <c:v>105.32217796320315</c:v>
                </c:pt>
                <c:pt idx="15">
                  <c:v>99.286416840502937</c:v>
                </c:pt>
                <c:pt idx="16">
                  <c:v>93.960745261649819</c:v>
                </c:pt>
                <c:pt idx="17">
                  <c:v>89.226814969335948</c:v>
                </c:pt>
                <c:pt idx="18">
                  <c:v>84.991193128844586</c:v>
                </c:pt>
                <c:pt idx="19">
                  <c:v>81.179133472402356</c:v>
                </c:pt>
                <c:pt idx="20">
                  <c:v>77.730127116573669</c:v>
                </c:pt>
                <c:pt idx="21">
                  <c:v>74.594666793093054</c:v>
                </c:pt>
                <c:pt idx="22">
                  <c:v>71.731855193393343</c:v>
                </c:pt>
                <c:pt idx="23">
                  <c:v>69.107611227001968</c:v>
                </c:pt>
                <c:pt idx="24">
                  <c:v>66.69330677792189</c:v>
                </c:pt>
                <c:pt idx="25">
                  <c:v>64.464718055694121</c:v>
                </c:pt>
                <c:pt idx="26">
                  <c:v>62.401209979557301</c:v>
                </c:pt>
                <c:pt idx="27">
                  <c:v>60.485095337430245</c:v>
                </c:pt>
                <c:pt idx="28">
                  <c:v>58.701126532691283</c:v>
                </c:pt>
                <c:pt idx="29">
                  <c:v>57.036088981601573</c:v>
                </c:pt>
              </c:numCache>
              <c:extLst/>
            </c:numRef>
          </c:val>
          <c:smooth val="0"/>
          <c:extLst>
            <c:ext xmlns:c16="http://schemas.microsoft.com/office/drawing/2014/chart" uri="{C3380CC4-5D6E-409C-BE32-E72D297353CC}">
              <c16:uniqueId val="{00000000-18B1-4AD9-A085-C4D3A8A6AE8D}"/>
            </c:ext>
          </c:extLst>
        </c:ser>
        <c:ser>
          <c:idx val="4"/>
          <c:order val="4"/>
          <c:tx>
            <c:v>2500 homes per km^2</c:v>
          </c:tx>
          <c:spPr>
            <a:ln w="28575" cap="rnd">
              <a:solidFill>
                <a:schemeClr val="tx2"/>
              </a:solidFill>
              <a:round/>
            </a:ln>
            <a:effectLst/>
          </c:spPr>
          <c:marker>
            <c:symbol val="none"/>
          </c:marker>
          <c:cat>
            <c:numRef>
              <c:f>'1. FWA mmwave'!$B$28:$B$57</c:f>
              <c:numCache>
                <c:formatCode>0%</c:formatCode>
                <c:ptCount val="3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numCache>
            </c:numRef>
          </c:cat>
          <c:val>
            <c:numRef>
              <c:f>'1. FWA mmwave'!$D$28:$D$57</c:f>
              <c:numCache>
                <c:formatCode>"$"#,##0_);[Red]\("$"#,##0\)</c:formatCode>
                <c:ptCount val="30"/>
                <c:pt idx="0">
                  <c:v>1167.6161355584377</c:v>
                </c:pt>
                <c:pt idx="1">
                  <c:v>588.18306777921885</c:v>
                </c:pt>
                <c:pt idx="2">
                  <c:v>395.03871185281258</c:v>
                </c:pt>
                <c:pt idx="3">
                  <c:v>298.46653388960942</c:v>
                </c:pt>
                <c:pt idx="4">
                  <c:v>240.52322711168753</c:v>
                </c:pt>
                <c:pt idx="5">
                  <c:v>201.89435592640629</c:v>
                </c:pt>
                <c:pt idx="6">
                  <c:v>174.3023050797768</c:v>
                </c:pt>
                <c:pt idx="7">
                  <c:v>153.60826694480471</c:v>
                </c:pt>
                <c:pt idx="8">
                  <c:v>137.51290395093753</c:v>
                </c:pt>
                <c:pt idx="9">
                  <c:v>124.63661355584377</c:v>
                </c:pt>
                <c:pt idx="10">
                  <c:v>114.10146686894889</c:v>
                </c:pt>
                <c:pt idx="11">
                  <c:v>105.32217796320315</c:v>
                </c:pt>
                <c:pt idx="12">
                  <c:v>97.89354888911059</c:v>
                </c:pt>
                <c:pt idx="13">
                  <c:v>91.5261525398884</c:v>
                </c:pt>
                <c:pt idx="14">
                  <c:v>86.007742370562525</c:v>
                </c:pt>
                <c:pt idx="15">
                  <c:v>81.179133472402356</c:v>
                </c:pt>
                <c:pt idx="16">
                  <c:v>76.918596209319873</c:v>
                </c:pt>
                <c:pt idx="17">
                  <c:v>73.131451975468764</c:v>
                </c:pt>
                <c:pt idx="18">
                  <c:v>69.742954503075666</c:v>
                </c:pt>
                <c:pt idx="19">
                  <c:v>66.69330677792189</c:v>
                </c:pt>
                <c:pt idx="20">
                  <c:v>63.934101693258945</c:v>
                </c:pt>
                <c:pt idx="21">
                  <c:v>61.425733434474445</c:v>
                </c:pt>
                <c:pt idx="22">
                  <c:v>59.135484154714689</c:v>
                </c:pt>
                <c:pt idx="23">
                  <c:v>57.036088981601573</c:v>
                </c:pt>
                <c:pt idx="24">
                  <c:v>55.104645422337512</c:v>
                </c:pt>
                <c:pt idx="25">
                  <c:v>53.321774444555295</c:v>
                </c:pt>
                <c:pt idx="26">
                  <c:v>51.670967983645845</c:v>
                </c:pt>
                <c:pt idx="27">
                  <c:v>50.1380762699442</c:v>
                </c:pt>
                <c:pt idx="28">
                  <c:v>48.710901226153034</c:v>
                </c:pt>
                <c:pt idx="29">
                  <c:v>47.378871185281263</c:v>
                </c:pt>
              </c:numCache>
              <c:extLst/>
            </c:numRef>
          </c:val>
          <c:smooth val="0"/>
          <c:extLst>
            <c:ext xmlns:c16="http://schemas.microsoft.com/office/drawing/2014/chart" uri="{C3380CC4-5D6E-409C-BE32-E72D297353CC}">
              <c16:uniqueId val="{00000000-A3E0-4173-B00D-045B16A45DAC}"/>
            </c:ext>
          </c:extLst>
        </c:ser>
        <c:ser>
          <c:idx val="5"/>
          <c:order val="5"/>
          <c:tx>
            <c:v>5000 homes per km^2</c:v>
          </c:tx>
          <c:spPr>
            <a:ln w="28575" cap="rnd">
              <a:solidFill>
                <a:schemeClr val="tx1"/>
              </a:solidFill>
              <a:round/>
            </a:ln>
            <a:effectLst/>
          </c:spPr>
          <c:marker>
            <c:symbol val="none"/>
          </c:marker>
          <c:cat>
            <c:numRef>
              <c:f>'1. FWA mmwave'!$B$28:$B$57</c:f>
              <c:numCache>
                <c:formatCode>0%</c:formatCode>
                <c:ptCount val="3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numCache>
            </c:numRef>
          </c:cat>
          <c:val>
            <c:numRef>
              <c:f>'1. FWA mmwave'!$C$28:$C$57</c:f>
              <c:numCache>
                <c:formatCode>"$"#,##0_);[Red]\("$"#,##0\)</c:formatCode>
                <c:ptCount val="30"/>
                <c:pt idx="0">
                  <c:v>588.18306777921885</c:v>
                </c:pt>
                <c:pt idx="1">
                  <c:v>298.46653388960942</c:v>
                </c:pt>
                <c:pt idx="2">
                  <c:v>201.89435592640629</c:v>
                </c:pt>
                <c:pt idx="3">
                  <c:v>153.60826694480471</c:v>
                </c:pt>
                <c:pt idx="4">
                  <c:v>124.63661355584377</c:v>
                </c:pt>
                <c:pt idx="5">
                  <c:v>105.32217796320315</c:v>
                </c:pt>
                <c:pt idx="6">
                  <c:v>91.5261525398884</c:v>
                </c:pt>
                <c:pt idx="7">
                  <c:v>81.179133472402356</c:v>
                </c:pt>
                <c:pt idx="8">
                  <c:v>73.131451975468764</c:v>
                </c:pt>
                <c:pt idx="9">
                  <c:v>66.69330677792189</c:v>
                </c:pt>
                <c:pt idx="10">
                  <c:v>61.425733434474445</c:v>
                </c:pt>
                <c:pt idx="11">
                  <c:v>57.036088981601573</c:v>
                </c:pt>
                <c:pt idx="12">
                  <c:v>53.321774444555295</c:v>
                </c:pt>
                <c:pt idx="13">
                  <c:v>50.1380762699442</c:v>
                </c:pt>
                <c:pt idx="14">
                  <c:v>47.378871185281263</c:v>
                </c:pt>
                <c:pt idx="15">
                  <c:v>44.964566736201178</c:v>
                </c:pt>
                <c:pt idx="16">
                  <c:v>42.834298104659936</c:v>
                </c:pt>
                <c:pt idx="17">
                  <c:v>40.940725987734382</c:v>
                </c:pt>
                <c:pt idx="18">
                  <c:v>39.246477251537833</c:v>
                </c:pt>
                <c:pt idx="19">
                  <c:v>37.721653388960945</c:v>
                </c:pt>
                <c:pt idx="20">
                  <c:v>36.342050846629476</c:v>
                </c:pt>
                <c:pt idx="21">
                  <c:v>35.087866717237219</c:v>
                </c:pt>
                <c:pt idx="22">
                  <c:v>33.942742077357344</c:v>
                </c:pt>
                <c:pt idx="23">
                  <c:v>32.89304449080079</c:v>
                </c:pt>
                <c:pt idx="24">
                  <c:v>31.927322711168756</c:v>
                </c:pt>
                <c:pt idx="25">
                  <c:v>31.035887222277648</c:v>
                </c:pt>
                <c:pt idx="26">
                  <c:v>30.210483991822922</c:v>
                </c:pt>
                <c:pt idx="27">
                  <c:v>29.4440381349721</c:v>
                </c:pt>
                <c:pt idx="28">
                  <c:v>28.730450613076517</c:v>
                </c:pt>
                <c:pt idx="29">
                  <c:v>28.064435592640631</c:v>
                </c:pt>
              </c:numCache>
              <c:extLst/>
            </c:numRef>
          </c:val>
          <c:smooth val="0"/>
          <c:extLst>
            <c:ext xmlns:c16="http://schemas.microsoft.com/office/drawing/2014/chart" uri="{C3380CC4-5D6E-409C-BE32-E72D297353CC}">
              <c16:uniqueId val="{00000003-AF6A-4B30-9921-A1A7A172D63C}"/>
            </c:ext>
          </c:extLst>
        </c:ser>
        <c:dLbls>
          <c:showLegendKey val="0"/>
          <c:showVal val="0"/>
          <c:showCatName val="0"/>
          <c:showSerName val="0"/>
          <c:showPercent val="0"/>
          <c:showBubbleSize val="0"/>
        </c:dLbls>
        <c:smooth val="0"/>
        <c:axId val="102700160"/>
        <c:axId val="102702080"/>
        <c:extLst>
          <c:ext xmlns:c15="http://schemas.microsoft.com/office/drawing/2012/chart" uri="{02D57815-91ED-43cb-92C2-25804820EDAC}">
            <c15:filteredLineSeries>
              <c15:ser>
                <c:idx val="3"/>
                <c:order val="0"/>
                <c:tx>
                  <c:v>500 homes per km^2</c:v>
                </c:tx>
                <c:spPr>
                  <a:ln w="28575" cap="rnd">
                    <a:solidFill>
                      <a:schemeClr val="bg1">
                        <a:lumMod val="50000"/>
                      </a:schemeClr>
                    </a:solidFill>
                    <a:round/>
                  </a:ln>
                  <a:effectLst/>
                </c:spPr>
                <c:marker>
                  <c:symbol val="none"/>
                </c:marker>
                <c:val>
                  <c:numRef>
                    <c:extLst>
                      <c:ext uri="{02D57815-91ED-43cb-92C2-25804820EDAC}">
                        <c15:formulaRef>
                          <c15:sqref>'1. FWA mmwave'!$H$28:$H$57</c15:sqref>
                        </c15:formulaRef>
                      </c:ext>
                    </c:extLst>
                    <c:numCache>
                      <c:formatCode>"$"#,##0_);[Red]\("$"#,##0\)</c:formatCode>
                      <c:ptCount val="30"/>
                      <c:pt idx="0">
                        <c:v>5803.080677792188</c:v>
                      </c:pt>
                      <c:pt idx="1">
                        <c:v>2905.915338896094</c:v>
                      </c:pt>
                      <c:pt idx="2">
                        <c:v>1940.1935592640627</c:v>
                      </c:pt>
                      <c:pt idx="3">
                        <c:v>1457.332669448047</c:v>
                      </c:pt>
                      <c:pt idx="4">
                        <c:v>1167.6161355584377</c:v>
                      </c:pt>
                      <c:pt idx="5">
                        <c:v>974.47177963203137</c:v>
                      </c:pt>
                      <c:pt idx="6">
                        <c:v>836.51152539888392</c:v>
                      </c:pt>
                      <c:pt idx="7">
                        <c:v>733.0413347240235</c:v>
                      </c:pt>
                      <c:pt idx="8">
                        <c:v>652.56451975468758</c:v>
                      </c:pt>
                      <c:pt idx="9">
                        <c:v>588.18306777921885</c:v>
                      </c:pt>
                      <c:pt idx="10">
                        <c:v>535.50733434474444</c:v>
                      </c:pt>
                      <c:pt idx="11">
                        <c:v>491.61088981601569</c:v>
                      </c:pt>
                      <c:pt idx="12">
                        <c:v>454.46774444555297</c:v>
                      </c:pt>
                      <c:pt idx="13">
                        <c:v>422.63076269944196</c:v>
                      </c:pt>
                      <c:pt idx="14">
                        <c:v>395.03871185281258</c:v>
                      </c:pt>
                      <c:pt idx="15">
                        <c:v>370.89566736201175</c:v>
                      </c:pt>
                      <c:pt idx="16">
                        <c:v>349.59298104659928</c:v>
                      </c:pt>
                      <c:pt idx="17">
                        <c:v>330.65725987734379</c:v>
                      </c:pt>
                      <c:pt idx="18">
                        <c:v>313.71477251537834</c:v>
                      </c:pt>
                      <c:pt idx="19">
                        <c:v>298.46653388960942</c:v>
                      </c:pt>
                      <c:pt idx="20">
                        <c:v>284.67050846629468</c:v>
                      </c:pt>
                      <c:pt idx="21">
                        <c:v>272.12866717237222</c:v>
                      </c:pt>
                      <c:pt idx="22">
                        <c:v>260.67742077357337</c:v>
                      </c:pt>
                      <c:pt idx="23">
                        <c:v>250.18044490800784</c:v>
                      </c:pt>
                      <c:pt idx="24">
                        <c:v>240.52322711168753</c:v>
                      </c:pt>
                      <c:pt idx="25">
                        <c:v>231.60887222277648</c:v>
                      </c:pt>
                      <c:pt idx="26">
                        <c:v>223.3548399182292</c:v>
                      </c:pt>
                      <c:pt idx="27">
                        <c:v>215.69038134972098</c:v>
                      </c:pt>
                      <c:pt idx="28">
                        <c:v>208.55450613076513</c:v>
                      </c:pt>
                      <c:pt idx="29">
                        <c:v>201.89435592640629</c:v>
                      </c:pt>
                    </c:numCache>
                  </c:numRef>
                </c:val>
                <c:smooth val="0"/>
                <c:extLst>
                  <c:ext xmlns:c16="http://schemas.microsoft.com/office/drawing/2014/chart" uri="{C3380CC4-5D6E-409C-BE32-E72D297353CC}">
                    <c16:uniqueId val="{00000001-E7E2-4F1C-98E0-1FB2FEBF2B32}"/>
                  </c:ext>
                </c:extLst>
              </c15:ser>
            </c15:filteredLineSeries>
          </c:ext>
        </c:extLst>
      </c:lineChart>
      <c:catAx>
        <c:axId val="10270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 market penetration</a:t>
                </a:r>
              </a:p>
            </c:rich>
          </c:tx>
          <c:layout>
            <c:manualLayout>
              <c:xMode val="edge"/>
              <c:yMode val="edge"/>
              <c:x val="0.43409130106946003"/>
              <c:y val="0.910912240564332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2702080"/>
        <c:crosses val="autoZero"/>
        <c:auto val="1"/>
        <c:lblAlgn val="ctr"/>
        <c:lblOffset val="100"/>
        <c:noMultiLvlLbl val="0"/>
      </c:catAx>
      <c:valAx>
        <c:axId val="102702080"/>
        <c:scaling>
          <c:orientation val="minMax"/>
          <c:max val="2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per-subscriber</a:t>
                </a:r>
                <a:r>
                  <a:rPr lang="en-US" baseline="0"/>
                  <a:t> monthly network cost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2700160"/>
        <c:crosses val="autoZero"/>
        <c:crossBetween val="between"/>
      </c:valAx>
      <c:spPr>
        <a:noFill/>
        <a:ln>
          <a:noFill/>
        </a:ln>
        <a:effectLst/>
      </c:spPr>
    </c:plotArea>
    <c:legend>
      <c:legendPos val="r"/>
      <c:layout>
        <c:manualLayout>
          <c:xMode val="edge"/>
          <c:yMode val="edge"/>
          <c:x val="0.63993631570530396"/>
          <c:y val="5.4107976086322541E-2"/>
          <c:w val="0.30846776725676089"/>
          <c:h val="0.28877588218139399"/>
        </c:manualLayout>
      </c:layout>
      <c:overlay val="0"/>
      <c:spPr>
        <a:solidFill>
          <a:schemeClr val="bg1"/>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'3.  USA OVERALL'!$B$17</c:f>
              <c:strCache>
                <c:ptCount val="1"/>
                <c:pt idx="0">
                  <c:v>5G at 600 MHz</c:v>
                </c:pt>
              </c:strCache>
            </c:strRef>
          </c:tx>
          <c:spPr>
            <a:solidFill>
              <a:schemeClr val="accent1"/>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OVERALL'!$C$17:$K$17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FEB8-4BC6-975B-72A54A79661B}"/>
            </c:ext>
          </c:extLst>
        </c:ser>
        <c:ser>
          <c:idx val="1"/>
          <c:order val="1"/>
          <c:tx>
            <c:strRef>
              <c:f>'3.  USA OVERALL'!$B$18</c:f>
              <c:strCache>
                <c:ptCount val="1"/>
                <c:pt idx="0">
                  <c:v>LTE at 700-850 MHz</c:v>
                </c:pt>
              </c:strCache>
            </c:strRef>
          </c:tx>
          <c:spPr>
            <a:solidFill>
              <a:schemeClr val="accent2"/>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OVERALL'!$C$18:$K$18</c:f>
              <c:numCache>
                <c:formatCode>_(* #,##0_);_(* \(#,##0\);_(* "-"??_);_(@_)</c:formatCode>
                <c:ptCount val="9"/>
                <c:pt idx="0">
                  <c:v>717977520</c:v>
                </c:pt>
                <c:pt idx="1">
                  <c:v>735415200</c:v>
                </c:pt>
                <c:pt idx="2">
                  <c:v>756264600</c:v>
                </c:pt>
                <c:pt idx="3">
                  <c:v>773323200</c:v>
                </c:pt>
                <c:pt idx="4">
                  <c:v>792277200</c:v>
                </c:pt>
                <c:pt idx="5">
                  <c:v>809335800</c:v>
                </c:pt>
                <c:pt idx="6">
                  <c:v>826394400</c:v>
                </c:pt>
                <c:pt idx="7">
                  <c:v>843832080</c:v>
                </c:pt>
                <c:pt idx="8">
                  <c:v>865060560</c:v>
                </c:pt>
              </c:numCache>
            </c:numRef>
          </c:val>
          <c:extLst>
            <c:ext xmlns:c16="http://schemas.microsoft.com/office/drawing/2014/chart" uri="{C3380CC4-5D6E-409C-BE32-E72D297353CC}">
              <c16:uniqueId val="{00000001-FEB8-4BC6-975B-72A54A79661B}"/>
            </c:ext>
          </c:extLst>
        </c:ser>
        <c:ser>
          <c:idx val="2"/>
          <c:order val="2"/>
          <c:tx>
            <c:strRef>
              <c:f>'3.  USA OVERALL'!$B$19</c:f>
              <c:strCache>
                <c:ptCount val="1"/>
                <c:pt idx="0">
                  <c:v>LTE at 1900-2300 MHz</c:v>
                </c:pt>
              </c:strCache>
            </c:strRef>
          </c:tx>
          <c:spPr>
            <a:solidFill>
              <a:schemeClr val="accent3"/>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OVERALL'!$C$19:$K$19</c:f>
              <c:numCache>
                <c:formatCode>_(* #,##0_);_(* \(#,##0\);_(* "-"??_);_(@_)</c:formatCode>
                <c:ptCount val="9"/>
                <c:pt idx="0">
                  <c:v>859184820</c:v>
                </c:pt>
                <c:pt idx="1">
                  <c:v>955850220</c:v>
                </c:pt>
                <c:pt idx="2">
                  <c:v>1008163260</c:v>
                </c:pt>
                <c:pt idx="3">
                  <c:v>1063888020</c:v>
                </c:pt>
                <c:pt idx="4">
                  <c:v>1095162120</c:v>
                </c:pt>
                <c:pt idx="5">
                  <c:v>1131553800</c:v>
                </c:pt>
                <c:pt idx="6">
                  <c:v>1173063060</c:v>
                </c:pt>
                <c:pt idx="7">
                  <c:v>1201494060</c:v>
                </c:pt>
                <c:pt idx="8">
                  <c:v>1232768160</c:v>
                </c:pt>
              </c:numCache>
            </c:numRef>
          </c:val>
          <c:extLst>
            <c:ext xmlns:c16="http://schemas.microsoft.com/office/drawing/2014/chart" uri="{C3380CC4-5D6E-409C-BE32-E72D297353CC}">
              <c16:uniqueId val="{00000002-FEB8-4BC6-975B-72A54A79661B}"/>
            </c:ext>
          </c:extLst>
        </c:ser>
        <c:ser>
          <c:idx val="6"/>
          <c:order val="6"/>
          <c:tx>
            <c:strRef>
              <c:f>'3.  USA OVERALL'!$B$23</c:f>
              <c:strCache>
                <c:ptCount val="1"/>
                <c:pt idx="0">
                  <c:v>5G (64T) at 3.5 GHz CBRS</c:v>
                </c:pt>
              </c:strCache>
            </c:strRef>
          </c:tx>
          <c:spPr>
            <a:solidFill>
              <a:schemeClr val="accent1">
                <a:lumMod val="60000"/>
              </a:schemeClr>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OVERALL'!$C$23:$K$23</c:f>
              <c:numCache>
                <c:formatCode>_(* #,##0_);_(* \(#,##0\);_(* "-"??_);_(@_)</c:formatCode>
                <c:ptCount val="9"/>
                <c:pt idx="0">
                  <c:v>37730124.000000007</c:v>
                </c:pt>
                <c:pt idx="1">
                  <c:v>188650620</c:v>
                </c:pt>
                <c:pt idx="2">
                  <c:v>442123920</c:v>
                </c:pt>
                <c:pt idx="3">
                  <c:v>774547920</c:v>
                </c:pt>
                <c:pt idx="4">
                  <c:v>1106971920</c:v>
                </c:pt>
                <c:pt idx="5">
                  <c:v>1106971920</c:v>
                </c:pt>
                <c:pt idx="6">
                  <c:v>1106971920</c:v>
                </c:pt>
                <c:pt idx="7">
                  <c:v>1106971920</c:v>
                </c:pt>
                <c:pt idx="8">
                  <c:v>1106971920</c:v>
                </c:pt>
              </c:numCache>
            </c:numRef>
          </c:val>
          <c:extLst>
            <c:ext xmlns:c16="http://schemas.microsoft.com/office/drawing/2014/chart" uri="{C3380CC4-5D6E-409C-BE32-E72D297353CC}">
              <c16:uniqueId val="{00000006-FEB8-4BC6-975B-72A54A79661B}"/>
            </c:ext>
          </c:extLst>
        </c:ser>
        <c:ser>
          <c:idx val="7"/>
          <c:order val="7"/>
          <c:tx>
            <c:strRef>
              <c:f>'3.  USA OVERALL'!$B$24</c:f>
              <c:strCache>
                <c:ptCount val="1"/>
                <c:pt idx="0">
                  <c:v>5G (64T) at 3.7 GHz</c:v>
                </c:pt>
              </c:strCache>
            </c:strRef>
          </c:tx>
          <c:spPr>
            <a:solidFill>
              <a:schemeClr val="accent2">
                <a:lumMod val="60000"/>
              </a:schemeClr>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OVERALL'!$C$24:$K$24</c:f>
              <c:numCache>
                <c:formatCode>_(* #,##0_);_(* \(#,##0\);_(* "-"??_);_(@_)</c:formatCode>
                <c:ptCount val="9"/>
                <c:pt idx="0">
                  <c:v>0</c:v>
                </c:pt>
                <c:pt idx="1">
                  <c:v>0</c:v>
                </c:pt>
                <c:pt idx="2">
                  <c:v>378132300</c:v>
                </c:pt>
                <c:pt idx="3">
                  <c:v>1215425250</c:v>
                </c:pt>
                <c:pt idx="4">
                  <c:v>2376831600</c:v>
                </c:pt>
                <c:pt idx="5">
                  <c:v>3889360800.000001</c:v>
                </c:pt>
                <c:pt idx="6">
                  <c:v>4726653750</c:v>
                </c:pt>
                <c:pt idx="7">
                  <c:v>5269543695</c:v>
                </c:pt>
                <c:pt idx="8">
                  <c:v>5709797730</c:v>
                </c:pt>
              </c:numCache>
            </c:numRef>
          </c:val>
          <c:extLst>
            <c:ext xmlns:c16="http://schemas.microsoft.com/office/drawing/2014/chart" uri="{C3380CC4-5D6E-409C-BE32-E72D297353CC}">
              <c16:uniqueId val="{00000007-FEB8-4BC6-975B-72A54A79661B}"/>
            </c:ext>
          </c:extLst>
        </c:ser>
        <c:ser>
          <c:idx val="8"/>
          <c:order val="8"/>
          <c:tx>
            <c:strRef>
              <c:f>'3.  USA OVERALL'!$B$25</c:f>
              <c:strCache>
                <c:ptCount val="1"/>
                <c:pt idx="0">
                  <c:v>Small Cell, LTE</c:v>
                </c:pt>
              </c:strCache>
            </c:strRef>
          </c:tx>
          <c:spPr>
            <a:solidFill>
              <a:schemeClr val="accent4">
                <a:lumMod val="50000"/>
              </a:schemeClr>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OVERALL'!$C$25:$K$25</c:f>
              <c:numCache>
                <c:formatCode>_(* #,##0_);_(* \(#,##0\);_(* "-"??_);_(@_)</c:formatCode>
                <c:ptCount val="9"/>
                <c:pt idx="0">
                  <c:v>489888000</c:v>
                </c:pt>
                <c:pt idx="1">
                  <c:v>653184000</c:v>
                </c:pt>
                <c:pt idx="2">
                  <c:v>816480000</c:v>
                </c:pt>
                <c:pt idx="3">
                  <c:v>699840000</c:v>
                </c:pt>
                <c:pt idx="4">
                  <c:v>489888000</c:v>
                </c:pt>
                <c:pt idx="5">
                  <c:v>373248000</c:v>
                </c:pt>
                <c:pt idx="6">
                  <c:v>303264000</c:v>
                </c:pt>
                <c:pt idx="7">
                  <c:v>256608000</c:v>
                </c:pt>
                <c:pt idx="8">
                  <c:v>163296000</c:v>
                </c:pt>
              </c:numCache>
            </c:numRef>
          </c:val>
          <c:extLst>
            <c:ext xmlns:c16="http://schemas.microsoft.com/office/drawing/2014/chart" uri="{C3380CC4-5D6E-409C-BE32-E72D297353CC}">
              <c16:uniqueId val="{00000008-FEB8-4BC6-975B-72A54A79661B}"/>
            </c:ext>
          </c:extLst>
        </c:ser>
        <c:ser>
          <c:idx val="9"/>
          <c:order val="9"/>
          <c:tx>
            <c:strRef>
              <c:f>'3.  USA OVERALL'!$B$26</c:f>
              <c:strCache>
                <c:ptCount val="1"/>
                <c:pt idx="0">
                  <c:v>Small Cell, 5G &lt; 6GHz</c:v>
                </c:pt>
              </c:strCache>
            </c:strRef>
          </c:tx>
          <c:spPr>
            <a:solidFill>
              <a:schemeClr val="accent1"/>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OVERALL'!$C$26:$K$26</c:f>
              <c:numCache>
                <c:formatCode>_(* #,##0_);_(* \(#,##0\);_(* "-"??_);_(@_)</c:formatCode>
                <c:ptCount val="9"/>
                <c:pt idx="0">
                  <c:v>0</c:v>
                </c:pt>
                <c:pt idx="1">
                  <c:v>142884000</c:v>
                </c:pt>
                <c:pt idx="2">
                  <c:v>347004000</c:v>
                </c:pt>
                <c:pt idx="3">
                  <c:v>428652000</c:v>
                </c:pt>
                <c:pt idx="4">
                  <c:v>877716000</c:v>
                </c:pt>
                <c:pt idx="5">
                  <c:v>1306368000</c:v>
                </c:pt>
                <c:pt idx="6">
                  <c:v>1857492000</c:v>
                </c:pt>
                <c:pt idx="7">
                  <c:v>2367792000</c:v>
                </c:pt>
                <c:pt idx="8">
                  <c:v>3000564000</c:v>
                </c:pt>
              </c:numCache>
            </c:numRef>
          </c:val>
          <c:extLst>
            <c:ext xmlns:c16="http://schemas.microsoft.com/office/drawing/2014/chart" uri="{C3380CC4-5D6E-409C-BE32-E72D297353CC}">
              <c16:uniqueId val="{00000009-FEB8-4BC6-975B-72A54A79661B}"/>
            </c:ext>
          </c:extLst>
        </c:ser>
        <c:ser>
          <c:idx val="10"/>
          <c:order val="10"/>
          <c:tx>
            <c:strRef>
              <c:f>'3.  USA OVERALL'!$B$28</c:f>
              <c:strCache>
                <c:ptCount val="1"/>
                <c:pt idx="0">
                  <c:v>5G mm-wave</c:v>
                </c:pt>
              </c:strCache>
            </c:strRef>
          </c:tx>
          <c:spPr>
            <a:solidFill>
              <a:schemeClr val="tx1"/>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OVERALL'!$C$28:$K$28</c:f>
              <c:numCache>
                <c:formatCode>_(* #,##0_);_(* \(#,##0\);_(* "-"??_);_(@_)</c:formatCode>
                <c:ptCount val="9"/>
                <c:pt idx="0">
                  <c:v>14580000</c:v>
                </c:pt>
                <c:pt idx="1">
                  <c:v>218700000</c:v>
                </c:pt>
                <c:pt idx="2">
                  <c:v>437400000</c:v>
                </c:pt>
                <c:pt idx="3">
                  <c:v>656100000</c:v>
                </c:pt>
                <c:pt idx="4">
                  <c:v>1093500000</c:v>
                </c:pt>
                <c:pt idx="5">
                  <c:v>1786050000</c:v>
                </c:pt>
                <c:pt idx="6">
                  <c:v>3025350000</c:v>
                </c:pt>
                <c:pt idx="7">
                  <c:v>5175900000</c:v>
                </c:pt>
                <c:pt idx="8">
                  <c:v>6779700000</c:v>
                </c:pt>
              </c:numCache>
            </c:numRef>
          </c:val>
          <c:extLst>
            <c:ext xmlns:c16="http://schemas.microsoft.com/office/drawing/2014/chart" uri="{C3380CC4-5D6E-409C-BE32-E72D297353CC}">
              <c16:uniqueId val="{0000000A-FEB8-4BC6-975B-72A54A79661B}"/>
            </c:ext>
          </c:extLst>
        </c:ser>
        <c:dLbls>
          <c:showLegendKey val="0"/>
          <c:showVal val="0"/>
          <c:showCatName val="0"/>
          <c:showSerName val="0"/>
          <c:showPercent val="0"/>
          <c:showBubbleSize val="0"/>
        </c:dLbls>
        <c:gapWidth val="150"/>
        <c:overlap val="100"/>
        <c:axId val="146670720"/>
        <c:axId val="146672256"/>
        <c:extLst>
          <c:ext xmlns:c15="http://schemas.microsoft.com/office/drawing/2012/chart" uri="{02D57815-91ED-43cb-92C2-25804820EDAC}">
            <c15:filteredBarSeries>
              <c15:ser>
                <c:idx val="3"/>
                <c:order val="3"/>
                <c:tx>
                  <c:strRef>
                    <c:extLst>
                      <c:ext uri="{02D57815-91ED-43cb-92C2-25804820EDAC}">
                        <c15:formulaRef>
                          <c15:sqref>'3.  USA OVERALL'!$B$20</c15:sqref>
                        </c15:formulaRef>
                      </c:ext>
                    </c:extLst>
                    <c:strCache>
                      <c:ptCount val="1"/>
                      <c:pt idx="0">
                        <c:v>LTE at 2.5 GHz</c:v>
                      </c:pt>
                    </c:strCache>
                  </c:strRef>
                </c:tx>
                <c:spPr>
                  <a:solidFill>
                    <a:schemeClr val="accent4"/>
                  </a:solidFill>
                  <a:ln>
                    <a:noFill/>
                  </a:ln>
                  <a:effectLst/>
                </c:spPr>
                <c:invertIfNegative val="0"/>
                <c:cat>
                  <c:numRef>
                    <c:extLst>
                      <c:ext uri="{02D57815-91ED-43cb-92C2-25804820EDAC}">
                        <c15:formulaRef>
                          <c15:sqref>'3.  USA OVERALL'!$C$9:$K$9</c15:sqref>
                        </c15:formulaRef>
                      </c:ext>
                    </c:extLst>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extLst>
                      <c:ext uri="{02D57815-91ED-43cb-92C2-25804820EDAC}">
                        <c15:formulaRef>
                          <c15:sqref>'3.  USA OVERALL'!$C$20:$K$20</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FEB8-4BC6-975B-72A54A79661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'3.  USA OVERALL'!$B$21</c15:sqref>
                        </c15:formulaRef>
                      </c:ext>
                    </c:extLst>
                    <c:strCache>
                      <c:ptCount val="1"/>
                      <c:pt idx="0">
                        <c:v>5G (8T8R) at 2.5 GHz</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'3.  USA OVERALL'!$C$9:$K$9</c15:sqref>
                        </c15:formulaRef>
                      </c:ext>
                    </c:extLst>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extLst xmlns:c15="http://schemas.microsoft.com/office/drawing/2012/chart">
                      <c:ext xmlns:c15="http://schemas.microsoft.com/office/drawing/2012/chart" uri="{02D57815-91ED-43cb-92C2-25804820EDAC}">
                        <c15:formulaRef>
                          <c15:sqref>'3.  USA OVERALL'!$C$21:$K$21</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4-FEB8-4BC6-975B-72A54A79661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'3.  USA OVERALL'!$B$22</c15:sqref>
                        </c15:formulaRef>
                      </c:ext>
                    </c:extLst>
                    <c:strCache>
                      <c:ptCount val="1"/>
                      <c:pt idx="0">
                        <c:v>5G (64T64R) at 2.5 GHz</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'3.  USA OVERALL'!$C$9:$K$9</c15:sqref>
                        </c15:formulaRef>
                      </c:ext>
                    </c:extLst>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extLst xmlns:c15="http://schemas.microsoft.com/office/drawing/2012/chart">
                      <c:ext xmlns:c15="http://schemas.microsoft.com/office/drawing/2012/chart" uri="{02D57815-91ED-43cb-92C2-25804820EDAC}">
                        <c15:formulaRef>
                          <c15:sqref>'3.  USA OVERALL'!$C$22:$K$22</c15:sqref>
                        </c15:formulaRef>
                      </c:ext>
                    </c:extLst>
                    <c:numCache>
                      <c:formatCode>_(* #,##0_);_(* \(#,##0\);_(* "-"??_);_(@_)</c:formatCode>
                      <c:ptCount val="9"/>
                      <c:pt idx="0">
                        <c:v>0</c:v>
                      </c:pt>
                      <c:pt idx="1">
                        <c:v>0</c:v>
                      </c:pt>
                      <c:pt idx="2">
                        <c:v>0</c:v>
                      </c:pt>
                      <c:pt idx="3">
                        <c:v>0</c:v>
                      </c:pt>
                      <c:pt idx="4">
                        <c:v>0</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05-FEB8-4BC6-975B-72A54A79661B}"/>
                  </c:ext>
                </c:extLst>
              </c15:ser>
            </c15:filteredBarSeries>
          </c:ext>
        </c:extLst>
      </c:barChart>
      <c:catAx>
        <c:axId val="1466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46672256"/>
        <c:crosses val="autoZero"/>
        <c:auto val="1"/>
        <c:lblAlgn val="ctr"/>
        <c:lblOffset val="100"/>
        <c:noMultiLvlLbl val="0"/>
      </c:catAx>
      <c:valAx>
        <c:axId val="146672256"/>
        <c:scaling>
          <c:orientation val="minMax"/>
          <c:max val="20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(GB/mo)</a:t>
                </a:r>
              </a:p>
            </c:rich>
          </c:tx>
          <c:layout>
            <c:manualLayout>
              <c:xMode val="edge"/>
              <c:yMode val="edge"/>
              <c:x val="1.2413411567149226E-2"/>
              <c:y val="0.365602553949177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46670720"/>
        <c:crosses val="autoZero"/>
        <c:crossBetween val="between"/>
      </c:valAx>
      <c:spPr>
        <a:noFill/>
        <a:ln>
          <a:noFill/>
        </a:ln>
        <a:effectLst/>
      </c:spPr>
    </c:plotArea>
    <c:legend>
      <c:legendPos val="r"/>
      <c:layout>
        <c:manualLayout>
          <c:xMode val="edge"/>
          <c:yMode val="edge"/>
          <c:x val="0.77633680600851529"/>
          <c:y val="0.23323811082877008"/>
          <c:w val="0.21656972435746039"/>
          <c:h val="0.551235581639122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89609219000165"/>
          <c:y val="4.0676687020429037E-2"/>
          <c:w val="0.65511866011644515"/>
          <c:h val="0.83613839657534983"/>
        </c:manualLayout>
      </c:layout>
      <c:barChart>
        <c:barDir val="col"/>
        <c:grouping val="stacked"/>
        <c:varyColors val="0"/>
        <c:ser>
          <c:idx val="0"/>
          <c:order val="0"/>
          <c:tx>
            <c:v>Network cost</c:v>
          </c:tx>
          <c:spPr>
            <a:solidFill>
              <a:schemeClr val="accent2">
                <a:lumMod val="50000"/>
              </a:schemeClr>
            </a:solidFill>
            <a:ln>
              <a:noFill/>
            </a:ln>
            <a:effectLst/>
          </c:spPr>
          <c:invertIfNegative val="0"/>
          <c:dLbls>
            <c:dLbl>
              <c:idx val="0"/>
              <c:layout>
                <c:manualLayout>
                  <c:x val="7.8434750138706558E-2"/>
                  <c:y val="-0.3424069855312058"/>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r>
                      <a:rPr lang="en-US">
                        <a:solidFill>
                          <a:schemeClr val="accent2">
                            <a:lumMod val="50000"/>
                          </a:schemeClr>
                        </a:solidFill>
                      </a:rPr>
                      <a:t>$26.9B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358-4CA9-BAFA-83E3BD010201}"/>
                </c:ext>
              </c:extLst>
            </c:dLbl>
            <c:dLbl>
              <c:idx val="8"/>
              <c:layout>
                <c:manualLayout>
                  <c:x val="2.8235300096139768E-2"/>
                  <c:y val="0"/>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r>
                      <a:rPr lang="en-US">
                        <a:solidFill>
                          <a:schemeClr val="accent2">
                            <a:lumMod val="50000"/>
                          </a:schemeClr>
                        </a:solidFill>
                      </a:rPr>
                      <a:t>$11.6B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58-4CA9-BAFA-83E3BD01020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'3.  USA OVERALL'!$C$15:$K$15</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OVERALL'!$C$56:$K$56</c:f>
              <c:numCache>
                <c:formatCode>"$"#,##0,," M"</c:formatCode>
                <c:ptCount val="9"/>
                <c:pt idx="0">
                  <c:v>7786558751.6869297</c:v>
                </c:pt>
                <c:pt idx="1">
                  <c:v>26878847300</c:v>
                </c:pt>
                <c:pt idx="2">
                  <c:v>6978210300</c:v>
                </c:pt>
                <c:pt idx="3">
                  <c:v>8232381000</c:v>
                </c:pt>
                <c:pt idx="4">
                  <c:v>9548388100</c:v>
                </c:pt>
                <c:pt idx="5">
                  <c:v>10377230100</c:v>
                </c:pt>
                <c:pt idx="6">
                  <c:v>10602744500</c:v>
                </c:pt>
                <c:pt idx="7">
                  <c:v>11036052850</c:v>
                </c:pt>
                <c:pt idx="8">
                  <c:v>11450339600</c:v>
                </c:pt>
              </c:numCache>
            </c:numRef>
          </c:val>
          <c:extLst>
            <c:ext xmlns:c16="http://schemas.microsoft.com/office/drawing/2014/chart" uri="{C3380CC4-5D6E-409C-BE32-E72D297353CC}">
              <c16:uniqueId val="{00000000-0358-4CA9-BAFA-83E3BD010201}"/>
            </c:ext>
          </c:extLst>
        </c:ser>
        <c:ser>
          <c:idx val="1"/>
          <c:order val="1"/>
          <c:tx>
            <c:v>Serving cost</c:v>
          </c:tx>
          <c:spPr>
            <a:pattFill prst="dkUpDiag">
              <a:fgClr>
                <a:schemeClr val="accent2">
                  <a:lumMod val="50000"/>
                </a:schemeClr>
              </a:fgClr>
              <a:bgClr>
                <a:schemeClr val="bg1"/>
              </a:bgClr>
            </a:pattFill>
            <a:ln>
              <a:noFill/>
            </a:ln>
            <a:effectLst/>
          </c:spPr>
          <c:invertIfNegative val="0"/>
          <c:cat>
            <c:numRef>
              <c:f>'3.  USA OVERALL'!$C$15:$K$15</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OVERALL'!$C$57:$K$57</c:f>
              <c:numCache>
                <c:formatCode>"$"#,##0,," M"</c:formatCode>
                <c:ptCount val="9"/>
                <c:pt idx="0">
                  <c:v>14560710937.499998</c:v>
                </c:pt>
                <c:pt idx="1">
                  <c:v>15148963659.375</c:v>
                </c:pt>
                <c:pt idx="2">
                  <c:v>15754922205.75</c:v>
                </c:pt>
                <c:pt idx="3">
                  <c:v>16379059508.516249</c:v>
                </c:pt>
                <c:pt idx="4">
                  <c:v>17021860334.510849</c:v>
                </c:pt>
                <c:pt idx="5">
                  <c:v>17683821569.741829</c:v>
                </c:pt>
                <c:pt idx="6">
                  <c:v>18365452510.248241</c:v>
                </c:pt>
                <c:pt idx="7">
                  <c:v>19067275159.747009</c:v>
                </c:pt>
                <c:pt idx="8">
                  <c:v>19789824534.221634</c:v>
                </c:pt>
              </c:numCache>
            </c:numRef>
          </c:val>
          <c:extLst>
            <c:ext xmlns:c16="http://schemas.microsoft.com/office/drawing/2014/chart" uri="{C3380CC4-5D6E-409C-BE32-E72D297353CC}">
              <c16:uniqueId val="{00000001-0358-4CA9-BAFA-83E3BD010201}"/>
            </c:ext>
          </c:extLst>
        </c:ser>
        <c:dLbls>
          <c:showLegendKey val="0"/>
          <c:showVal val="0"/>
          <c:showCatName val="0"/>
          <c:showSerName val="0"/>
          <c:showPercent val="0"/>
          <c:showBubbleSize val="0"/>
        </c:dLbls>
        <c:gapWidth val="150"/>
        <c:overlap val="100"/>
        <c:axId val="651988984"/>
        <c:axId val="651988664"/>
      </c:barChart>
      <c:lineChart>
        <c:grouping val="standard"/>
        <c:varyColors val="0"/>
        <c:ser>
          <c:idx val="2"/>
          <c:order val="2"/>
          <c:tx>
            <c:v>Net Cash</c:v>
          </c:tx>
          <c:spPr>
            <a:ln w="28575" cap="rnd">
              <a:solidFill>
                <a:schemeClr val="accent5"/>
              </a:solidFill>
              <a:round/>
            </a:ln>
            <a:effectLst/>
          </c:spPr>
          <c:marker>
            <c:symbol val="none"/>
          </c:marker>
          <c:dLbls>
            <c:dLbl>
              <c:idx val="0"/>
              <c:layout>
                <c:manualLayout>
                  <c:x val="1.7282712224132357E-2"/>
                  <c:y val="0.32358913189450561"/>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r>
                      <a:rPr lang="en-US">
                        <a:solidFill>
                          <a:schemeClr val="accent1">
                            <a:lumMod val="50000"/>
                          </a:schemeClr>
                        </a:solidFill>
                      </a:rPr>
                      <a:t>$18.6B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58-4CA9-BAFA-83E3BD010201}"/>
                </c:ext>
              </c:extLst>
            </c:dLbl>
            <c:dLbl>
              <c:idx val="8"/>
              <c:layout>
                <c:manualLayout>
                  <c:x val="-1.3544469662562526E-3"/>
                  <c:y val="-6.8781620708836539E-4"/>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r>
                      <a:rPr lang="en-US">
                        <a:solidFill>
                          <a:schemeClr val="accent1">
                            <a:lumMod val="50000"/>
                          </a:schemeClr>
                        </a:solidFill>
                      </a:rPr>
                      <a:t>$47.9B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58-4CA9-BAFA-83E3BD01020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'3.  USA OVERALL'!$C$15:$K$15</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OVERALL'!$C$58:$K$58</c:f>
              <c:numCache>
                <c:formatCode>"$"#,##0,," M"</c:formatCode>
                <c:ptCount val="9"/>
                <c:pt idx="0">
                  <c:v>35895574060.813065</c:v>
                </c:pt>
                <c:pt idx="1">
                  <c:v>18568043678.125</c:v>
                </c:pt>
                <c:pt idx="2">
                  <c:v>40286556317.25</c:v>
                </c:pt>
                <c:pt idx="3">
                  <c:v>40904797525.548744</c:v>
                </c:pt>
                <c:pt idx="4">
                  <c:v>41517192903.532547</c:v>
                </c:pt>
                <c:pt idx="5">
                  <c:v>42674234609.225487</c:v>
                </c:pt>
                <c:pt idx="6">
                  <c:v>44493613030.74472</c:v>
                </c:pt>
                <c:pt idx="7">
                  <c:v>46165772629.241028</c:v>
                </c:pt>
                <c:pt idx="8">
                  <c:v>47919134002.664902</c:v>
                </c:pt>
              </c:numCache>
            </c:numRef>
          </c:val>
          <c:smooth val="0"/>
          <c:extLst>
            <c:ext xmlns:c16="http://schemas.microsoft.com/office/drawing/2014/chart" uri="{C3380CC4-5D6E-409C-BE32-E72D297353CC}">
              <c16:uniqueId val="{0000000B-0358-4CA9-BAFA-83E3BD010201}"/>
            </c:ext>
          </c:extLst>
        </c:ser>
        <c:dLbls>
          <c:showLegendKey val="0"/>
          <c:showVal val="0"/>
          <c:showCatName val="0"/>
          <c:showSerName val="0"/>
          <c:showPercent val="0"/>
          <c:showBubbleSize val="0"/>
        </c:dLbls>
        <c:marker val="1"/>
        <c:smooth val="0"/>
        <c:axId val="651991864"/>
        <c:axId val="651990264"/>
      </c:lineChart>
      <c:valAx>
        <c:axId val="651990264"/>
        <c:scaling>
          <c:orientation val="minMax"/>
          <c:max val="50000000000"/>
        </c:scaling>
        <c:delete val="1"/>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Operarting Cash Flow</a:t>
                </a:r>
              </a:p>
            </c:rich>
          </c:tx>
          <c:layout>
            <c:manualLayout>
              <c:xMode val="edge"/>
              <c:yMode val="edge"/>
              <c:x val="7.6691846845636062E-3"/>
              <c:y val="0.2483326758959062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out"/>
        <c:minorTickMark val="none"/>
        <c:tickLblPos val="nextTo"/>
        <c:crossAx val="651991864"/>
        <c:crosses val="max"/>
        <c:crossBetween val="between"/>
      </c:valAx>
      <c:catAx>
        <c:axId val="651991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1990264"/>
        <c:crosses val="autoZero"/>
        <c:auto val="1"/>
        <c:lblAlgn val="ctr"/>
        <c:lblOffset val="100"/>
        <c:noMultiLvlLbl val="0"/>
      </c:catAx>
      <c:valAx>
        <c:axId val="651988664"/>
        <c:scaling>
          <c:orientation val="minMax"/>
          <c:max val="50000000000"/>
        </c:scaling>
        <c:delete val="0"/>
        <c:axPos val="l"/>
        <c:numFmt formatCode="&quot;$&quot;#0,,,&quot; 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1988984"/>
        <c:crosses val="autoZero"/>
        <c:crossBetween val="between"/>
      </c:valAx>
      <c:catAx>
        <c:axId val="651988984"/>
        <c:scaling>
          <c:orientation val="minMax"/>
        </c:scaling>
        <c:delete val="1"/>
        <c:axPos val="b"/>
        <c:numFmt formatCode="General" sourceLinked="1"/>
        <c:majorTickMark val="out"/>
        <c:minorTickMark val="none"/>
        <c:tickLblPos val="nextTo"/>
        <c:crossAx val="651988664"/>
        <c:crosses val="autoZero"/>
        <c:auto val="1"/>
        <c:lblAlgn val="ctr"/>
        <c:lblOffset val="100"/>
        <c:noMultiLvlLbl val="0"/>
      </c:catAx>
      <c:spPr>
        <a:noFill/>
        <a:ln>
          <a:noFill/>
        </a:ln>
        <a:effectLst/>
      </c:spPr>
    </c:plotArea>
    <c:legend>
      <c:legendPos val="r"/>
      <c:layout>
        <c:manualLayout>
          <c:xMode val="edge"/>
          <c:yMode val="edge"/>
          <c:x val="0.80545705373105991"/>
          <c:y val="0.3601395133928868"/>
          <c:w val="0.19454294626894009"/>
          <c:h val="0.216396175487039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807490235547246E-2"/>
          <c:y val="4.0676724720607571E-2"/>
          <c:w val="0.65511866011644515"/>
          <c:h val="0.83613839657534983"/>
        </c:manualLayout>
      </c:layout>
      <c:lineChart>
        <c:grouping val="standard"/>
        <c:varyColors val="0"/>
        <c:ser>
          <c:idx val="2"/>
          <c:order val="0"/>
          <c:tx>
            <c:v>5G Investment</c:v>
          </c:tx>
          <c:spPr>
            <a:ln w="28575" cap="rnd">
              <a:solidFill>
                <a:schemeClr val="accent5"/>
              </a:solidFill>
              <a:round/>
            </a:ln>
            <a:effectLst/>
          </c:spPr>
          <c:marker>
            <c:symbol val="none"/>
          </c:marker>
          <c:dLbls>
            <c:dLbl>
              <c:idx val="0"/>
              <c:layout>
                <c:manualLayout>
                  <c:x val="1.7282712224132357E-2"/>
                  <c:y val="0.32358913189450561"/>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r>
                      <a:rPr lang="en-US">
                        <a:solidFill>
                          <a:schemeClr val="accent1">
                            <a:lumMod val="50000"/>
                          </a:schemeClr>
                        </a:solidFill>
                      </a:rPr>
                      <a:t>$18.6B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0F-4660-AB50-C3A0EB5F868E}"/>
                </c:ext>
              </c:extLst>
            </c:dLbl>
            <c:dLbl>
              <c:idx val="8"/>
              <c:layout>
                <c:manualLayout>
                  <c:x val="-1.3544469662562526E-3"/>
                  <c:y val="-6.8781620708836539E-4"/>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r>
                      <a:rPr lang="en-US">
                        <a:solidFill>
                          <a:schemeClr val="accent1">
                            <a:lumMod val="50000"/>
                          </a:schemeClr>
                        </a:solidFill>
                      </a:rPr>
                      <a:t>$47.9B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0F-4660-AB50-C3A0EB5F868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OVERALL'!$C$58:$K$58</c:f>
              <c:numCache>
                <c:formatCode>"$"#,##0,," M"</c:formatCode>
                <c:ptCount val="9"/>
                <c:pt idx="0">
                  <c:v>35895574060.813065</c:v>
                </c:pt>
                <c:pt idx="1">
                  <c:v>18568043678.125</c:v>
                </c:pt>
                <c:pt idx="2">
                  <c:v>40286556317.25</c:v>
                </c:pt>
                <c:pt idx="3">
                  <c:v>40904797525.548744</c:v>
                </c:pt>
                <c:pt idx="4">
                  <c:v>41517192903.532547</c:v>
                </c:pt>
                <c:pt idx="5">
                  <c:v>42674234609.225487</c:v>
                </c:pt>
                <c:pt idx="6">
                  <c:v>44493613030.74472</c:v>
                </c:pt>
                <c:pt idx="7">
                  <c:v>46165772629.241028</c:v>
                </c:pt>
                <c:pt idx="8">
                  <c:v>47919134002.664902</c:v>
                </c:pt>
              </c:numCache>
            </c:numRef>
          </c:val>
          <c:smooth val="0"/>
          <c:extLst>
            <c:ext xmlns:c16="http://schemas.microsoft.com/office/drawing/2014/chart" uri="{C3380CC4-5D6E-409C-BE32-E72D297353CC}">
              <c16:uniqueId val="{00000006-9D0F-4660-AB50-C3A0EB5F868E}"/>
            </c:ext>
          </c:extLst>
        </c:ser>
        <c:ser>
          <c:idx val="0"/>
          <c:order val="1"/>
          <c:tx>
            <c:v>LTE maintenance</c:v>
          </c:tx>
          <c:spPr>
            <a:ln w="28575" cap="rnd">
              <a:solidFill>
                <a:srgbClr val="C00000"/>
              </a:solidFill>
              <a:round/>
            </a:ln>
            <a:effectLst/>
          </c:spPr>
          <c:marker>
            <c:symbol val="none"/>
          </c:marker>
          <c:dLbls>
            <c:dLbl>
              <c:idx val="0"/>
              <c:layout>
                <c:manualLayout>
                  <c:x val="-5.8632884276230153E-2"/>
                  <c:y val="-5.2770433930862698E-2"/>
                </c:manualLayout>
              </c:layout>
              <c:tx>
                <c:rich>
                  <a:bodyPr/>
                  <a:lstStyle/>
                  <a:p>
                    <a:r>
                      <a:rPr lang="en-US"/>
                      <a:t>$38.3B</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03-4CBA-B622-9FFC5EF5530B}"/>
                </c:ext>
              </c:extLst>
            </c:dLbl>
            <c:dLbl>
              <c:idx val="8"/>
              <c:tx>
                <c:rich>
                  <a:bodyPr/>
                  <a:lstStyle/>
                  <a:p>
                    <a:r>
                      <a:rPr lang="en-US"/>
                      <a:t>$18.4B</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03-4CBA-B622-9FFC5EF5530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00000"/>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OVERALL'!$C$84:$K$84</c:f>
              <c:numCache>
                <c:formatCode>"$"#,##0,," M"</c:formatCode>
                <c:ptCount val="9"/>
                <c:pt idx="0">
                  <c:v>38296469112.499992</c:v>
                </c:pt>
                <c:pt idx="1">
                  <c:v>39822956978.125</c:v>
                </c:pt>
                <c:pt idx="2">
                  <c:v>39399174018.073067</c:v>
                </c:pt>
                <c:pt idx="3">
                  <c:v>31276614519.634743</c:v>
                </c:pt>
                <c:pt idx="4">
                  <c:v>25071027867.990902</c:v>
                </c:pt>
                <c:pt idx="5">
                  <c:v>21783922252.523216</c:v>
                </c:pt>
                <c:pt idx="6">
                  <c:v>19964208210.596069</c:v>
                </c:pt>
                <c:pt idx="7">
                  <c:v>19022230144.824387</c:v>
                </c:pt>
                <c:pt idx="8">
                  <c:v>18385504932.92276</c:v>
                </c:pt>
              </c:numCache>
            </c:numRef>
          </c:val>
          <c:smooth val="0"/>
          <c:extLst>
            <c:ext xmlns:c16="http://schemas.microsoft.com/office/drawing/2014/chart" uri="{C3380CC4-5D6E-409C-BE32-E72D297353CC}">
              <c16:uniqueId val="{00000007-9D0F-4660-AB50-C3A0EB5F868E}"/>
            </c:ext>
          </c:extLst>
        </c:ser>
        <c:dLbls>
          <c:showLegendKey val="0"/>
          <c:showVal val="0"/>
          <c:showCatName val="0"/>
          <c:showSerName val="0"/>
          <c:showPercent val="0"/>
          <c:showBubbleSize val="0"/>
        </c:dLbls>
        <c:smooth val="0"/>
        <c:axId val="651991864"/>
        <c:axId val="651990264"/>
      </c:lineChart>
      <c:valAx>
        <c:axId val="651990264"/>
        <c:scaling>
          <c:orientation val="minMax"/>
          <c:max val="50000000000"/>
        </c:scaling>
        <c:delete val="1"/>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Net  Cash Flow</a:t>
                </a:r>
              </a:p>
            </c:rich>
          </c:tx>
          <c:layout>
            <c:manualLayout>
              <c:xMode val="edge"/>
              <c:yMode val="edge"/>
              <c:x val="2.3304647848742546E-2"/>
              <c:y val="0.3081391676842172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out"/>
        <c:minorTickMark val="none"/>
        <c:tickLblPos val="nextTo"/>
        <c:crossAx val="651991864"/>
        <c:crosses val="max"/>
        <c:crossBetween val="between"/>
      </c:valAx>
      <c:catAx>
        <c:axId val="651991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1990264"/>
        <c:crosses val="autoZero"/>
        <c:auto val="1"/>
        <c:lblAlgn val="ctr"/>
        <c:lblOffset val="100"/>
        <c:noMultiLvlLbl val="0"/>
      </c:catAx>
      <c:spPr>
        <a:noFill/>
        <a:ln>
          <a:noFill/>
        </a:ln>
        <a:effectLst/>
      </c:spPr>
    </c:plotArea>
    <c:legend>
      <c:legendPos val="r"/>
      <c:layout>
        <c:manualLayout>
          <c:xMode val="edge"/>
          <c:yMode val="edge"/>
          <c:x val="0.76636842380648995"/>
          <c:y val="0.27570681910350653"/>
          <c:w val="0.23363157619351008"/>
          <c:h val="0.2373724922270951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63353938234356"/>
          <c:y val="5.3633765753171192E-2"/>
          <c:w val="0.69184419996565849"/>
          <c:h val="0.82118446029755421"/>
        </c:manualLayout>
      </c:layout>
      <c:barChart>
        <c:barDir val="col"/>
        <c:grouping val="stacked"/>
        <c:varyColors val="0"/>
        <c:ser>
          <c:idx val="0"/>
          <c:order val="0"/>
          <c:tx>
            <c:strRef>
              <c:f>'3.  USA Dense Urban'!$G$39</c:f>
              <c:strCache>
                <c:ptCount val="1"/>
                <c:pt idx="0">
                  <c:v>Capacity below 6 GHz</c:v>
                </c:pt>
              </c:strCache>
            </c:strRef>
          </c:tx>
          <c:spPr>
            <a:solidFill>
              <a:schemeClr val="bg1">
                <a:lumMod val="75000"/>
              </a:schemeClr>
            </a:solidFill>
            <a:ln>
              <a:noFill/>
            </a:ln>
            <a:effectLst/>
          </c:spPr>
          <c:invertIfNegative val="0"/>
          <c:cat>
            <c:numRef>
              <c:f>'3.  USA Dense 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Dense Urban'!$H$39:$P$39</c:f>
              <c:numCache>
                <c:formatCode>_(* #,##0_);_(* \(#,##0\);_(* "-"??_);_(@_)</c:formatCode>
                <c:ptCount val="9"/>
                <c:pt idx="0">
                  <c:v>663518304</c:v>
                </c:pt>
                <c:pt idx="1">
                  <c:v>929270880</c:v>
                </c:pt>
                <c:pt idx="2">
                  <c:v>1325001240</c:v>
                </c:pt>
                <c:pt idx="3">
                  <c:v>1548833400</c:v>
                </c:pt>
                <c:pt idx="4">
                  <c:v>2043999360</c:v>
                </c:pt>
                <c:pt idx="5">
                  <c:v>2525051880</c:v>
                </c:pt>
                <c:pt idx="6">
                  <c:v>2885615280</c:v>
                </c:pt>
                <c:pt idx="7">
                  <c:v>3181356000</c:v>
                </c:pt>
                <c:pt idx="8">
                  <c:v>3455489160</c:v>
                </c:pt>
              </c:numCache>
            </c:numRef>
          </c:val>
          <c:extLst>
            <c:ext xmlns:c16="http://schemas.microsoft.com/office/drawing/2014/chart" uri="{C3380CC4-5D6E-409C-BE32-E72D297353CC}">
              <c16:uniqueId val="{00000000-4687-4748-A6A0-1FA042875B09}"/>
            </c:ext>
          </c:extLst>
        </c:ser>
        <c:ser>
          <c:idx val="3"/>
          <c:order val="1"/>
          <c:tx>
            <c:strRef>
              <c:f>'3.  USA Dense Urban'!$G$40</c:f>
              <c:strCache>
                <c:ptCount val="1"/>
                <c:pt idx="0">
                  <c:v>5G mm-wave capacity</c:v>
                </c:pt>
              </c:strCache>
            </c:strRef>
          </c:tx>
          <c:spPr>
            <a:solidFill>
              <a:schemeClr val="tx1"/>
            </a:solidFill>
            <a:ln>
              <a:noFill/>
            </a:ln>
            <a:effectLst/>
          </c:spPr>
          <c:invertIfNegative val="0"/>
          <c:cat>
            <c:numRef>
              <c:f>'3.  USA Dense 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Dense Urban'!$H$40:$P$40</c:f>
              <c:numCache>
                <c:formatCode>_(* #,##0_);_(* \(#,##0\);_(* "-"??_);_(@_)</c:formatCode>
                <c:ptCount val="9"/>
                <c:pt idx="0">
                  <c:v>14580000</c:v>
                </c:pt>
                <c:pt idx="1">
                  <c:v>145800000</c:v>
                </c:pt>
                <c:pt idx="2">
                  <c:v>291600000</c:v>
                </c:pt>
                <c:pt idx="3">
                  <c:v>437400000</c:v>
                </c:pt>
                <c:pt idx="4">
                  <c:v>729000000</c:v>
                </c:pt>
                <c:pt idx="5">
                  <c:v>1166400000</c:v>
                </c:pt>
                <c:pt idx="6">
                  <c:v>1749600000</c:v>
                </c:pt>
                <c:pt idx="7">
                  <c:v>2624400000</c:v>
                </c:pt>
                <c:pt idx="8">
                  <c:v>3499200000</c:v>
                </c:pt>
              </c:numCache>
            </c:numRef>
          </c:val>
          <c:extLst>
            <c:ext xmlns:c16="http://schemas.microsoft.com/office/drawing/2014/chart" uri="{C3380CC4-5D6E-409C-BE32-E72D297353CC}">
              <c16:uniqueId val="{00000003-4687-4748-A6A0-1FA042875B09}"/>
            </c:ext>
          </c:extLst>
        </c:ser>
        <c:dLbls>
          <c:showLegendKey val="0"/>
          <c:showVal val="0"/>
          <c:showCatName val="0"/>
          <c:showSerName val="0"/>
          <c:showPercent val="0"/>
          <c:showBubbleSize val="0"/>
        </c:dLbls>
        <c:gapWidth val="150"/>
        <c:overlap val="100"/>
        <c:axId val="158878720"/>
        <c:axId val="158888704"/>
      </c:barChart>
      <c:lineChart>
        <c:grouping val="standard"/>
        <c:varyColors val="0"/>
        <c:ser>
          <c:idx val="4"/>
          <c:order val="2"/>
          <c:tx>
            <c:strRef>
              <c:f>'3.  USA Dense Urban'!$G$13</c:f>
              <c:strCache>
                <c:ptCount val="1"/>
                <c:pt idx="0">
                  <c:v>Demand (GB/mo)</c:v>
                </c:pt>
              </c:strCache>
            </c:strRef>
          </c:tx>
          <c:spPr>
            <a:ln w="28575" cap="rnd">
              <a:solidFill>
                <a:srgbClr val="C00000"/>
              </a:solidFill>
              <a:round/>
            </a:ln>
            <a:effectLst/>
          </c:spPr>
          <c:marker>
            <c:symbol val="none"/>
          </c:marker>
          <c:val>
            <c:numRef>
              <c:f>'3.  USA Dense Urban'!$H$13:$P$13</c:f>
              <c:numCache>
                <c:formatCode>_(* #,##0_);_(* \(#,##0\);_(* "-"??_);_(@_)</c:formatCode>
                <c:ptCount val="9"/>
                <c:pt idx="0">
                  <c:v>405405000</c:v>
                </c:pt>
                <c:pt idx="1">
                  <c:v>578918340</c:v>
                </c:pt>
                <c:pt idx="2">
                  <c:v>826377552</c:v>
                </c:pt>
                <c:pt idx="3">
                  <c:v>1263404141.9999998</c:v>
                </c:pt>
                <c:pt idx="4">
                  <c:v>1930862934</c:v>
                </c:pt>
                <c:pt idx="5">
                  <c:v>2753267517</c:v>
                </c:pt>
                <c:pt idx="6">
                  <c:v>3784491350.6399999</c:v>
                </c:pt>
                <c:pt idx="7">
                  <c:v>5007693019.3289986</c:v>
                </c:pt>
                <c:pt idx="8">
                  <c:v>6369434103.5324984</c:v>
                </c:pt>
              </c:numCache>
            </c:numRef>
          </c:val>
          <c:smooth val="0"/>
          <c:extLst>
            <c:ext xmlns:c16="http://schemas.microsoft.com/office/drawing/2014/chart" uri="{C3380CC4-5D6E-409C-BE32-E72D297353CC}">
              <c16:uniqueId val="{00000004-4687-4748-A6A0-1FA042875B09}"/>
            </c:ext>
          </c:extLst>
        </c:ser>
        <c:dLbls>
          <c:showLegendKey val="0"/>
          <c:showVal val="0"/>
          <c:showCatName val="0"/>
          <c:showSerName val="0"/>
          <c:showPercent val="0"/>
          <c:showBubbleSize val="0"/>
        </c:dLbls>
        <c:marker val="1"/>
        <c:smooth val="0"/>
        <c:axId val="158878720"/>
        <c:axId val="158888704"/>
      </c:lineChart>
      <c:catAx>
        <c:axId val="1588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8888704"/>
        <c:crosses val="autoZero"/>
        <c:auto val="1"/>
        <c:lblAlgn val="ctr"/>
        <c:lblOffset val="100"/>
        <c:noMultiLvlLbl val="0"/>
      </c:catAx>
      <c:valAx>
        <c:axId val="15888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Dense Urban 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8878720"/>
        <c:crosses val="autoZero"/>
        <c:crossBetween val="between"/>
      </c:valAx>
      <c:spPr>
        <a:noFill/>
        <a:ln>
          <a:noFill/>
        </a:ln>
        <a:effectLst/>
      </c:spPr>
    </c:plotArea>
    <c:legend>
      <c:legendPos val="r"/>
      <c:layout>
        <c:manualLayout>
          <c:xMode val="edge"/>
          <c:yMode val="edge"/>
          <c:x val="0.80331886084332915"/>
          <c:y val="0.27850553614236212"/>
          <c:w val="0.18499889616601664"/>
          <c:h val="0.4883915794600412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solidFill>
            <a:ln>
              <a:noFill/>
            </a:ln>
            <a:effectLst/>
          </c:spPr>
          <c:invertIfNegative val="0"/>
          <c:dLbls>
            <c:dLbl>
              <c:idx val="0"/>
              <c:tx>
                <c:rich>
                  <a:bodyPr/>
                  <a:lstStyle/>
                  <a:p>
                    <a:r>
                      <a:rPr lang="en-US"/>
                      <a:t>1x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C6-43C2-A12F-02254275D77F}"/>
                </c:ext>
              </c:extLst>
            </c:dLbl>
            <c:dLbl>
              <c:idx val="1"/>
              <c:tx>
                <c:rich>
                  <a:bodyPr/>
                  <a:lstStyle/>
                  <a:p>
                    <a:r>
                      <a:rPr lang="en-US"/>
                      <a:t>1.5x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C6-43C2-A12F-02254275D77F}"/>
                </c:ext>
              </c:extLst>
            </c:dLbl>
            <c:dLbl>
              <c:idx val="2"/>
              <c:tx>
                <c:rich>
                  <a:bodyPr/>
                  <a:lstStyle/>
                  <a:p>
                    <a:r>
                      <a:rPr lang="en-US"/>
                      <a:t>~3x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C6-43C2-A12F-02254275D77F}"/>
                </c:ext>
              </c:extLst>
            </c:dLbl>
            <c:dLbl>
              <c:idx val="3"/>
              <c:tx>
                <c:rich>
                  <a:bodyPr/>
                  <a:lstStyle/>
                  <a:p>
                    <a:r>
                      <a:rPr lang="en-US"/>
                      <a:t>~7x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C6-43C2-A12F-02254275D77F}"/>
                </c:ext>
              </c:extLst>
            </c:dLbl>
            <c:dLbl>
              <c:idx val="4"/>
              <c:tx>
                <c:rich>
                  <a:bodyPr/>
                  <a:lstStyle/>
                  <a:p>
                    <a:r>
                      <a:rPr lang="en-US"/>
                      <a:t>4x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C6-43C2-A12F-02254275D77F}"/>
                </c:ext>
              </c:extLst>
            </c:dLbl>
            <c:dLbl>
              <c:idx val="5"/>
              <c:tx>
                <c:rich>
                  <a:bodyPr/>
                  <a:lstStyle/>
                  <a:p>
                    <a:r>
                      <a:rPr lang="en-US"/>
                      <a:t>~4x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C6-43C2-A12F-02254275D77F}"/>
                </c:ext>
              </c:extLst>
            </c:dLbl>
            <c:dLbl>
              <c:idx val="6"/>
              <c:tx>
                <c:rich>
                  <a:bodyPr/>
                  <a:lstStyle/>
                  <a:p>
                    <a:r>
                      <a:rPr lang="en-US"/>
                      <a:t>~60x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C6-43C2-A12F-02254275D77F}"/>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USA Suburban'!$G$17,'3.  USA Suburban'!$G$18,'3.  USA Suburban'!$G$22,'3.  USA Suburban'!$G$23,'3.  USA Suburban'!$G$24,'3.  USA Suburban'!$G$25,'3.  USA Suburban'!$G$26)</c:f>
              <c:strCache>
                <c:ptCount val="7"/>
                <c:pt idx="0">
                  <c:v>LTE at 700-850 MHz</c:v>
                </c:pt>
                <c:pt idx="1">
                  <c:v>LTE at 1900-2300 MHz</c:v>
                </c:pt>
                <c:pt idx="2">
                  <c:v>5G (64T) at 3.5 GHz CBRS</c:v>
                </c:pt>
                <c:pt idx="3">
                  <c:v>5G (64T) at 3.7 GHz</c:v>
                </c:pt>
                <c:pt idx="4">
                  <c:v>Small Cells, LTE</c:v>
                </c:pt>
                <c:pt idx="5">
                  <c:v>Small Cells, 5G</c:v>
                </c:pt>
                <c:pt idx="6">
                  <c:v>5G mm-wave</c:v>
                </c:pt>
              </c:strCache>
            </c:strRef>
          </c:cat>
          <c:val>
            <c:numRef>
              <c:f>('3.  USA Suburban'!$D$16,'3.  USA Suburban'!$D$20,'3.  USA Suburban'!$D$36,'3.  USA Suburban'!$D$40,'3.  USA Suburban'!$D$44,'3.  USA Suburban'!$D$48,'3.  USA Suburban'!$D$53)</c:f>
              <c:numCache>
                <c:formatCode>0</c:formatCode>
                <c:ptCount val="7"/>
                <c:pt idx="0" formatCode="General">
                  <c:v>11664</c:v>
                </c:pt>
                <c:pt idx="1">
                  <c:v>17496</c:v>
                </c:pt>
                <c:pt idx="2">
                  <c:v>33242.400000000001</c:v>
                </c:pt>
                <c:pt idx="3">
                  <c:v>83106</c:v>
                </c:pt>
                <c:pt idx="4">
                  <c:v>46656</c:v>
                </c:pt>
                <c:pt idx="5">
                  <c:v>40824</c:v>
                </c:pt>
                <c:pt idx="6" formatCode="General">
                  <c:v>121500</c:v>
                </c:pt>
              </c:numCache>
            </c:numRef>
          </c:val>
          <c:extLst>
            <c:ext xmlns:c16="http://schemas.microsoft.com/office/drawing/2014/chart" uri="{C3380CC4-5D6E-409C-BE32-E72D297353CC}">
              <c16:uniqueId val="{00000007-A1C6-43C2-A12F-02254275D77F}"/>
            </c:ext>
          </c:extLst>
        </c:ser>
        <c:dLbls>
          <c:showLegendKey val="0"/>
          <c:showVal val="0"/>
          <c:showCatName val="0"/>
          <c:showSerName val="0"/>
          <c:showPercent val="0"/>
          <c:showBubbleSize val="0"/>
        </c:dLbls>
        <c:gapWidth val="219"/>
        <c:overlap val="-27"/>
        <c:axId val="159475200"/>
        <c:axId val="159476736"/>
      </c:barChart>
      <c:catAx>
        <c:axId val="15947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59476736"/>
        <c:crosses val="autoZero"/>
        <c:auto val="1"/>
        <c:lblAlgn val="ctr"/>
        <c:lblOffset val="100"/>
        <c:noMultiLvlLbl val="0"/>
      </c:catAx>
      <c:valAx>
        <c:axId val="159476736"/>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from a BS site (relative to LTE@700/850)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General" sourceLinked="1"/>
        <c:majorTickMark val="none"/>
        <c:minorTickMark val="none"/>
        <c:tickLblPos val="nextTo"/>
        <c:crossAx val="15947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63353938234356"/>
          <c:y val="5.3633765753171192E-2"/>
          <c:w val="0.69184419996565849"/>
          <c:h val="0.82118446029755421"/>
        </c:manualLayout>
      </c:layout>
      <c:barChart>
        <c:barDir val="col"/>
        <c:grouping val="stacked"/>
        <c:varyColors val="0"/>
        <c:ser>
          <c:idx val="0"/>
          <c:order val="0"/>
          <c:tx>
            <c:strRef>
              <c:f>'3.  USA Urban'!$G$39</c:f>
              <c:strCache>
                <c:ptCount val="1"/>
                <c:pt idx="0">
                  <c:v>Capacity below 6 GHz</c:v>
                </c:pt>
              </c:strCache>
            </c:strRef>
          </c:tx>
          <c:spPr>
            <a:solidFill>
              <a:schemeClr val="bg1">
                <a:lumMod val="75000"/>
              </a:schemeClr>
            </a:solidFill>
            <a:ln>
              <a:noFill/>
            </a:ln>
            <a:effectLst/>
          </c:spPr>
          <c:invertIfNegative val="0"/>
          <c:cat>
            <c:numRef>
              <c:f>'3.  USA 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Urban'!$H$39:$P$39</c:f>
              <c:numCache>
                <c:formatCode>_(* #,##0_);_(* \(#,##0\);_(* "-"??_);_(@_)</c:formatCode>
                <c:ptCount val="9"/>
                <c:pt idx="0">
                  <c:v>600747030</c:v>
                </c:pt>
                <c:pt idx="1">
                  <c:v>726922350</c:v>
                </c:pt>
                <c:pt idx="2">
                  <c:v>996871050</c:v>
                </c:pt>
                <c:pt idx="3">
                  <c:v>1445497650</c:v>
                </c:pt>
                <c:pt idx="4">
                  <c:v>2017507500</c:v>
                </c:pt>
                <c:pt idx="5">
                  <c:v>2551755150</c:v>
                </c:pt>
                <c:pt idx="6">
                  <c:v>2853743400</c:v>
                </c:pt>
                <c:pt idx="7">
                  <c:v>3015636075</c:v>
                </c:pt>
                <c:pt idx="8">
                  <c:v>3244578525</c:v>
                </c:pt>
              </c:numCache>
            </c:numRef>
          </c:val>
          <c:extLst>
            <c:ext xmlns:c16="http://schemas.microsoft.com/office/drawing/2014/chart" uri="{C3380CC4-5D6E-409C-BE32-E72D297353CC}">
              <c16:uniqueId val="{00000000-9ACA-4440-9469-8FE544A7C797}"/>
            </c:ext>
          </c:extLst>
        </c:ser>
        <c:ser>
          <c:idx val="3"/>
          <c:order val="1"/>
          <c:tx>
            <c:strRef>
              <c:f>'3.  USA Urban'!$G$40</c:f>
              <c:strCache>
                <c:ptCount val="1"/>
                <c:pt idx="0">
                  <c:v>5G mm-wave capacity</c:v>
                </c:pt>
              </c:strCache>
            </c:strRef>
          </c:tx>
          <c:spPr>
            <a:solidFill>
              <a:schemeClr val="tx1"/>
            </a:solidFill>
            <a:ln>
              <a:noFill/>
            </a:ln>
            <a:effectLst/>
          </c:spPr>
          <c:invertIfNegative val="0"/>
          <c:cat>
            <c:numRef>
              <c:f>'3.  USA 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Urban'!$H$40:$P$40</c:f>
              <c:numCache>
                <c:formatCode>_(* #,##0_);_(* \(#,##0\);_(* "-"??_);_(@_)</c:formatCode>
                <c:ptCount val="9"/>
                <c:pt idx="0">
                  <c:v>0</c:v>
                </c:pt>
                <c:pt idx="1">
                  <c:v>72900000</c:v>
                </c:pt>
                <c:pt idx="2">
                  <c:v>145800000</c:v>
                </c:pt>
                <c:pt idx="3">
                  <c:v>218700000</c:v>
                </c:pt>
                <c:pt idx="4">
                  <c:v>364500000</c:v>
                </c:pt>
                <c:pt idx="5">
                  <c:v>583200000</c:v>
                </c:pt>
                <c:pt idx="6">
                  <c:v>1093500000</c:v>
                </c:pt>
                <c:pt idx="7">
                  <c:v>1822500000</c:v>
                </c:pt>
                <c:pt idx="8">
                  <c:v>2187000000</c:v>
                </c:pt>
              </c:numCache>
            </c:numRef>
          </c:val>
          <c:extLst>
            <c:ext xmlns:c16="http://schemas.microsoft.com/office/drawing/2014/chart" uri="{C3380CC4-5D6E-409C-BE32-E72D297353CC}">
              <c16:uniqueId val="{00000001-9ACA-4440-9469-8FE544A7C797}"/>
            </c:ext>
          </c:extLst>
        </c:ser>
        <c:dLbls>
          <c:showLegendKey val="0"/>
          <c:showVal val="0"/>
          <c:showCatName val="0"/>
          <c:showSerName val="0"/>
          <c:showPercent val="0"/>
          <c:showBubbleSize val="0"/>
        </c:dLbls>
        <c:gapWidth val="150"/>
        <c:overlap val="100"/>
        <c:axId val="184137984"/>
        <c:axId val="184147968"/>
      </c:barChart>
      <c:lineChart>
        <c:grouping val="standard"/>
        <c:varyColors val="0"/>
        <c:ser>
          <c:idx val="4"/>
          <c:order val="2"/>
          <c:tx>
            <c:strRef>
              <c:f>'3.  USA Urban'!$G$13</c:f>
              <c:strCache>
                <c:ptCount val="1"/>
                <c:pt idx="0">
                  <c:v>Demand (GB/mo)</c:v>
                </c:pt>
              </c:strCache>
            </c:strRef>
          </c:tx>
          <c:spPr>
            <a:ln w="28575" cap="rnd">
              <a:solidFill>
                <a:srgbClr val="C00000"/>
              </a:solidFill>
              <a:round/>
            </a:ln>
            <a:effectLst/>
          </c:spPr>
          <c:marker>
            <c:symbol val="none"/>
          </c:marker>
          <c:val>
            <c:numRef>
              <c:f>'3.  USA Urban'!$H$13:$P$13</c:f>
              <c:numCache>
                <c:formatCode>_(* #,##0_);_(* \(#,##0\);_(* "-"??_);_(@_)</c:formatCode>
                <c:ptCount val="9"/>
                <c:pt idx="0">
                  <c:v>395269874.99999994</c:v>
                </c:pt>
                <c:pt idx="1">
                  <c:v>564445381.49999988</c:v>
                </c:pt>
                <c:pt idx="2">
                  <c:v>805718113.19999981</c:v>
                </c:pt>
                <c:pt idx="3">
                  <c:v>1190758403.8349996</c:v>
                </c:pt>
                <c:pt idx="4">
                  <c:v>1759177038.1184995</c:v>
                </c:pt>
                <c:pt idx="5">
                  <c:v>2508456146.9467492</c:v>
                </c:pt>
                <c:pt idx="6">
                  <c:v>3447986994.7122593</c:v>
                </c:pt>
                <c:pt idx="7">
                  <c:v>4562425648.3603277</c:v>
                </c:pt>
                <c:pt idx="8">
                  <c:v>5803085254.4933987</c:v>
                </c:pt>
              </c:numCache>
            </c:numRef>
          </c:val>
          <c:smooth val="0"/>
          <c:extLst>
            <c:ext xmlns:c16="http://schemas.microsoft.com/office/drawing/2014/chart" uri="{C3380CC4-5D6E-409C-BE32-E72D297353CC}">
              <c16:uniqueId val="{00000002-9ACA-4440-9469-8FE544A7C797}"/>
            </c:ext>
          </c:extLst>
        </c:ser>
        <c:dLbls>
          <c:showLegendKey val="0"/>
          <c:showVal val="0"/>
          <c:showCatName val="0"/>
          <c:showSerName val="0"/>
          <c:showPercent val="0"/>
          <c:showBubbleSize val="0"/>
        </c:dLbls>
        <c:marker val="1"/>
        <c:smooth val="0"/>
        <c:axId val="184137984"/>
        <c:axId val="184147968"/>
      </c:lineChart>
      <c:catAx>
        <c:axId val="18413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84147968"/>
        <c:crosses val="autoZero"/>
        <c:auto val="1"/>
        <c:lblAlgn val="ctr"/>
        <c:lblOffset val="100"/>
        <c:noMultiLvlLbl val="0"/>
      </c:catAx>
      <c:valAx>
        <c:axId val="18414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84137984"/>
        <c:crosses val="autoZero"/>
        <c:crossBetween val="between"/>
      </c:valAx>
      <c:spPr>
        <a:noFill/>
        <a:ln>
          <a:noFill/>
        </a:ln>
        <a:effectLst/>
      </c:spPr>
    </c:plotArea>
    <c:legend>
      <c:legendPos val="r"/>
      <c:layout>
        <c:manualLayout>
          <c:xMode val="edge"/>
          <c:yMode val="edge"/>
          <c:x val="0.80331886084332915"/>
          <c:y val="0.22718899501279252"/>
          <c:w val="0.18499889616601664"/>
          <c:h val="0.5256396509386327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63353938234356"/>
          <c:y val="5.3633765753171192E-2"/>
          <c:w val="0.69184419996565849"/>
          <c:h val="0.82118446029755421"/>
        </c:manualLayout>
      </c:layout>
      <c:barChart>
        <c:barDir val="col"/>
        <c:grouping val="stacked"/>
        <c:varyColors val="0"/>
        <c:ser>
          <c:idx val="0"/>
          <c:order val="0"/>
          <c:tx>
            <c:strRef>
              <c:f>'3.  USA Suburban'!$G$39</c:f>
              <c:strCache>
                <c:ptCount val="1"/>
                <c:pt idx="0">
                  <c:v>Capacity below 6 GHz</c:v>
                </c:pt>
              </c:strCache>
            </c:strRef>
          </c:tx>
          <c:spPr>
            <a:solidFill>
              <a:schemeClr val="bg1">
                <a:lumMod val="75000"/>
              </a:schemeClr>
            </a:solidFill>
            <a:ln>
              <a:noFill/>
            </a:ln>
            <a:effectLst/>
          </c:spPr>
          <c:invertIfNegative val="0"/>
          <c:cat>
            <c:numRef>
              <c:f>'3.  USA Suburban'!$H$8:$P$8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Suburban'!$H$39:$P$39</c:f>
              <c:numCache>
                <c:formatCode>_(* #,##0_);_(* \(#,##0\);_(* "-"??_);_(@_)</c:formatCode>
                <c:ptCount val="9"/>
                <c:pt idx="0">
                  <c:v>461814210</c:v>
                </c:pt>
                <c:pt idx="1">
                  <c:v>566032050</c:v>
                </c:pt>
                <c:pt idx="2">
                  <c:v>879283350</c:v>
                </c:pt>
                <c:pt idx="3">
                  <c:v>1236639150</c:v>
                </c:pt>
                <c:pt idx="4">
                  <c:v>1704146850</c:v>
                </c:pt>
                <c:pt idx="5">
                  <c:v>2302145550</c:v>
                </c:pt>
                <c:pt idx="6">
                  <c:v>2670873750</c:v>
                </c:pt>
                <c:pt idx="7">
                  <c:v>2927882700</c:v>
                </c:pt>
                <c:pt idx="8">
                  <c:v>3119263425</c:v>
                </c:pt>
              </c:numCache>
            </c:numRef>
          </c:val>
          <c:extLst>
            <c:ext xmlns:c16="http://schemas.microsoft.com/office/drawing/2014/chart" uri="{C3380CC4-5D6E-409C-BE32-E72D297353CC}">
              <c16:uniqueId val="{00000000-CE5B-472B-8DEF-68B8CED32C48}"/>
            </c:ext>
          </c:extLst>
        </c:ser>
        <c:ser>
          <c:idx val="3"/>
          <c:order val="1"/>
          <c:tx>
            <c:strRef>
              <c:f>'3.  USA Suburban'!$G$40</c:f>
              <c:strCache>
                <c:ptCount val="1"/>
                <c:pt idx="0">
                  <c:v>5G mm-wave capacity</c:v>
                </c:pt>
              </c:strCache>
            </c:strRef>
          </c:tx>
          <c:spPr>
            <a:solidFill>
              <a:schemeClr val="tx1"/>
            </a:solidFill>
            <a:ln>
              <a:noFill/>
            </a:ln>
            <a:effectLst/>
          </c:spPr>
          <c:invertIfNegative val="0"/>
          <c:cat>
            <c:numRef>
              <c:f>'3.  USA Suburban'!$H$8:$P$8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Suburban'!$H$40:$P$40</c:f>
              <c:numCache>
                <c:formatCode>_(* #,##0_);_(* \(#,##0\);_(* "-"??_);_(@_)</c:formatCode>
                <c:ptCount val="9"/>
                <c:pt idx="0">
                  <c:v>0</c:v>
                </c:pt>
                <c:pt idx="1">
                  <c:v>0</c:v>
                </c:pt>
                <c:pt idx="2">
                  <c:v>0</c:v>
                </c:pt>
                <c:pt idx="3">
                  <c:v>0</c:v>
                </c:pt>
                <c:pt idx="4">
                  <c:v>0</c:v>
                </c:pt>
                <c:pt idx="5">
                  <c:v>36450000</c:v>
                </c:pt>
                <c:pt idx="6">
                  <c:v>182250000</c:v>
                </c:pt>
                <c:pt idx="7">
                  <c:v>729000000</c:v>
                </c:pt>
                <c:pt idx="8">
                  <c:v>1093500000</c:v>
                </c:pt>
              </c:numCache>
            </c:numRef>
          </c:val>
          <c:extLst>
            <c:ext xmlns:c16="http://schemas.microsoft.com/office/drawing/2014/chart" uri="{C3380CC4-5D6E-409C-BE32-E72D297353CC}">
              <c16:uniqueId val="{00000001-CE5B-472B-8DEF-68B8CED32C48}"/>
            </c:ext>
          </c:extLst>
        </c:ser>
        <c:dLbls>
          <c:showLegendKey val="0"/>
          <c:showVal val="0"/>
          <c:showCatName val="0"/>
          <c:showSerName val="0"/>
          <c:showPercent val="0"/>
          <c:showBubbleSize val="0"/>
        </c:dLbls>
        <c:gapWidth val="150"/>
        <c:overlap val="100"/>
        <c:axId val="184298880"/>
        <c:axId val="184304768"/>
      </c:barChart>
      <c:lineChart>
        <c:grouping val="standard"/>
        <c:varyColors val="0"/>
        <c:ser>
          <c:idx val="4"/>
          <c:order val="2"/>
          <c:tx>
            <c:strRef>
              <c:f>'3.  USA Suburban'!$G$13</c:f>
              <c:strCache>
                <c:ptCount val="1"/>
                <c:pt idx="0">
                  <c:v>Demand (GB/mo)</c:v>
                </c:pt>
              </c:strCache>
            </c:strRef>
          </c:tx>
          <c:spPr>
            <a:ln w="28575" cap="rnd">
              <a:solidFill>
                <a:srgbClr val="C00000"/>
              </a:solidFill>
              <a:round/>
            </a:ln>
            <a:effectLst/>
          </c:spPr>
          <c:marker>
            <c:symbol val="none"/>
          </c:marker>
          <c:val>
            <c:numRef>
              <c:f>'3.  USA Suburban'!$H$13:$P$13</c:f>
              <c:numCache>
                <c:formatCode>_(* #,##0_);_(* \(#,##0\);_(* "-"??_);_(@_)</c:formatCode>
                <c:ptCount val="9"/>
                <c:pt idx="0">
                  <c:v>401992499.99999994</c:v>
                </c:pt>
                <c:pt idx="1">
                  <c:v>553543672.50000012</c:v>
                </c:pt>
                <c:pt idx="2">
                  <c:v>761936584.50000012</c:v>
                </c:pt>
                <c:pt idx="3">
                  <c:v>1048395435.0187502</c:v>
                </c:pt>
                <c:pt idx="4">
                  <c:v>1442038249.2993755</c:v>
                </c:pt>
                <c:pt idx="5">
                  <c:v>1982802592.7866416</c:v>
                </c:pt>
                <c:pt idx="6">
                  <c:v>2624509613.724864</c:v>
                </c:pt>
                <c:pt idx="7">
                  <c:v>3339219821.0338664</c:v>
                </c:pt>
                <c:pt idx="8">
                  <c:v>4247253281.1395669</c:v>
                </c:pt>
              </c:numCache>
            </c:numRef>
          </c:val>
          <c:smooth val="0"/>
          <c:extLst>
            <c:ext xmlns:c16="http://schemas.microsoft.com/office/drawing/2014/chart" uri="{C3380CC4-5D6E-409C-BE32-E72D297353CC}">
              <c16:uniqueId val="{00000002-CE5B-472B-8DEF-68B8CED32C48}"/>
            </c:ext>
          </c:extLst>
        </c:ser>
        <c:dLbls>
          <c:showLegendKey val="0"/>
          <c:showVal val="0"/>
          <c:showCatName val="0"/>
          <c:showSerName val="0"/>
          <c:showPercent val="0"/>
          <c:showBubbleSize val="0"/>
        </c:dLbls>
        <c:marker val="1"/>
        <c:smooth val="0"/>
        <c:axId val="184298880"/>
        <c:axId val="184304768"/>
      </c:lineChart>
      <c:catAx>
        <c:axId val="1842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84304768"/>
        <c:crosses val="autoZero"/>
        <c:auto val="1"/>
        <c:lblAlgn val="ctr"/>
        <c:lblOffset val="100"/>
        <c:noMultiLvlLbl val="0"/>
      </c:catAx>
      <c:valAx>
        <c:axId val="18430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84298880"/>
        <c:crosses val="autoZero"/>
        <c:crossBetween val="between"/>
        <c:majorUnit val="1000000000"/>
      </c:valAx>
      <c:spPr>
        <a:noFill/>
        <a:ln>
          <a:noFill/>
        </a:ln>
        <a:effectLst/>
      </c:spPr>
    </c:plotArea>
    <c:legend>
      <c:legendPos val="r"/>
      <c:layout>
        <c:manualLayout>
          <c:xMode val="edge"/>
          <c:yMode val="edge"/>
          <c:x val="0.80331886084332915"/>
          <c:y val="0.23907579659904737"/>
          <c:w val="0.18499889616601664"/>
          <c:h val="0.526773579956916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67507538831105"/>
          <c:y val="5.3633765753171192E-2"/>
          <c:w val="0.68580267283019047"/>
          <c:h val="0.82118446029755421"/>
        </c:manualLayout>
      </c:layout>
      <c:barChart>
        <c:barDir val="col"/>
        <c:grouping val="stacked"/>
        <c:varyColors val="0"/>
        <c:ser>
          <c:idx val="0"/>
          <c:order val="0"/>
          <c:tx>
            <c:strRef>
              <c:f>'3.  USA Rural'!$G$40</c:f>
              <c:strCache>
                <c:ptCount val="1"/>
                <c:pt idx="0">
                  <c:v>Capacity below 6 GHz</c:v>
                </c:pt>
              </c:strCache>
            </c:strRef>
          </c:tx>
          <c:spPr>
            <a:solidFill>
              <a:schemeClr val="bg1">
                <a:lumMod val="75000"/>
              </a:schemeClr>
            </a:solidFill>
            <a:ln>
              <a:noFill/>
            </a:ln>
            <a:effectLst/>
          </c:spPr>
          <c:invertIfNegative val="0"/>
          <c:cat>
            <c:numRef>
              <c:f>'3.  USA Rural'!$H$8:$P$8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Rural'!$H$40:$P$40</c:f>
              <c:numCache>
                <c:formatCode>_(* #,##0_);_(* \(#,##0\);_(* "-"??_);_(@_)</c:formatCode>
                <c:ptCount val="9"/>
                <c:pt idx="0">
                  <c:v>378700920</c:v>
                </c:pt>
                <c:pt idx="1">
                  <c:v>453758760</c:v>
                </c:pt>
                <c:pt idx="2">
                  <c:v>547012440</c:v>
                </c:pt>
                <c:pt idx="3">
                  <c:v>724706190</c:v>
                </c:pt>
                <c:pt idx="4">
                  <c:v>973193130</c:v>
                </c:pt>
                <c:pt idx="5">
                  <c:v>1237885740</c:v>
                </c:pt>
                <c:pt idx="6">
                  <c:v>1583606700</c:v>
                </c:pt>
                <c:pt idx="7">
                  <c:v>1921366980</c:v>
                </c:pt>
                <c:pt idx="8">
                  <c:v>2259127260</c:v>
                </c:pt>
              </c:numCache>
            </c:numRef>
          </c:val>
          <c:extLst>
            <c:ext xmlns:c16="http://schemas.microsoft.com/office/drawing/2014/chart" uri="{C3380CC4-5D6E-409C-BE32-E72D297353CC}">
              <c16:uniqueId val="{00000000-47F9-4DA5-A667-5C1CACED01D5}"/>
            </c:ext>
          </c:extLst>
        </c:ser>
        <c:ser>
          <c:idx val="3"/>
          <c:order val="1"/>
          <c:tx>
            <c:strRef>
              <c:f>'3.  USA Rural'!$G$41</c:f>
              <c:strCache>
                <c:ptCount val="1"/>
                <c:pt idx="0">
                  <c:v>5G mm-wave capacity</c:v>
                </c:pt>
              </c:strCache>
            </c:strRef>
          </c:tx>
          <c:spPr>
            <a:solidFill>
              <a:schemeClr val="tx1"/>
            </a:solidFill>
            <a:ln>
              <a:noFill/>
            </a:ln>
            <a:effectLst/>
          </c:spPr>
          <c:invertIfNegative val="0"/>
          <c:cat>
            <c:numRef>
              <c:f>'3.  USA Rural'!$H$8:$P$8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Rural'!$H$41:$P$41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47F9-4DA5-A667-5C1CACED01D5}"/>
            </c:ext>
          </c:extLst>
        </c:ser>
        <c:dLbls>
          <c:showLegendKey val="0"/>
          <c:showVal val="0"/>
          <c:showCatName val="0"/>
          <c:showSerName val="0"/>
          <c:showPercent val="0"/>
          <c:showBubbleSize val="0"/>
        </c:dLbls>
        <c:gapWidth val="150"/>
        <c:overlap val="100"/>
        <c:axId val="132768896"/>
        <c:axId val="132770432"/>
      </c:barChart>
      <c:lineChart>
        <c:grouping val="standard"/>
        <c:varyColors val="0"/>
        <c:ser>
          <c:idx val="4"/>
          <c:order val="2"/>
          <c:tx>
            <c:strRef>
              <c:f>'3.  USA Rural'!$G$13</c:f>
              <c:strCache>
                <c:ptCount val="1"/>
                <c:pt idx="0">
                  <c:v>Demand (GB/mo)</c:v>
                </c:pt>
              </c:strCache>
            </c:strRef>
          </c:tx>
          <c:spPr>
            <a:ln w="28575" cap="rnd">
              <a:solidFill>
                <a:srgbClr val="C00000"/>
              </a:solidFill>
              <a:round/>
            </a:ln>
            <a:effectLst/>
          </c:spPr>
          <c:marker>
            <c:symbol val="none"/>
          </c:marker>
          <c:val>
            <c:numRef>
              <c:f>'3.  USA Rural'!$H$13:$P$13</c:f>
              <c:numCache>
                <c:formatCode>_(* #,##0_);_(* \(#,##0\);_(* "-"??_);_(@_)</c:formatCode>
                <c:ptCount val="9"/>
                <c:pt idx="0">
                  <c:v>200070000</c:v>
                </c:pt>
                <c:pt idx="1">
                  <c:v>275496390</c:v>
                </c:pt>
                <c:pt idx="2">
                  <c:v>379212678</c:v>
                </c:pt>
                <c:pt idx="3">
                  <c:v>521782059.82500011</c:v>
                </c:pt>
                <c:pt idx="4">
                  <c:v>717696455.87250018</c:v>
                </c:pt>
                <c:pt idx="5">
                  <c:v>950283270.27562523</c:v>
                </c:pt>
                <c:pt idx="6">
                  <c:v>1257829492.2921007</c:v>
                </c:pt>
                <c:pt idx="7">
                  <c:v>1600363416.5323598</c:v>
                </c:pt>
                <c:pt idx="8">
                  <c:v>2035549959.6244931</c:v>
                </c:pt>
              </c:numCache>
            </c:numRef>
          </c:val>
          <c:smooth val="0"/>
          <c:extLst>
            <c:ext xmlns:c16="http://schemas.microsoft.com/office/drawing/2014/chart" uri="{C3380CC4-5D6E-409C-BE32-E72D297353CC}">
              <c16:uniqueId val="{00000002-47F9-4DA5-A667-5C1CACED01D5}"/>
            </c:ext>
          </c:extLst>
        </c:ser>
        <c:dLbls>
          <c:showLegendKey val="0"/>
          <c:showVal val="0"/>
          <c:showCatName val="0"/>
          <c:showSerName val="0"/>
          <c:showPercent val="0"/>
          <c:showBubbleSize val="0"/>
        </c:dLbls>
        <c:marker val="1"/>
        <c:smooth val="0"/>
        <c:axId val="132768896"/>
        <c:axId val="132770432"/>
      </c:lineChart>
      <c:catAx>
        <c:axId val="1327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32770432"/>
        <c:crosses val="autoZero"/>
        <c:auto val="1"/>
        <c:lblAlgn val="ctr"/>
        <c:lblOffset val="100"/>
        <c:noMultiLvlLbl val="0"/>
      </c:catAx>
      <c:valAx>
        <c:axId val="13277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32768896"/>
        <c:crosses val="autoZero"/>
        <c:crossBetween val="between"/>
      </c:valAx>
      <c:spPr>
        <a:noFill/>
        <a:ln>
          <a:noFill/>
        </a:ln>
        <a:effectLst/>
      </c:spPr>
    </c:plotArea>
    <c:legend>
      <c:legendPos val="r"/>
      <c:layout>
        <c:manualLayout>
          <c:xMode val="edge"/>
          <c:yMode val="edge"/>
          <c:x val="0.80331886084332915"/>
          <c:y val="0.27783156821025284"/>
          <c:w val="0.18499889616601664"/>
          <c:h val="0.4960580246028141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63353938234356"/>
          <c:y val="5.3633765753171192E-2"/>
          <c:w val="0.69184419996565849"/>
          <c:h val="0.82118446029755421"/>
        </c:manualLayout>
      </c:layout>
      <c:barChart>
        <c:barDir val="col"/>
        <c:grouping val="stacked"/>
        <c:varyColors val="0"/>
        <c:ser>
          <c:idx val="0"/>
          <c:order val="0"/>
          <c:tx>
            <c:strRef>
              <c:f>'4.  New TMo OVERALL'!$B$26</c:f>
              <c:strCache>
                <c:ptCount val="1"/>
                <c:pt idx="0">
                  <c:v>Capacity below 6 GHz</c:v>
                </c:pt>
              </c:strCache>
            </c:strRef>
          </c:tx>
          <c:spPr>
            <a:solidFill>
              <a:schemeClr val="bg1">
                <a:lumMod val="75000"/>
              </a:schemeClr>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OVERALL'!$C$26:$K$26</c:f>
              <c:numCache>
                <c:formatCode>_(* #,##0_);_(* \(#,##0\);_(* "-"??_);_(@_)</c:formatCode>
                <c:ptCount val="9"/>
                <c:pt idx="0">
                  <c:v>3489161670</c:v>
                </c:pt>
                <c:pt idx="1">
                  <c:v>4133852820</c:v>
                </c:pt>
                <c:pt idx="2">
                  <c:v>5206168080</c:v>
                </c:pt>
                <c:pt idx="3">
                  <c:v>6744671550</c:v>
                </c:pt>
                <c:pt idx="4">
                  <c:v>8976687300</c:v>
                </c:pt>
                <c:pt idx="5">
                  <c:v>11648085930</c:v>
                </c:pt>
                <c:pt idx="6">
                  <c:v>14323406580</c:v>
                </c:pt>
                <c:pt idx="7">
                  <c:v>16647458580</c:v>
                </c:pt>
                <c:pt idx="8">
                  <c:v>18336824955</c:v>
                </c:pt>
              </c:numCache>
            </c:numRef>
          </c:val>
          <c:extLst>
            <c:ext xmlns:c16="http://schemas.microsoft.com/office/drawing/2014/chart" uri="{C3380CC4-5D6E-409C-BE32-E72D297353CC}">
              <c16:uniqueId val="{00000000-5F5C-4246-A41F-F25C0E7A6B93}"/>
            </c:ext>
          </c:extLst>
        </c:ser>
        <c:ser>
          <c:idx val="3"/>
          <c:order val="1"/>
          <c:tx>
            <c:strRef>
              <c:f>'4.  New TMo OVERALL'!$B$27</c:f>
              <c:strCache>
                <c:ptCount val="1"/>
                <c:pt idx="0">
                  <c:v>5G mm-wave</c:v>
                </c:pt>
              </c:strCache>
            </c:strRef>
          </c:tx>
          <c:spPr>
            <a:solidFill>
              <a:schemeClr val="tx1"/>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OVERALL'!$C$27:$K$27</c:f>
              <c:numCache>
                <c:formatCode>_(* #,##0_);_(* \(#,##0\);_(* "-"??_);_(@_)</c:formatCode>
                <c:ptCount val="9"/>
                <c:pt idx="0">
                  <c:v>123018750</c:v>
                </c:pt>
                <c:pt idx="1">
                  <c:v>123018750</c:v>
                </c:pt>
                <c:pt idx="2">
                  <c:v>123018750</c:v>
                </c:pt>
                <c:pt idx="3">
                  <c:v>123018750</c:v>
                </c:pt>
                <c:pt idx="4">
                  <c:v>172226250</c:v>
                </c:pt>
                <c:pt idx="5">
                  <c:v>258339375</c:v>
                </c:pt>
                <c:pt idx="6">
                  <c:v>295245000</c:v>
                </c:pt>
                <c:pt idx="7">
                  <c:v>344452500</c:v>
                </c:pt>
                <c:pt idx="8">
                  <c:v>393660000</c:v>
                </c:pt>
              </c:numCache>
            </c:numRef>
          </c:val>
          <c:extLst>
            <c:ext xmlns:c16="http://schemas.microsoft.com/office/drawing/2014/chart" uri="{C3380CC4-5D6E-409C-BE32-E72D297353CC}">
              <c16:uniqueId val="{00000001-5F5C-4246-A41F-F25C0E7A6B93}"/>
            </c:ext>
          </c:extLst>
        </c:ser>
        <c:dLbls>
          <c:showLegendKey val="0"/>
          <c:showVal val="0"/>
          <c:showCatName val="0"/>
          <c:showSerName val="0"/>
          <c:showPercent val="0"/>
          <c:showBubbleSize val="0"/>
        </c:dLbls>
        <c:gapWidth val="150"/>
        <c:overlap val="100"/>
        <c:axId val="208532608"/>
        <c:axId val="208534144"/>
      </c:barChart>
      <c:lineChart>
        <c:grouping val="standard"/>
        <c:varyColors val="0"/>
        <c:ser>
          <c:idx val="4"/>
          <c:order val="2"/>
          <c:tx>
            <c:strRef>
              <c:f>'4.  New TMo OVERALL'!$B$11</c:f>
              <c:strCache>
                <c:ptCount val="1"/>
                <c:pt idx="0">
                  <c:v>Demand (GB/mo)</c:v>
                </c:pt>
              </c:strCache>
            </c:strRef>
          </c:tx>
          <c:spPr>
            <a:ln w="28575" cap="rnd">
              <a:solidFill>
                <a:srgbClr val="C00000"/>
              </a:solidFill>
              <a:round/>
            </a:ln>
            <a:effectLst/>
          </c:spPr>
          <c:marker>
            <c:symbol val="none"/>
          </c:marker>
          <c:val>
            <c:numRef>
              <c:f>'4.  New TMo OVERALL'!$C$11:$K$11</c:f>
              <c:numCache>
                <c:formatCode>_(* #,##0_);_(* \(#,##0\);_(* "-"??_);_(@_)</c:formatCode>
                <c:ptCount val="9"/>
                <c:pt idx="0">
                  <c:v>1516910850</c:v>
                </c:pt>
                <c:pt idx="1">
                  <c:v>2071225359.4500003</c:v>
                </c:pt>
                <c:pt idx="2">
                  <c:v>2836285784.2800002</c:v>
                </c:pt>
                <c:pt idx="3">
                  <c:v>4010198946.9749994</c:v>
                </c:pt>
                <c:pt idx="4">
                  <c:v>5663998704.0545998</c:v>
                </c:pt>
                <c:pt idx="5">
                  <c:v>7687445904.9028273</c:v>
                </c:pt>
                <c:pt idx="6">
                  <c:v>10058359432.481863</c:v>
                </c:pt>
                <c:pt idx="7">
                  <c:v>12635477705.883942</c:v>
                </c:pt>
                <c:pt idx="8">
                  <c:v>15413268438.586514</c:v>
                </c:pt>
              </c:numCache>
            </c:numRef>
          </c:val>
          <c:smooth val="0"/>
          <c:extLst>
            <c:ext xmlns:c16="http://schemas.microsoft.com/office/drawing/2014/chart" uri="{C3380CC4-5D6E-409C-BE32-E72D297353CC}">
              <c16:uniqueId val="{00000002-5F5C-4246-A41F-F25C0E7A6B93}"/>
            </c:ext>
          </c:extLst>
        </c:ser>
        <c:dLbls>
          <c:showLegendKey val="0"/>
          <c:showVal val="0"/>
          <c:showCatName val="0"/>
          <c:showSerName val="0"/>
          <c:showPercent val="0"/>
          <c:showBubbleSize val="0"/>
        </c:dLbls>
        <c:marker val="1"/>
        <c:smooth val="0"/>
        <c:axId val="208532608"/>
        <c:axId val="208534144"/>
      </c:lineChart>
      <c:catAx>
        <c:axId val="20853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08534144"/>
        <c:crosses val="autoZero"/>
        <c:auto val="1"/>
        <c:lblAlgn val="ctr"/>
        <c:lblOffset val="100"/>
        <c:noMultiLvlLbl val="0"/>
      </c:catAx>
      <c:valAx>
        <c:axId val="20853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08532608"/>
        <c:crosses val="autoZero"/>
        <c:crossBetween val="between"/>
      </c:valAx>
      <c:spPr>
        <a:noFill/>
        <a:ln>
          <a:noFill/>
        </a:ln>
        <a:effectLst/>
      </c:spPr>
    </c:plotArea>
    <c:legend>
      <c:legendPos val="r"/>
      <c:layout>
        <c:manualLayout>
          <c:xMode val="edge"/>
          <c:yMode val="edge"/>
          <c:x val="0.80331886084332915"/>
          <c:y val="0.26144418568339894"/>
          <c:w val="0.18499889616601664"/>
          <c:h val="0.5760027581582334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90219936439748"/>
          <c:y val="5.2335623652139021E-2"/>
          <c:w val="0.6467164637309718"/>
          <c:h val="0.89532875269572199"/>
        </c:manualLayout>
      </c:layout>
      <c:barChart>
        <c:barDir val="col"/>
        <c:grouping val="stacked"/>
        <c:varyColors val="0"/>
        <c:ser>
          <c:idx val="0"/>
          <c:order val="0"/>
          <c:tx>
            <c:strRef>
              <c:f>'4.  New TMo OVERALL'!$B$72</c:f>
              <c:strCache>
                <c:ptCount val="1"/>
                <c:pt idx="0">
                  <c:v>Dense Urban</c:v>
                </c:pt>
              </c:strCache>
            </c:strRef>
          </c:tx>
          <c:spPr>
            <a:solidFill>
              <a:schemeClr val="accent5">
                <a:lumMod val="50000"/>
              </a:schemeClr>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OVERALL'!$C$72:$K$72</c:f>
              <c:numCache>
                <c:formatCode>"$"#,##0,," M"</c:formatCode>
                <c:ptCount val="9"/>
                <c:pt idx="0">
                  <c:v>5711205863.2218847</c:v>
                </c:pt>
                <c:pt idx="1">
                  <c:v>-2456426075.7999992</c:v>
                </c:pt>
                <c:pt idx="2">
                  <c:v>6747260513.7840004</c:v>
                </c:pt>
                <c:pt idx="3">
                  <c:v>7254541015.247261</c:v>
                </c:pt>
                <c:pt idx="4">
                  <c:v>7105894955.3884087</c:v>
                </c:pt>
                <c:pt idx="5">
                  <c:v>7372844152.0708542</c:v>
                </c:pt>
                <c:pt idx="6">
                  <c:v>7350308725.1114101</c:v>
                </c:pt>
                <c:pt idx="7">
                  <c:v>7386627507.2975655</c:v>
                </c:pt>
                <c:pt idx="8">
                  <c:v>7808670255.5349388</c:v>
                </c:pt>
              </c:numCache>
            </c:numRef>
          </c:val>
          <c:extLst>
            <c:ext xmlns:c16="http://schemas.microsoft.com/office/drawing/2014/chart" uri="{C3380CC4-5D6E-409C-BE32-E72D297353CC}">
              <c16:uniqueId val="{00000000-379C-48B9-B08D-08ACCBADD290}"/>
            </c:ext>
          </c:extLst>
        </c:ser>
        <c:ser>
          <c:idx val="1"/>
          <c:order val="1"/>
          <c:tx>
            <c:strRef>
              <c:f>'4.  New TMo OVERALL'!$B$73</c:f>
              <c:strCache>
                <c:ptCount val="1"/>
                <c:pt idx="0">
                  <c:v>Urban</c:v>
                </c:pt>
              </c:strCache>
            </c:strRef>
          </c:tx>
          <c:spPr>
            <a:solidFill>
              <a:schemeClr val="accent5"/>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OVERALL'!$C$73:$K$73</c:f>
              <c:numCache>
                <c:formatCode>"$"#,##0,," M"</c:formatCode>
                <c:ptCount val="9"/>
                <c:pt idx="0">
                  <c:v>6859286534.2705164</c:v>
                </c:pt>
                <c:pt idx="1">
                  <c:v>1304686714.7250004</c:v>
                </c:pt>
                <c:pt idx="2">
                  <c:v>8216592653.007</c:v>
                </c:pt>
                <c:pt idx="3">
                  <c:v>8070515342.1531677</c:v>
                </c:pt>
                <c:pt idx="4">
                  <c:v>7982707574.8119602</c:v>
                </c:pt>
                <c:pt idx="5">
                  <c:v>7899450996.0797119</c:v>
                </c:pt>
                <c:pt idx="6">
                  <c:v>7999028715.7503357</c:v>
                </c:pt>
                <c:pt idx="7">
                  <c:v>8145403120.7097626</c:v>
                </c:pt>
                <c:pt idx="8">
                  <c:v>8621738987.4768047</c:v>
                </c:pt>
              </c:numCache>
            </c:numRef>
          </c:val>
          <c:extLst>
            <c:ext xmlns:c16="http://schemas.microsoft.com/office/drawing/2014/chart" uri="{C3380CC4-5D6E-409C-BE32-E72D297353CC}">
              <c16:uniqueId val="{00000001-379C-48B9-B08D-08ACCBADD290}"/>
            </c:ext>
          </c:extLst>
        </c:ser>
        <c:ser>
          <c:idx val="2"/>
          <c:order val="2"/>
          <c:tx>
            <c:strRef>
              <c:f>'4.  New TMo OVERALL'!$B$74</c:f>
              <c:strCache>
                <c:ptCount val="1"/>
                <c:pt idx="0">
                  <c:v>Suburban</c:v>
                </c:pt>
              </c:strCache>
            </c:strRef>
          </c:tx>
          <c:spPr>
            <a:solidFill>
              <a:schemeClr val="accent1"/>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OVERALL'!$C$74:$K$74</c:f>
              <c:numCache>
                <c:formatCode>"$"#,##0,," M"</c:formatCode>
                <c:ptCount val="9"/>
                <c:pt idx="0">
                  <c:v>9645871018.3130703</c:v>
                </c:pt>
                <c:pt idx="1">
                  <c:v>6047134547.125</c:v>
                </c:pt>
                <c:pt idx="2">
                  <c:v>9363275438.2550011</c:v>
                </c:pt>
                <c:pt idx="3">
                  <c:v>10173017286.322887</c:v>
                </c:pt>
                <c:pt idx="4">
                  <c:v>10229938820.378311</c:v>
                </c:pt>
                <c:pt idx="5">
                  <c:v>10452363973.926205</c:v>
                </c:pt>
                <c:pt idx="6">
                  <c:v>10612983998.423023</c:v>
                </c:pt>
                <c:pt idx="7">
                  <c:v>10999351776.932377</c:v>
                </c:pt>
                <c:pt idx="8">
                  <c:v>11265905187.942085</c:v>
                </c:pt>
              </c:numCache>
            </c:numRef>
          </c:val>
          <c:extLst>
            <c:ext xmlns:c16="http://schemas.microsoft.com/office/drawing/2014/chart" uri="{C3380CC4-5D6E-409C-BE32-E72D297353CC}">
              <c16:uniqueId val="{00000002-379C-48B9-B08D-08ACCBADD290}"/>
            </c:ext>
          </c:extLst>
        </c:ser>
        <c:ser>
          <c:idx val="3"/>
          <c:order val="3"/>
          <c:tx>
            <c:strRef>
              <c:f>'4.  New TMo OVERALL'!$B$75</c:f>
              <c:strCache>
                <c:ptCount val="1"/>
                <c:pt idx="0">
                  <c:v>Rural</c:v>
                </c:pt>
              </c:strCache>
            </c:strRef>
          </c:tx>
          <c:spPr>
            <a:solidFill>
              <a:schemeClr val="accent1">
                <a:lumMod val="60000"/>
                <a:lumOff val="40000"/>
              </a:schemeClr>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OVERALL'!$C$75:$K$75</c:f>
              <c:numCache>
                <c:formatCode>"$"#,##0,," M"</c:formatCode>
                <c:ptCount val="9"/>
                <c:pt idx="0">
                  <c:v>537191070.8206687</c:v>
                </c:pt>
                <c:pt idx="1">
                  <c:v>-43821418.949999809</c:v>
                </c:pt>
                <c:pt idx="2">
                  <c:v>1194432483.618</c:v>
                </c:pt>
                <c:pt idx="3">
                  <c:v>1637121400.6524754</c:v>
                </c:pt>
                <c:pt idx="4">
                  <c:v>1814483160.0364308</c:v>
                </c:pt>
                <c:pt idx="5">
                  <c:v>2230072779.3033228</c:v>
                </c:pt>
                <c:pt idx="6">
                  <c:v>2822276473.3486271</c:v>
                </c:pt>
                <c:pt idx="7">
                  <c:v>3380053665.1782732</c:v>
                </c:pt>
                <c:pt idx="8">
                  <c:v>4046388799.7357597</c:v>
                </c:pt>
              </c:numCache>
            </c:numRef>
          </c:val>
          <c:extLst>
            <c:ext xmlns:c16="http://schemas.microsoft.com/office/drawing/2014/chart" uri="{C3380CC4-5D6E-409C-BE32-E72D297353CC}">
              <c16:uniqueId val="{00000003-379C-48B9-B08D-08ACCBADD290}"/>
            </c:ext>
          </c:extLst>
        </c:ser>
        <c:dLbls>
          <c:showLegendKey val="0"/>
          <c:showVal val="0"/>
          <c:showCatName val="0"/>
          <c:showSerName val="0"/>
          <c:showPercent val="0"/>
          <c:showBubbleSize val="0"/>
        </c:dLbls>
        <c:gapWidth val="150"/>
        <c:overlap val="100"/>
        <c:axId val="208501760"/>
        <c:axId val="208278272"/>
      </c:barChart>
      <c:catAx>
        <c:axId val="2085017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08278272"/>
        <c:crosses val="autoZero"/>
        <c:auto val="1"/>
        <c:lblAlgn val="ctr"/>
        <c:lblOffset val="100"/>
        <c:noMultiLvlLbl val="0"/>
      </c:catAx>
      <c:valAx>
        <c:axId val="20827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Net Cash Flow</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08501760"/>
        <c:crosses val="autoZero"/>
        <c:crossBetween val="between"/>
      </c:valAx>
      <c:spPr>
        <a:noFill/>
        <a:ln>
          <a:noFill/>
        </a:ln>
        <a:effectLst/>
      </c:spPr>
    </c:plotArea>
    <c:legend>
      <c:legendPos val="r"/>
      <c:layout>
        <c:manualLayout>
          <c:xMode val="edge"/>
          <c:yMode val="edge"/>
          <c:x val="0.7834111167328619"/>
          <c:y val="0.32587224367654682"/>
          <c:w val="0.19224725790656194"/>
          <c:h val="0.323314810250666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9826760114712"/>
          <c:y val="5.9632684971965978E-2"/>
          <c:w val="0.82221013477609772"/>
          <c:h val="0.72945850675209212"/>
        </c:manualLayout>
      </c:layout>
      <c:lineChart>
        <c:grouping val="standard"/>
        <c:varyColors val="0"/>
        <c:ser>
          <c:idx val="0"/>
          <c:order val="0"/>
          <c:tx>
            <c:strRef>
              <c:f>'1. FWA mmwave'!$C$156</c:f>
              <c:strCache>
                <c:ptCount val="1"/>
                <c:pt idx="0">
                  <c:v>0.4 km cell radius</c:v>
                </c:pt>
              </c:strCache>
            </c:strRef>
          </c:tx>
          <c:spPr>
            <a:ln w="28575" cap="rnd">
              <a:solidFill>
                <a:schemeClr val="accent1"/>
              </a:solidFill>
              <a:prstDash val="sysDash"/>
              <a:round/>
            </a:ln>
            <a:effectLst/>
          </c:spPr>
          <c:marker>
            <c:symbol val="none"/>
          </c:marker>
          <c:dLbls>
            <c:dLbl>
              <c:idx val="0"/>
              <c:layout>
                <c:manualLayout>
                  <c:x val="-2.5462668816039986E-17"/>
                  <c:y val="-2.6548663316610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D3E-4545-A25A-E5BA2ACC54FF}"/>
                </c:ext>
              </c:extLst>
            </c:dLbl>
            <c:dLbl>
              <c:idx val="1"/>
              <c:layout>
                <c:manualLayout>
                  <c:x val="-5.0925337632079971E-17"/>
                  <c:y val="-1.76991088777406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D3E-4545-A25A-E5BA2ACC54FF}"/>
                </c:ext>
              </c:extLst>
            </c:dLbl>
            <c:dLbl>
              <c:idx val="2"/>
              <c:layout>
                <c:manualLayout>
                  <c:x val="-2.3762377719646227E-3"/>
                  <c:y val="-1.71453303808329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3E-4545-A25A-E5BA2ACC54FF}"/>
                </c:ext>
              </c:extLst>
            </c:dLbl>
            <c:dLbl>
              <c:idx val="3"/>
              <c:layout>
                <c:manualLayout>
                  <c:x val="-8.333297471477194E-3"/>
                  <c:y val="-1.216671975274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49-4E54-8FFB-EFBEE61B23E4}"/>
                </c:ext>
              </c:extLst>
            </c:dLbl>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'1. FWA mmwave'!$B$157:$B$162</c15:sqref>
                  </c15:fullRef>
                </c:ext>
              </c:extLst>
              <c:f>'1. FWA mmwave'!$B$158:$B$162</c:f>
              <c:strCache>
                <c:ptCount val="5"/>
                <c:pt idx="0">
                  <c:v>1000 homes/km2 (Orange County, CA)</c:v>
                </c:pt>
                <c:pt idx="1">
                  <c:v>1500 homes/km2  (Arlington, VA)</c:v>
                </c:pt>
                <c:pt idx="2">
                  <c:v>2000 homes/km2  (Chicago, IL)</c:v>
                </c:pt>
                <c:pt idx="3">
                  <c:v>2500 homes/km2  (Cambridge, MA)</c:v>
                </c:pt>
                <c:pt idx="4">
                  <c:v>5000 homes/km2  (Brooklyn, NY)</c:v>
                </c:pt>
              </c:strCache>
            </c:strRef>
          </c:cat>
          <c:val>
            <c:numRef>
              <c:extLst>
                <c:ext xmlns:c15="http://schemas.microsoft.com/office/drawing/2012/chart" uri="{02D57815-91ED-43cb-92C2-25804820EDAC}">
                  <c15:fullRef>
                    <c15:sqref>'1. FWA mmwave'!$C$157:$C$162</c15:sqref>
                  </c15:fullRef>
                </c:ext>
              </c:extLst>
              <c:f>'1. FWA mmwave'!$C$158:$C$162</c:f>
              <c:numCache>
                <c:formatCode>0%</c:formatCode>
                <c:ptCount val="5"/>
                <c:pt idx="0">
                  <c:v>0.12</c:v>
                </c:pt>
                <c:pt idx="1">
                  <c:v>0.08</c:v>
                </c:pt>
                <c:pt idx="2">
                  <c:v>0.06</c:v>
                </c:pt>
                <c:pt idx="3">
                  <c:v>0.05</c:v>
                </c:pt>
                <c:pt idx="4">
                  <c:v>0.03</c:v>
                </c:pt>
              </c:numCache>
            </c:numRef>
          </c:val>
          <c:smooth val="0"/>
          <c:extLst>
            <c:ext xmlns:c15="http://schemas.microsoft.com/office/drawing/2012/chart" uri="{02D57815-91ED-43cb-92C2-25804820EDAC}">
              <c15:categoryFilterExceptions>
                <c15:categoryFilterException>
                  <c15:sqref>'1. FWA mmwave'!$C$157</c15:sqref>
                  <c15:dLbl>
                    <c:idx val="-1"/>
                    <c:layout>
                      <c:manualLayout>
                        <c:x val="-5.9405944299115575E-2"/>
                        <c:y val="-1.1612897326442882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0-66DA-4E79-B39D-E21F62FE88B8}"/>
                      </c:ext>
                    </c:extLst>
                  </c15:dLbl>
                </c15:categoryFilterException>
              </c15:categoryFilterExceptions>
            </c:ext>
            <c:ext xmlns:c16="http://schemas.microsoft.com/office/drawing/2014/chart" uri="{C3380CC4-5D6E-409C-BE32-E72D297353CC}">
              <c16:uniqueId val="{00000000-B7A1-4018-A4B2-7FDA6629D599}"/>
            </c:ext>
          </c:extLst>
        </c:ser>
        <c:ser>
          <c:idx val="1"/>
          <c:order val="1"/>
          <c:tx>
            <c:strRef>
              <c:f>'1. FWA mmwave'!$D$156</c:f>
              <c:strCache>
                <c:ptCount val="1"/>
                <c:pt idx="0">
                  <c:v>0.3 km cell radius</c:v>
                </c:pt>
              </c:strCache>
            </c:strRef>
          </c:tx>
          <c:spPr>
            <a:ln w="28575" cap="rnd">
              <a:solidFill>
                <a:schemeClr val="accent5"/>
              </a:solidFill>
              <a:round/>
            </a:ln>
            <a:effectLst/>
          </c:spPr>
          <c:marker>
            <c:symbol val="none"/>
          </c:marker>
          <c:dLbls>
            <c:dLbl>
              <c:idx val="0"/>
              <c:layout>
                <c:manualLayout>
                  <c:x val="-2.5462668816039986E-17"/>
                  <c:y val="-1.76991088777406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3E-4545-A25A-E5BA2ACC54FF}"/>
                </c:ext>
              </c:extLst>
            </c:dLbl>
            <c:dLbl>
              <c:idx val="1"/>
              <c:layout>
                <c:manualLayout>
                  <c:x val="-5.0925337632079971E-17"/>
                  <c:y val="-2.21238860971758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3E-4545-A25A-E5BA2ACC54FF}"/>
                </c:ext>
              </c:extLst>
            </c:dLbl>
            <c:dLbl>
              <c:idx val="2"/>
              <c:layout>
                <c:manualLayout>
                  <c:x val="0"/>
                  <c:y val="-2.6548663316611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3E-4545-A25A-E5BA2ACC54FF}"/>
                </c:ext>
              </c:extLst>
            </c:dLbl>
            <c:dLbl>
              <c:idx val="3"/>
              <c:layout>
                <c:manualLayout>
                  <c:x val="-7.1287133158938684E-3"/>
                  <c:y val="-2.10162961563138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49-4E54-8FFB-EFBEE61B23E4}"/>
                </c:ext>
              </c:extLst>
            </c:dLbl>
            <c:dLbl>
              <c:idx val="4"/>
              <c:layout>
                <c:manualLayout>
                  <c:x val="0"/>
                  <c:y val="-1.5483863101923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DE-4DA3-B540-C73B8DF55AD5}"/>
                </c:ext>
              </c:extLst>
            </c:dLbl>
            <c:spPr>
              <a:noFill/>
              <a:ln>
                <a:noFill/>
              </a:ln>
              <a:effectLst/>
            </c:spPr>
            <c:txPr>
              <a:bodyPr rot="0" spcFirstLastPara="1" vertOverflow="ellipsis" vert="horz" wrap="square" anchor="ctr" anchorCtr="1"/>
              <a:lstStyle/>
              <a:p>
                <a:pPr>
                  <a:defRPr sz="1000" b="0" i="0" u="none" strike="noStrike" kern="1200" baseline="0">
                    <a:solidFill>
                      <a:schemeClr val="accent5"/>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'1. FWA mmwave'!$B$157:$B$162</c15:sqref>
                  </c15:fullRef>
                </c:ext>
              </c:extLst>
              <c:f>'1. FWA mmwave'!$B$158:$B$162</c:f>
              <c:strCache>
                <c:ptCount val="5"/>
                <c:pt idx="0">
                  <c:v>1000 homes/km2 (Orange County, CA)</c:v>
                </c:pt>
                <c:pt idx="1">
                  <c:v>1500 homes/km2  (Arlington, VA)</c:v>
                </c:pt>
                <c:pt idx="2">
                  <c:v>2000 homes/km2  (Chicago, IL)</c:v>
                </c:pt>
                <c:pt idx="3">
                  <c:v>2500 homes/km2  (Cambridge, MA)</c:v>
                </c:pt>
                <c:pt idx="4">
                  <c:v>5000 homes/km2  (Brooklyn, NY)</c:v>
                </c:pt>
              </c:strCache>
            </c:strRef>
          </c:cat>
          <c:val>
            <c:numRef>
              <c:extLst>
                <c:ext xmlns:c15="http://schemas.microsoft.com/office/drawing/2012/chart" uri="{02D57815-91ED-43cb-92C2-25804820EDAC}">
                  <c15:fullRef>
                    <c15:sqref>'1. FWA mmwave'!$D$157:$D$162</c15:sqref>
                  </c15:fullRef>
                </c:ext>
              </c:extLst>
              <c:f>'1. FWA mmwave'!$D$158:$D$162</c:f>
              <c:numCache>
                <c:formatCode>0%</c:formatCode>
                <c:ptCount val="5"/>
                <c:pt idx="0">
                  <c:v>0.21</c:v>
                </c:pt>
                <c:pt idx="1">
                  <c:v>0.15</c:v>
                </c:pt>
                <c:pt idx="2">
                  <c:v>0.11</c:v>
                </c:pt>
                <c:pt idx="3">
                  <c:v>0.09</c:v>
                </c:pt>
                <c:pt idx="4">
                  <c:v>0.05</c:v>
                </c:pt>
              </c:numCache>
            </c:numRef>
          </c:val>
          <c:smooth val="0"/>
          <c:extLst>
            <c:ext xmlns:c15="http://schemas.microsoft.com/office/drawing/2012/chart" uri="{02D57815-91ED-43cb-92C2-25804820EDAC}">
              <c15:categoryFilterExceptions>
                <c15:categoryFilterException>
                  <c15:sqref>'1. FWA mmwave'!$D$157</c15:sqref>
                  <c15:dLbl>
                    <c:idx val="-1"/>
                    <c:layout>
                      <c:manualLayout>
                        <c:x val="-5.9405944299115575E-2"/>
                        <c:y val="0"/>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1-66DA-4E79-B39D-E21F62FE88B8}"/>
                      </c:ext>
                    </c:extLst>
                  </c15:dLbl>
                </c15:categoryFilterException>
              </c15:categoryFilterExceptions>
            </c:ext>
            <c:ext xmlns:c16="http://schemas.microsoft.com/office/drawing/2014/chart" uri="{C3380CC4-5D6E-409C-BE32-E72D297353CC}">
              <c16:uniqueId val="{00000001-B7A1-4018-A4B2-7FDA6629D599}"/>
            </c:ext>
          </c:extLst>
        </c:ser>
        <c:ser>
          <c:idx val="2"/>
          <c:order val="2"/>
          <c:tx>
            <c:strRef>
              <c:f>'1. FWA mmwave'!$E$156</c:f>
              <c:strCache>
                <c:ptCount val="1"/>
                <c:pt idx="0">
                  <c:v>0.2 km cell radius</c:v>
                </c:pt>
              </c:strCache>
            </c:strRef>
          </c:tx>
          <c:spPr>
            <a:ln w="28575" cap="rnd">
              <a:solidFill>
                <a:schemeClr val="tx2"/>
              </a:solidFill>
              <a:round/>
            </a:ln>
            <a:effectLst/>
          </c:spPr>
          <c:marker>
            <c:symbol val="none"/>
          </c:marker>
          <c:dLbls>
            <c:dLbl>
              <c:idx val="0"/>
              <c:layout>
                <c:manualLayout>
                  <c:x val="-2.5462668816039986E-17"/>
                  <c:y val="-2.21238860971758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3E-4545-A25A-E5BA2ACC54FF}"/>
                </c:ext>
              </c:extLst>
            </c:dLbl>
            <c:dLbl>
              <c:idx val="1"/>
              <c:layout>
                <c:manualLayout>
                  <c:x val="-5.0925337632079971E-17"/>
                  <c:y val="-1.76991088777406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D3E-4545-A25A-E5BA2ACC54FF}"/>
                </c:ext>
              </c:extLst>
            </c:dLbl>
            <c:dLbl>
              <c:idx val="2"/>
              <c:layout>
                <c:manualLayout>
                  <c:x val="0"/>
                  <c:y val="-2.2123886097175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D3E-4545-A25A-E5BA2ACC54FF}"/>
                </c:ext>
              </c:extLst>
            </c:dLbl>
            <c:dLbl>
              <c:idx val="3"/>
              <c:layout>
                <c:manualLayout>
                  <c:x val="-8.3333333333333332E-3"/>
                  <c:y val="-4.42477721943523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49-4E54-8FFB-EFBEE61B23E4}"/>
                </c:ext>
              </c:extLst>
            </c:dLbl>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'1. FWA mmwave'!$B$157:$B$162</c15:sqref>
                  </c15:fullRef>
                </c:ext>
              </c:extLst>
              <c:f>'1. FWA mmwave'!$B$158:$B$162</c:f>
              <c:strCache>
                <c:ptCount val="5"/>
                <c:pt idx="0">
                  <c:v>1000 homes/km2 (Orange County, CA)</c:v>
                </c:pt>
                <c:pt idx="1">
                  <c:v>1500 homes/km2  (Arlington, VA)</c:v>
                </c:pt>
                <c:pt idx="2">
                  <c:v>2000 homes/km2  (Chicago, IL)</c:v>
                </c:pt>
                <c:pt idx="3">
                  <c:v>2500 homes/km2  (Cambridge, MA)</c:v>
                </c:pt>
                <c:pt idx="4">
                  <c:v>5000 homes/km2  (Brooklyn, NY)</c:v>
                </c:pt>
              </c:strCache>
            </c:strRef>
          </c:cat>
          <c:val>
            <c:numRef>
              <c:extLst>
                <c:ext xmlns:c15="http://schemas.microsoft.com/office/drawing/2012/chart" uri="{02D57815-91ED-43cb-92C2-25804820EDAC}">
                  <c15:fullRef>
                    <c15:sqref>'1. FWA mmwave'!$E$157:$E$162</c15:sqref>
                  </c15:fullRef>
                </c:ext>
              </c:extLst>
              <c:f>'1. FWA mmwave'!$E$158:$E$162</c:f>
              <c:numCache>
                <c:formatCode>0%</c:formatCode>
                <c:ptCount val="5"/>
                <c:pt idx="0">
                  <c:v>0.47</c:v>
                </c:pt>
                <c:pt idx="1">
                  <c:v>0.32</c:v>
                </c:pt>
                <c:pt idx="2">
                  <c:v>0.24</c:v>
                </c:pt>
                <c:pt idx="3">
                  <c:v>0.19</c:v>
                </c:pt>
                <c:pt idx="4">
                  <c:v>0.1</c:v>
                </c:pt>
              </c:numCache>
            </c:numRef>
          </c:val>
          <c:smooth val="0"/>
          <c:extLst>
            <c:ext xmlns:c16="http://schemas.microsoft.com/office/drawing/2014/chart" uri="{C3380CC4-5D6E-409C-BE32-E72D297353CC}">
              <c16:uniqueId val="{00000000-9D3E-4545-A25A-E5BA2ACC54FF}"/>
            </c:ext>
          </c:extLst>
        </c:ser>
        <c:dLbls>
          <c:showLegendKey val="0"/>
          <c:showVal val="1"/>
          <c:showCatName val="0"/>
          <c:showSerName val="0"/>
          <c:showPercent val="0"/>
          <c:showBubbleSize val="0"/>
        </c:dLbls>
        <c:smooth val="0"/>
        <c:axId val="102678912"/>
        <c:axId val="102680448"/>
      </c:lineChart>
      <c:catAx>
        <c:axId val="1026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2680448"/>
        <c:crosses val="autoZero"/>
        <c:auto val="1"/>
        <c:lblAlgn val="ctr"/>
        <c:lblOffset val="100"/>
        <c:noMultiLvlLbl val="0"/>
      </c:catAx>
      <c:valAx>
        <c:axId val="102680448"/>
        <c:scaling>
          <c:orientation val="minMax"/>
          <c:max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market penetration</a:t>
                </a:r>
              </a:p>
            </c:rich>
          </c:tx>
          <c:layout>
            <c:manualLayout>
              <c:xMode val="edge"/>
              <c:yMode val="edge"/>
              <c:x val="8.6678934197566386E-3"/>
              <c:y val="0.272613417866237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2678912"/>
        <c:crosses val="autoZero"/>
        <c:crossBetween val="between"/>
        <c:majorUnit val="0.1"/>
      </c:valAx>
      <c:spPr>
        <a:noFill/>
        <a:ln>
          <a:noFill/>
        </a:ln>
        <a:effectLst/>
      </c:spPr>
    </c:plotArea>
    <c:legend>
      <c:legendPos val="r"/>
      <c:layout>
        <c:manualLayout>
          <c:xMode val="edge"/>
          <c:yMode val="edge"/>
          <c:x val="0.64755084924985118"/>
          <c:y val="9.9985826778853537E-2"/>
          <c:w val="0.26540332458442695"/>
          <c:h val="0.17199792622934928"/>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'4.  New TMo OVERALL'!$B$16</c:f>
              <c:strCache>
                <c:ptCount val="1"/>
                <c:pt idx="0">
                  <c:v>5G at 600 MHz</c:v>
                </c:pt>
              </c:strCache>
            </c:strRef>
          </c:tx>
          <c:spPr>
            <a:solidFill>
              <a:schemeClr val="accent1"/>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OVERALL'!$C$16:$K$16</c:f>
              <c:numCache>
                <c:formatCode>_(* #,##0_);_(* \(#,##0\);_(* "-"??_);_(@_)</c:formatCode>
                <c:ptCount val="9"/>
                <c:pt idx="0">
                  <c:v>349854390</c:v>
                </c:pt>
                <c:pt idx="1">
                  <c:v>432019980</c:v>
                </c:pt>
                <c:pt idx="2">
                  <c:v>528685380</c:v>
                </c:pt>
                <c:pt idx="3">
                  <c:v>536492970.00000006</c:v>
                </c:pt>
                <c:pt idx="4">
                  <c:v>546531300</c:v>
                </c:pt>
                <c:pt idx="5">
                  <c:v>554338890</c:v>
                </c:pt>
                <c:pt idx="6">
                  <c:v>557685000</c:v>
                </c:pt>
                <c:pt idx="7">
                  <c:v>561031110</c:v>
                </c:pt>
                <c:pt idx="8">
                  <c:v>564377220</c:v>
                </c:pt>
              </c:numCache>
            </c:numRef>
          </c:val>
          <c:extLst>
            <c:ext xmlns:c16="http://schemas.microsoft.com/office/drawing/2014/chart" uri="{C3380CC4-5D6E-409C-BE32-E72D297353CC}">
              <c16:uniqueId val="{00000000-1E83-4CF5-B790-26051264408B}"/>
            </c:ext>
          </c:extLst>
        </c:ser>
        <c:ser>
          <c:idx val="1"/>
          <c:order val="1"/>
          <c:tx>
            <c:strRef>
              <c:f>'4.  New TMo OVERALL'!$B$17</c:f>
              <c:strCache>
                <c:ptCount val="1"/>
                <c:pt idx="0">
                  <c:v>LTE at 700-850 MHz</c:v>
                </c:pt>
              </c:strCache>
            </c:strRef>
          </c:tx>
          <c:spPr>
            <a:solidFill>
              <a:schemeClr val="accent2"/>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OVERALL'!$C$17:$K$17</c:f>
              <c:numCache>
                <c:formatCode>_(* #,##0_);_(* \(#,##0\);_(* "-"??_);_(@_)</c:formatCode>
                <c:ptCount val="9"/>
                <c:pt idx="0">
                  <c:v>469198980</c:v>
                </c:pt>
                <c:pt idx="1">
                  <c:v>487044900</c:v>
                </c:pt>
                <c:pt idx="2">
                  <c:v>493737120</c:v>
                </c:pt>
                <c:pt idx="3">
                  <c:v>497455020</c:v>
                </c:pt>
                <c:pt idx="4">
                  <c:v>499685760</c:v>
                </c:pt>
                <c:pt idx="5">
                  <c:v>501916500</c:v>
                </c:pt>
                <c:pt idx="6">
                  <c:v>504147240</c:v>
                </c:pt>
                <c:pt idx="7">
                  <c:v>506377980</c:v>
                </c:pt>
                <c:pt idx="8">
                  <c:v>508608720</c:v>
                </c:pt>
              </c:numCache>
            </c:numRef>
          </c:val>
          <c:extLst>
            <c:ext xmlns:c16="http://schemas.microsoft.com/office/drawing/2014/chart" uri="{C3380CC4-5D6E-409C-BE32-E72D297353CC}">
              <c16:uniqueId val="{00000001-1E83-4CF5-B790-26051264408B}"/>
            </c:ext>
          </c:extLst>
        </c:ser>
        <c:ser>
          <c:idx val="2"/>
          <c:order val="2"/>
          <c:tx>
            <c:strRef>
              <c:f>'4.  New TMo OVERALL'!$B$18</c:f>
              <c:strCache>
                <c:ptCount val="1"/>
                <c:pt idx="0">
                  <c:v>LTE at 1900-2300 MHz</c:v>
                </c:pt>
              </c:strCache>
            </c:strRef>
          </c:tx>
          <c:spPr>
            <a:solidFill>
              <a:schemeClr val="accent3"/>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OVERALL'!$C$18:$K$18</c:f>
              <c:numCache>
                <c:formatCode>_(* #,##0_);_(* \(#,##0\);_(* "-"??_);_(@_)</c:formatCode>
                <c:ptCount val="9"/>
                <c:pt idx="0">
                  <c:v>1711473300</c:v>
                </c:pt>
                <c:pt idx="1">
                  <c:v>1920915000</c:v>
                </c:pt>
                <c:pt idx="2">
                  <c:v>2068391700</c:v>
                </c:pt>
                <c:pt idx="3">
                  <c:v>2215868400</c:v>
                </c:pt>
                <c:pt idx="4">
                  <c:v>2332362600</c:v>
                </c:pt>
                <c:pt idx="5">
                  <c:v>2442660300</c:v>
                </c:pt>
                <c:pt idx="6">
                  <c:v>2490993000</c:v>
                </c:pt>
                <c:pt idx="7">
                  <c:v>2531889900</c:v>
                </c:pt>
                <c:pt idx="8">
                  <c:v>2543043600</c:v>
                </c:pt>
              </c:numCache>
            </c:numRef>
          </c:val>
          <c:extLst>
            <c:ext xmlns:c16="http://schemas.microsoft.com/office/drawing/2014/chart" uri="{C3380CC4-5D6E-409C-BE32-E72D297353CC}">
              <c16:uniqueId val="{00000002-1E83-4CF5-B790-26051264408B}"/>
            </c:ext>
          </c:extLst>
        </c:ser>
        <c:ser>
          <c:idx val="3"/>
          <c:order val="3"/>
          <c:tx>
            <c:strRef>
              <c:f>'4.  New TMo OVERALL'!$B$19</c:f>
              <c:strCache>
                <c:ptCount val="1"/>
                <c:pt idx="0">
                  <c:v>LTE at 2.5 GHz</c:v>
                </c:pt>
              </c:strCache>
            </c:strRef>
          </c:tx>
          <c:spPr>
            <a:solidFill>
              <a:srgbClr val="92D050"/>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OVERALL'!$C$19:$K$19</c:f>
              <c:numCache>
                <c:formatCode>_(* #,##0_);_(* \(#,##0\);_(* "-"??_);_(@_)</c:formatCode>
                <c:ptCount val="9"/>
                <c:pt idx="0">
                  <c:v>433755000</c:v>
                </c:pt>
                <c:pt idx="1">
                  <c:v>477130500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1E83-4CF5-B790-26051264408B}"/>
            </c:ext>
          </c:extLst>
        </c:ser>
        <c:ser>
          <c:idx val="4"/>
          <c:order val="4"/>
          <c:tx>
            <c:strRef>
              <c:f>'4.  New TMo OVERALL'!$B$20</c:f>
              <c:strCache>
                <c:ptCount val="1"/>
                <c:pt idx="0">
                  <c:v>5G (8T8R) at 2.5 GHz</c:v>
                </c:pt>
              </c:strCache>
            </c:strRef>
          </c:tx>
          <c:spPr>
            <a:solidFill>
              <a:schemeClr val="accent6"/>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OVERALL'!$C$20:$K$20</c:f>
              <c:numCache>
                <c:formatCode>_(* #,##0_);_(* \(#,##0\);_(* "-"??_);_(@_)</c:formatCode>
                <c:ptCount val="9"/>
                <c:pt idx="0">
                  <c:v>0</c:v>
                </c:pt>
                <c:pt idx="1">
                  <c:v>138801600</c:v>
                </c:pt>
                <c:pt idx="2">
                  <c:v>711358200</c:v>
                </c:pt>
                <c:pt idx="3">
                  <c:v>850159800</c:v>
                </c:pt>
                <c:pt idx="4">
                  <c:v>798109200</c:v>
                </c:pt>
                <c:pt idx="5">
                  <c:v>641957400</c:v>
                </c:pt>
                <c:pt idx="6">
                  <c:v>442430100</c:v>
                </c:pt>
                <c:pt idx="7">
                  <c:v>242902800</c:v>
                </c:pt>
                <c:pt idx="8">
                  <c:v>173502000</c:v>
                </c:pt>
              </c:numCache>
            </c:numRef>
          </c:val>
          <c:extLst>
            <c:ext xmlns:c16="http://schemas.microsoft.com/office/drawing/2014/chart" uri="{C3380CC4-5D6E-409C-BE32-E72D297353CC}">
              <c16:uniqueId val="{00000009-1E83-4CF5-B790-26051264408B}"/>
            </c:ext>
          </c:extLst>
        </c:ser>
        <c:ser>
          <c:idx val="5"/>
          <c:order val="5"/>
          <c:tx>
            <c:strRef>
              <c:f>'4.  New TMo OVERALL'!$B$21</c:f>
              <c:strCache>
                <c:ptCount val="1"/>
                <c:pt idx="0">
                  <c:v>5G (64T64R) at 2.5 GHz</c:v>
                </c:pt>
              </c:strCache>
            </c:strRef>
          </c:tx>
          <c:spPr>
            <a:solidFill>
              <a:schemeClr val="accent6">
                <a:lumMod val="75000"/>
              </a:schemeClr>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OVERALL'!$C$21:$K$21</c:f>
              <c:numCache>
                <c:formatCode>_(* #,##0_);_(* \(#,##0\);_(* "-"??_);_(@_)</c:formatCode>
                <c:ptCount val="9"/>
                <c:pt idx="0">
                  <c:v>0</c:v>
                </c:pt>
                <c:pt idx="1">
                  <c:v>208202400</c:v>
                </c:pt>
                <c:pt idx="2">
                  <c:v>468455400</c:v>
                </c:pt>
                <c:pt idx="3">
                  <c:v>936910800</c:v>
                </c:pt>
                <c:pt idx="4">
                  <c:v>1613568600</c:v>
                </c:pt>
                <c:pt idx="5">
                  <c:v>2342277000</c:v>
                </c:pt>
                <c:pt idx="6">
                  <c:v>2810732400</c:v>
                </c:pt>
                <c:pt idx="7">
                  <c:v>3279187800</c:v>
                </c:pt>
                <c:pt idx="8">
                  <c:v>3747643200</c:v>
                </c:pt>
              </c:numCache>
            </c:numRef>
          </c:val>
          <c:extLst>
            <c:ext xmlns:c16="http://schemas.microsoft.com/office/drawing/2014/chart" uri="{C3380CC4-5D6E-409C-BE32-E72D297353CC}">
              <c16:uniqueId val="{0000000A-1E83-4CF5-B790-26051264408B}"/>
            </c:ext>
          </c:extLst>
        </c:ser>
        <c:ser>
          <c:idx val="6"/>
          <c:order val="6"/>
          <c:tx>
            <c:strRef>
              <c:f>'4.  New TMo OVERALL'!$B$22</c:f>
              <c:strCache>
                <c:ptCount val="1"/>
                <c:pt idx="0">
                  <c:v>5G (64T) at 3.5 GHz CBRS</c:v>
                </c:pt>
              </c:strCache>
            </c:strRef>
          </c:tx>
          <c:spPr>
            <a:solidFill>
              <a:schemeClr val="accent1">
                <a:lumMod val="60000"/>
              </a:schemeClr>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OVERALL'!$C$22:$K$22</c:f>
              <c:numCache>
                <c:formatCode>_(* #,##0_);_(* \(#,##0\);_(* "-"??_);_(@_)</c:formatCode>
                <c:ptCount val="9"/>
                <c:pt idx="0">
                  <c:v>0</c:v>
                </c:pt>
                <c:pt idx="1">
                  <c:v>61498440.000000007</c:v>
                </c:pt>
                <c:pt idx="2">
                  <c:v>364004280.00000006</c:v>
                </c:pt>
                <c:pt idx="3">
                  <c:v>728008560.00000012</c:v>
                </c:pt>
                <c:pt idx="4">
                  <c:v>1092012840</c:v>
                </c:pt>
                <c:pt idx="5">
                  <c:v>971509140</c:v>
                </c:pt>
                <c:pt idx="6">
                  <c:v>730501740</c:v>
                </c:pt>
                <c:pt idx="7">
                  <c:v>730501740</c:v>
                </c:pt>
                <c:pt idx="8">
                  <c:v>730501740</c:v>
                </c:pt>
              </c:numCache>
            </c:numRef>
          </c:val>
          <c:extLst>
            <c:ext xmlns:c16="http://schemas.microsoft.com/office/drawing/2014/chart" uri="{C3380CC4-5D6E-409C-BE32-E72D297353CC}">
              <c16:uniqueId val="{00000003-1E83-4CF5-B790-26051264408B}"/>
            </c:ext>
          </c:extLst>
        </c:ser>
        <c:ser>
          <c:idx val="7"/>
          <c:order val="7"/>
          <c:tx>
            <c:strRef>
              <c:f>'4.  New TMo OVERALL'!$B$23</c:f>
              <c:strCache>
                <c:ptCount val="1"/>
                <c:pt idx="0">
                  <c:v>5G (64T) at 3.7 GHz</c:v>
                </c:pt>
              </c:strCache>
            </c:strRef>
          </c:tx>
          <c:spPr>
            <a:solidFill>
              <a:schemeClr val="accent2">
                <a:lumMod val="60000"/>
              </a:schemeClr>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OVERALL'!$C$23:$K$23</c:f>
              <c:numCache>
                <c:formatCode>_(* #,##0_);_(* \(#,##0\);_(* "-"??_);_(@_)</c:formatCode>
                <c:ptCount val="9"/>
                <c:pt idx="0">
                  <c:v>0</c:v>
                </c:pt>
                <c:pt idx="1">
                  <c:v>0</c:v>
                </c:pt>
                <c:pt idx="2">
                  <c:v>0</c:v>
                </c:pt>
                <c:pt idx="3">
                  <c:v>0</c:v>
                </c:pt>
                <c:pt idx="4">
                  <c:v>706401000</c:v>
                </c:pt>
                <c:pt idx="5">
                  <c:v>1907282700</c:v>
                </c:pt>
                <c:pt idx="6">
                  <c:v>3602645100</c:v>
                </c:pt>
                <c:pt idx="7">
                  <c:v>5121407250</c:v>
                </c:pt>
                <c:pt idx="8">
                  <c:v>5986748475</c:v>
                </c:pt>
              </c:numCache>
            </c:numRef>
          </c:val>
          <c:extLst>
            <c:ext xmlns:c16="http://schemas.microsoft.com/office/drawing/2014/chart" uri="{C3380CC4-5D6E-409C-BE32-E72D297353CC}">
              <c16:uniqueId val="{00000004-1E83-4CF5-B790-26051264408B}"/>
            </c:ext>
          </c:extLst>
        </c:ser>
        <c:ser>
          <c:idx val="8"/>
          <c:order val="8"/>
          <c:tx>
            <c:strRef>
              <c:f>'4.  New TMo OVERALL'!$B$24</c:f>
              <c:strCache>
                <c:ptCount val="1"/>
                <c:pt idx="0">
                  <c:v>Small Cell, LTE</c:v>
                </c:pt>
              </c:strCache>
            </c:strRef>
          </c:tx>
          <c:spPr>
            <a:solidFill>
              <a:schemeClr val="accent4">
                <a:lumMod val="50000"/>
              </a:schemeClr>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OVERALL'!$C$24:$K$24</c:f>
              <c:numCache>
                <c:formatCode>_(* #,##0_);_(* \(#,##0\);_(* "-"??_);_(@_)</c:formatCode>
                <c:ptCount val="9"/>
                <c:pt idx="0">
                  <c:v>524880000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1E83-4CF5-B790-26051264408B}"/>
            </c:ext>
          </c:extLst>
        </c:ser>
        <c:ser>
          <c:idx val="9"/>
          <c:order val="9"/>
          <c:tx>
            <c:strRef>
              <c:f>'4.  New TMo OVERALL'!$B$25</c:f>
              <c:strCache>
                <c:ptCount val="1"/>
                <c:pt idx="0">
                  <c:v>Small Cell, 5G &lt; 6GHz</c:v>
                </c:pt>
              </c:strCache>
            </c:strRef>
          </c:tx>
          <c:spPr>
            <a:solidFill>
              <a:schemeClr val="accent1"/>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OVERALL'!$C$25:$K$25</c:f>
              <c:numCache>
                <c:formatCode>_(* #,##0_);_(* \(#,##0\);_(* "-"??_);_(@_)</c:formatCode>
                <c:ptCount val="9"/>
                <c:pt idx="0">
                  <c:v>0</c:v>
                </c:pt>
                <c:pt idx="1">
                  <c:v>408240000</c:v>
                </c:pt>
                <c:pt idx="2">
                  <c:v>571536000</c:v>
                </c:pt>
                <c:pt idx="3">
                  <c:v>979776000</c:v>
                </c:pt>
                <c:pt idx="4">
                  <c:v>1388016000</c:v>
                </c:pt>
                <c:pt idx="5">
                  <c:v>2286144000</c:v>
                </c:pt>
                <c:pt idx="6">
                  <c:v>3184272000</c:v>
                </c:pt>
                <c:pt idx="7">
                  <c:v>3674160000</c:v>
                </c:pt>
                <c:pt idx="8">
                  <c:v>4082400000</c:v>
                </c:pt>
              </c:numCache>
            </c:numRef>
          </c:val>
          <c:extLst>
            <c:ext xmlns:c16="http://schemas.microsoft.com/office/drawing/2014/chart" uri="{C3380CC4-5D6E-409C-BE32-E72D297353CC}">
              <c16:uniqueId val="{00000006-1E83-4CF5-B790-26051264408B}"/>
            </c:ext>
          </c:extLst>
        </c:ser>
        <c:ser>
          <c:idx val="10"/>
          <c:order val="10"/>
          <c:tx>
            <c:strRef>
              <c:f>'4.  New TMo OVERALL'!$B$27</c:f>
              <c:strCache>
                <c:ptCount val="1"/>
                <c:pt idx="0">
                  <c:v>5G mm-wave</c:v>
                </c:pt>
              </c:strCache>
            </c:strRef>
          </c:tx>
          <c:spPr>
            <a:solidFill>
              <a:schemeClr val="tx1"/>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OVERALL'!$C$27:$K$27</c:f>
              <c:numCache>
                <c:formatCode>_(* #,##0_);_(* \(#,##0\);_(* "-"??_);_(@_)</c:formatCode>
                <c:ptCount val="9"/>
                <c:pt idx="0">
                  <c:v>123018750</c:v>
                </c:pt>
                <c:pt idx="1">
                  <c:v>123018750</c:v>
                </c:pt>
                <c:pt idx="2">
                  <c:v>123018750</c:v>
                </c:pt>
                <c:pt idx="3">
                  <c:v>123018750</c:v>
                </c:pt>
                <c:pt idx="4">
                  <c:v>172226250</c:v>
                </c:pt>
                <c:pt idx="5">
                  <c:v>258339375</c:v>
                </c:pt>
                <c:pt idx="6">
                  <c:v>295245000</c:v>
                </c:pt>
                <c:pt idx="7">
                  <c:v>344452500</c:v>
                </c:pt>
                <c:pt idx="8">
                  <c:v>393660000</c:v>
                </c:pt>
              </c:numCache>
            </c:numRef>
          </c:val>
          <c:extLst>
            <c:ext xmlns:c16="http://schemas.microsoft.com/office/drawing/2014/chart" uri="{C3380CC4-5D6E-409C-BE32-E72D297353CC}">
              <c16:uniqueId val="{00000007-1E83-4CF5-B790-26051264408B}"/>
            </c:ext>
          </c:extLst>
        </c:ser>
        <c:dLbls>
          <c:showLegendKey val="0"/>
          <c:showVal val="0"/>
          <c:showCatName val="0"/>
          <c:showSerName val="0"/>
          <c:showPercent val="0"/>
          <c:showBubbleSize val="0"/>
        </c:dLbls>
        <c:gapWidth val="150"/>
        <c:overlap val="100"/>
        <c:axId val="208377344"/>
        <c:axId val="208378880"/>
        <c:extLst/>
      </c:barChart>
      <c:catAx>
        <c:axId val="20837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08378880"/>
        <c:crosses val="autoZero"/>
        <c:auto val="1"/>
        <c:lblAlgn val="ctr"/>
        <c:lblOffset val="100"/>
        <c:noMultiLvlLbl val="0"/>
      </c:catAx>
      <c:valAx>
        <c:axId val="20837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(GB/mo)</a:t>
                </a:r>
              </a:p>
            </c:rich>
          </c:tx>
          <c:layout>
            <c:manualLayout>
              <c:xMode val="edge"/>
              <c:yMode val="edge"/>
              <c:x val="1.2413411567149226E-2"/>
              <c:y val="0.365602553949177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08377344"/>
        <c:crosses val="autoZero"/>
        <c:crossBetween val="between"/>
      </c:valAx>
      <c:spPr>
        <a:noFill/>
        <a:ln>
          <a:noFill/>
        </a:ln>
        <a:effectLst/>
      </c:spPr>
    </c:plotArea>
    <c:legend>
      <c:legendPos val="r"/>
      <c:layout>
        <c:manualLayout>
          <c:xMode val="edge"/>
          <c:yMode val="edge"/>
          <c:x val="0.77782465498592179"/>
          <c:y val="0.23654018755544554"/>
          <c:w val="0.21697498812366606"/>
          <c:h val="0.571264237288385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89609219000165"/>
          <c:y val="4.0676687020429037E-2"/>
          <c:w val="0.67089979136368239"/>
          <c:h val="0.83613839657534983"/>
        </c:manualLayout>
      </c:layout>
      <c:barChart>
        <c:barDir val="col"/>
        <c:grouping val="stacked"/>
        <c:varyColors val="0"/>
        <c:ser>
          <c:idx val="1"/>
          <c:order val="0"/>
          <c:tx>
            <c:v>Network cost</c:v>
          </c:tx>
          <c:spPr>
            <a:solidFill>
              <a:schemeClr val="accent2">
                <a:lumMod val="50000"/>
              </a:schemeClr>
            </a:solidFill>
            <a:ln>
              <a:noFill/>
            </a:ln>
            <a:effectLst/>
          </c:spPr>
          <c:invertIfNegative val="0"/>
          <c:dLbls>
            <c:dLbl>
              <c:idx val="0"/>
              <c:layout>
                <c:manualLayout>
                  <c:x val="7.4796121763689369E-2"/>
                  <c:y val="-0.35104143234828411"/>
                </c:manualLayout>
              </c:layout>
              <c:tx>
                <c:rich>
                  <a:bodyPr rot="0" spcFirstLastPara="1" vertOverflow="ellipsis" vert="horz" wrap="square" anchor="ctr" anchorCtr="1"/>
                  <a:lstStyle/>
                  <a:p>
                    <a:pPr>
                      <a:defRPr lang="en-US" sz="1200" b="0" i="0" u="none" strike="noStrike" kern="1200" baseline="0">
                        <a:solidFill>
                          <a:srgbClr val="C00000"/>
                        </a:solidFill>
                        <a:latin typeface="Candara" panose="020E0502030303020204" pitchFamily="34" charset="0"/>
                        <a:ea typeface="+mn-ea"/>
                        <a:cs typeface="+mn-cs"/>
                      </a:defRPr>
                    </a:pPr>
                    <a:r>
                      <a:rPr lang="en-US">
                        <a:solidFill>
                          <a:srgbClr val="C00000"/>
                        </a:solidFill>
                      </a:rPr>
                      <a:t>$31.2B</a:t>
                    </a:r>
                  </a:p>
                </c:rich>
              </c:tx>
              <c:spPr>
                <a:solidFill>
                  <a:schemeClr val="bg1"/>
                </a:solidFill>
                <a:ln>
                  <a:noFill/>
                </a:ln>
                <a:effectLst/>
              </c:spPr>
              <c:txPr>
                <a:bodyPr rot="0" spcFirstLastPara="1" vertOverflow="ellipsis" vert="horz" wrap="square" anchor="ctr" anchorCtr="1"/>
                <a:lstStyle/>
                <a:p>
                  <a:pPr>
                    <a:defRPr lang="en-US" sz="1200" b="0" i="0" u="none" strike="noStrike" kern="1200" baseline="0">
                      <a:solidFill>
                        <a:srgbClr val="C0000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34D-428F-827F-FC0286522618}"/>
                </c:ext>
              </c:extLst>
            </c:dLbl>
            <c:dLbl>
              <c:idx val="8"/>
              <c:layout>
                <c:manualLayout>
                  <c:x val="-1.0876384919148916E-3"/>
                  <c:y val="-5.9179129883836876E-2"/>
                </c:manualLayout>
              </c:layout>
              <c:tx>
                <c:rich>
                  <a:bodyPr rot="0" spcFirstLastPara="1" vertOverflow="ellipsis" vert="horz" wrap="square" anchor="ctr" anchorCtr="1"/>
                  <a:lstStyle/>
                  <a:p>
                    <a:pPr>
                      <a:defRPr lang="en-US" sz="1200" b="0" i="0" u="none" strike="noStrike" kern="1200" baseline="0">
                        <a:solidFill>
                          <a:srgbClr val="C00000"/>
                        </a:solidFill>
                        <a:latin typeface="Candara" panose="020E0502030303020204" pitchFamily="34" charset="0"/>
                        <a:ea typeface="+mn-ea"/>
                        <a:cs typeface="+mn-cs"/>
                      </a:defRPr>
                    </a:pPr>
                    <a:r>
                      <a:rPr lang="en-US">
                        <a:solidFill>
                          <a:srgbClr val="C00000"/>
                        </a:solidFill>
                      </a:rPr>
                      <a:t>$16.1B</a:t>
                    </a:r>
                  </a:p>
                </c:rich>
              </c:tx>
              <c:spPr>
                <a:solidFill>
                  <a:schemeClr val="bg1"/>
                </a:solidFill>
                <a:ln>
                  <a:noFill/>
                </a:ln>
                <a:effectLst/>
              </c:spPr>
              <c:txPr>
                <a:bodyPr rot="0" spcFirstLastPara="1" vertOverflow="ellipsis" vert="horz" wrap="square" anchor="ctr" anchorCtr="1"/>
                <a:lstStyle/>
                <a:p>
                  <a:pPr>
                    <a:defRPr lang="en-US" sz="1200" b="0" i="0" u="none" strike="noStrike" kern="1200" baseline="0">
                      <a:solidFill>
                        <a:srgbClr val="C0000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34D-428F-827F-FC0286522618}"/>
                </c:ext>
              </c:extLst>
            </c:dLbl>
            <c:spPr>
              <a:noFill/>
              <a:ln>
                <a:noFill/>
              </a:ln>
              <a:effectLst/>
            </c:spPr>
            <c:txPr>
              <a:bodyPr rot="0" spcFirstLastPara="1" vertOverflow="ellipsis" vert="horz" wrap="square" anchor="ctr" anchorCtr="1"/>
              <a:lstStyle/>
              <a:p>
                <a:pPr>
                  <a:defRPr lang="en-US" sz="1200" b="0" i="0" u="none" strike="noStrike" kern="1200" baseline="0">
                    <a:solidFill>
                      <a:srgbClr val="C00000"/>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OVERALL'!$C$63:$K$63</c:f>
              <c:numCache>
                <c:formatCode>"$"#,##0,," M"</c:formatCode>
                <c:ptCount val="9"/>
                <c:pt idx="0">
                  <c:v>12068365763.373859</c:v>
                </c:pt>
                <c:pt idx="1">
                  <c:v>31248963000</c:v>
                </c:pt>
                <c:pt idx="2">
                  <c:v>12122432950</c:v>
                </c:pt>
                <c:pt idx="3">
                  <c:v>12097676700</c:v>
                </c:pt>
                <c:pt idx="4">
                  <c:v>13735081050</c:v>
                </c:pt>
                <c:pt idx="5">
                  <c:v>14595915250</c:v>
                </c:pt>
                <c:pt idx="6">
                  <c:v>15496866500</c:v>
                </c:pt>
                <c:pt idx="7">
                  <c:v>16150105650</c:v>
                </c:pt>
                <c:pt idx="8">
                  <c:v>16149176950</c:v>
                </c:pt>
              </c:numCache>
            </c:numRef>
          </c:val>
          <c:extLst>
            <c:ext xmlns:c16="http://schemas.microsoft.com/office/drawing/2014/chart" uri="{C3380CC4-5D6E-409C-BE32-E72D297353CC}">
              <c16:uniqueId val="{00000003-D34D-428F-827F-FC0286522618}"/>
            </c:ext>
          </c:extLst>
        </c:ser>
        <c:ser>
          <c:idx val="2"/>
          <c:order val="1"/>
          <c:tx>
            <c:v>Serving cost</c:v>
          </c:tx>
          <c:spPr>
            <a:pattFill prst="dkUpDiag">
              <a:fgClr>
                <a:schemeClr val="accent2">
                  <a:lumMod val="50000"/>
                </a:schemeClr>
              </a:fgClr>
              <a:bgClr>
                <a:schemeClr val="bg1"/>
              </a:bgClr>
            </a:patt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OVERALL'!$C$64:$K$64</c:f>
              <c:numCache>
                <c:formatCode>"$"#,##0,," M"</c:formatCode>
                <c:ptCount val="9"/>
                <c:pt idx="0">
                  <c:v>11607306750</c:v>
                </c:pt>
                <c:pt idx="1">
                  <c:v>12033512255.700001</c:v>
                </c:pt>
                <c:pt idx="2">
                  <c:v>12547998012.888</c:v>
                </c:pt>
                <c:pt idx="3">
                  <c:v>13077623914.791931</c:v>
                </c:pt>
                <c:pt idx="4">
                  <c:v>13622701853.53837</c:v>
                </c:pt>
                <c:pt idx="5">
                  <c:v>14183549050.46003</c:v>
                </c:pt>
                <c:pt idx="6">
                  <c:v>14760488137.544466</c:v>
                </c:pt>
                <c:pt idx="7">
                  <c:v>15353847240.039326</c:v>
                </c:pt>
                <c:pt idx="8">
                  <c:v>15963960060.229862</c:v>
                </c:pt>
              </c:numCache>
            </c:numRef>
          </c:val>
          <c:extLst>
            <c:ext xmlns:c16="http://schemas.microsoft.com/office/drawing/2014/chart" uri="{C3380CC4-5D6E-409C-BE32-E72D297353CC}">
              <c16:uniqueId val="{00000006-D34D-428F-827F-FC0286522618}"/>
            </c:ext>
          </c:extLst>
        </c:ser>
        <c:dLbls>
          <c:showLegendKey val="0"/>
          <c:showVal val="0"/>
          <c:showCatName val="0"/>
          <c:showSerName val="0"/>
          <c:showPercent val="0"/>
          <c:showBubbleSize val="0"/>
        </c:dLbls>
        <c:gapWidth val="150"/>
        <c:overlap val="100"/>
        <c:axId val="221269376"/>
        <c:axId val="221279360"/>
      </c:barChart>
      <c:lineChart>
        <c:grouping val="standard"/>
        <c:varyColors val="0"/>
        <c:ser>
          <c:idx val="3"/>
          <c:order val="2"/>
          <c:tx>
            <c:v>Net Cash</c:v>
          </c:tx>
          <c:spPr>
            <a:ln w="28575" cap="rnd">
              <a:solidFill>
                <a:schemeClr val="accent5"/>
              </a:solidFill>
              <a:round/>
            </a:ln>
            <a:effectLst/>
          </c:spPr>
          <c:marker>
            <c:symbol val="none"/>
          </c:marker>
          <c:dLbls>
            <c:dLbl>
              <c:idx val="0"/>
              <c:layout>
                <c:manualLayout>
                  <c:x val="3.9248449822109725E-2"/>
                  <c:y val="0.36314394816460299"/>
                </c:manualLayout>
              </c:layout>
              <c:tx>
                <c:rich>
                  <a:bodyPr/>
                  <a:lstStyle/>
                  <a:p>
                    <a:r>
                      <a:rPr lang="en-US"/>
                      <a:t>$4.9B</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34D-428F-827F-FC0286522618}"/>
                </c:ext>
              </c:extLst>
            </c:dLbl>
            <c:dLbl>
              <c:idx val="8"/>
              <c:layout>
                <c:manualLayout>
                  <c:x val="-3.2786470591502801E-3"/>
                  <c:y val="-4.7933497486823629E-2"/>
                </c:manualLayout>
              </c:layout>
              <c:tx>
                <c:rich>
                  <a:bodyPr/>
                  <a:lstStyle/>
                  <a:p>
                    <a:r>
                      <a:rPr lang="en-US">
                        <a:solidFill>
                          <a:schemeClr val="accent1">
                            <a:lumMod val="50000"/>
                          </a:schemeClr>
                        </a:solidFill>
                      </a:rPr>
                      <a:t>$31.7B</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34D-428F-827F-FC0286522618}"/>
                </c:ext>
              </c:extLst>
            </c:dLbl>
            <c:spPr>
              <a:solidFill>
                <a:schemeClr val="bg1"/>
              </a:solidFill>
              <a:ln>
                <a:noFill/>
              </a:ln>
              <a:effectLst/>
            </c:spPr>
            <c:txPr>
              <a:bodyPr rot="0" spcFirstLastPara="1" vertOverflow="ellipsis" vert="horz" wrap="square" anchor="ctr" anchorCtr="1"/>
              <a:lstStyle/>
              <a:p>
                <a:pPr>
                  <a:defRPr lang="en-US" sz="1200" b="0" i="0" u="none" strike="noStrike" kern="1200" baseline="0">
                    <a:solidFill>
                      <a:schemeClr val="accent5"/>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OVERALL'!$C$65:$K$65</c:f>
              <c:numCache>
                <c:formatCode>"$"#,##0,," M"</c:formatCode>
                <c:ptCount val="9"/>
                <c:pt idx="0">
                  <c:v>22753554486.626141</c:v>
                </c:pt>
                <c:pt idx="1">
                  <c:v>4851573767.1000061</c:v>
                </c:pt>
                <c:pt idx="2">
                  <c:v>25521561088.664001</c:v>
                </c:pt>
                <c:pt idx="3">
                  <c:v>27135195044.375793</c:v>
                </c:pt>
                <c:pt idx="4">
                  <c:v>27133024510.615112</c:v>
                </c:pt>
                <c:pt idx="5">
                  <c:v>27954731901.380089</c:v>
                </c:pt>
                <c:pt idx="6">
                  <c:v>28784597912.6334</c:v>
                </c:pt>
                <c:pt idx="7">
                  <c:v>29911436070.117981</c:v>
                </c:pt>
                <c:pt idx="8">
                  <c:v>31742703230.68959</c:v>
                </c:pt>
              </c:numCache>
            </c:numRef>
          </c:val>
          <c:smooth val="0"/>
          <c:extLst>
            <c:ext xmlns:c16="http://schemas.microsoft.com/office/drawing/2014/chart" uri="{C3380CC4-5D6E-409C-BE32-E72D297353CC}">
              <c16:uniqueId val="{00000007-D34D-428F-827F-FC0286522618}"/>
            </c:ext>
          </c:extLst>
        </c:ser>
        <c:dLbls>
          <c:showLegendKey val="0"/>
          <c:showVal val="0"/>
          <c:showCatName val="0"/>
          <c:showSerName val="0"/>
          <c:showPercent val="0"/>
          <c:showBubbleSize val="0"/>
        </c:dLbls>
        <c:marker val="1"/>
        <c:smooth val="0"/>
        <c:axId val="562934608"/>
        <c:axId val="562933648"/>
      </c:lineChart>
      <c:catAx>
        <c:axId val="22126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endParaRPr lang="en-US"/>
          </a:p>
        </c:txPr>
        <c:crossAx val="221279360"/>
        <c:crosses val="autoZero"/>
        <c:auto val="1"/>
        <c:lblAlgn val="ctr"/>
        <c:lblOffset val="100"/>
        <c:noMultiLvlLbl val="0"/>
      </c:catAx>
      <c:valAx>
        <c:axId val="221279360"/>
        <c:scaling>
          <c:orientation val="minMax"/>
          <c:max val="45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r>
                  <a:rPr lang="en-US"/>
                  <a:t>Operating Cash Flow</a:t>
                </a:r>
              </a:p>
            </c:rich>
          </c:tx>
          <c:layout>
            <c:manualLayout>
              <c:xMode val="edge"/>
              <c:yMode val="edge"/>
              <c:x val="8.1720948855080033E-3"/>
              <c:y val="0.27204041101804682"/>
            </c:manualLayout>
          </c:layout>
          <c:overlay val="0"/>
          <c:spPr>
            <a:noFill/>
            <a:ln>
              <a:noFill/>
            </a:ln>
            <a:effectLst/>
          </c:spPr>
          <c:txPr>
            <a:bodyPr rot="-540000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endParaRPr lang="en-US"/>
            </a:p>
          </c:txPr>
        </c:title>
        <c:numFmt formatCode="&quot;$&quot;#0,,,&quot; B&quot;" sourceLinked="0"/>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endParaRPr lang="en-US"/>
          </a:p>
        </c:txPr>
        <c:crossAx val="221269376"/>
        <c:crosses val="autoZero"/>
        <c:crossBetween val="between"/>
      </c:valAx>
      <c:valAx>
        <c:axId val="562933648"/>
        <c:scaling>
          <c:orientation val="minMax"/>
          <c:max val="45000000000"/>
        </c:scaling>
        <c:delete val="1"/>
        <c:axPos val="r"/>
        <c:numFmt formatCode="&quot;$&quot;#,##0,,&quot; M&quot;" sourceLinked="1"/>
        <c:majorTickMark val="out"/>
        <c:minorTickMark val="none"/>
        <c:tickLblPos val="nextTo"/>
        <c:crossAx val="562934608"/>
        <c:crosses val="max"/>
        <c:crossBetween val="between"/>
      </c:valAx>
      <c:catAx>
        <c:axId val="562934608"/>
        <c:scaling>
          <c:orientation val="minMax"/>
        </c:scaling>
        <c:delete val="1"/>
        <c:axPos val="b"/>
        <c:numFmt formatCode="General" sourceLinked="1"/>
        <c:majorTickMark val="out"/>
        <c:minorTickMark val="none"/>
        <c:tickLblPos val="nextTo"/>
        <c:crossAx val="562933648"/>
        <c:crosses val="autoZero"/>
        <c:auto val="1"/>
        <c:lblAlgn val="ctr"/>
        <c:lblOffset val="100"/>
        <c:noMultiLvlLbl val="0"/>
      </c:catAx>
      <c:spPr>
        <a:noFill/>
        <a:ln>
          <a:noFill/>
        </a:ln>
        <a:effectLst/>
      </c:spPr>
    </c:plotArea>
    <c:legend>
      <c:legendPos val="r"/>
      <c:layout>
        <c:manualLayout>
          <c:xMode val="edge"/>
          <c:yMode val="edge"/>
          <c:x val="0.82291353360175379"/>
          <c:y val="0.38859634921224778"/>
          <c:w val="0.17708657861504076"/>
          <c:h val="0.21482171819975285"/>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200" b="0" i="0" u="none" strike="noStrike" kern="1200" baseline="0">
          <a:solidFill>
            <a:schemeClr val="tx1"/>
          </a:solidFill>
          <a:latin typeface="Candara" panose="020E0502030303020204" pitchFamily="34" charset="0"/>
          <a:ea typeface="+mn-ea"/>
          <a:cs typeface="+mn-cs"/>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730415566284138E-2"/>
          <c:y val="3.7184230485140114E-2"/>
          <c:w val="0.65511866011644515"/>
          <c:h val="0.83613839657534983"/>
        </c:manualLayout>
      </c:layout>
      <c:lineChart>
        <c:grouping val="standard"/>
        <c:varyColors val="0"/>
        <c:ser>
          <c:idx val="2"/>
          <c:order val="0"/>
          <c:tx>
            <c:v>5G investment</c:v>
          </c:tx>
          <c:spPr>
            <a:ln w="28575" cap="rnd">
              <a:solidFill>
                <a:schemeClr val="accent5"/>
              </a:solidFill>
              <a:round/>
            </a:ln>
            <a:effectLst/>
          </c:spPr>
          <c:marker>
            <c:symbol val="none"/>
          </c:marker>
          <c:dLbls>
            <c:dLbl>
              <c:idx val="1"/>
              <c:layout>
                <c:manualLayout>
                  <c:x val="-2.1637220479869254E-2"/>
                  <c:y val="1.3969729685730582E-2"/>
                </c:manualLayout>
              </c:layout>
              <c:tx>
                <c:rich>
                  <a:bodyPr/>
                  <a:lstStyle/>
                  <a:p>
                    <a:r>
                      <a:rPr lang="en-US"/>
                      <a:t>$4.9B</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1C7-4795-BA7F-75E89FBAF3A3}"/>
                </c:ext>
              </c:extLst>
            </c:dLbl>
            <c:dLbl>
              <c:idx val="8"/>
              <c:tx>
                <c:rich>
                  <a:bodyPr/>
                  <a:lstStyle/>
                  <a:p>
                    <a:r>
                      <a:rPr lang="en-US"/>
                      <a:t>$31.7B</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C7-4795-BA7F-75E89FBAF3A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OVERALL'!$C$65:$K$65</c:f>
              <c:numCache>
                <c:formatCode>"$"#,##0,," M"</c:formatCode>
                <c:ptCount val="9"/>
                <c:pt idx="0">
                  <c:v>22753554486.626141</c:v>
                </c:pt>
                <c:pt idx="1">
                  <c:v>4851573767.1000061</c:v>
                </c:pt>
                <c:pt idx="2">
                  <c:v>25521561088.664001</c:v>
                </c:pt>
                <c:pt idx="3">
                  <c:v>27135195044.375793</c:v>
                </c:pt>
                <c:pt idx="4">
                  <c:v>27133024510.615112</c:v>
                </c:pt>
                <c:pt idx="5">
                  <c:v>27954731901.380089</c:v>
                </c:pt>
                <c:pt idx="6">
                  <c:v>28784597912.6334</c:v>
                </c:pt>
                <c:pt idx="7">
                  <c:v>29911436070.117981</c:v>
                </c:pt>
                <c:pt idx="8">
                  <c:v>31742703230.68959</c:v>
                </c:pt>
              </c:numCache>
            </c:numRef>
          </c:val>
          <c:smooth val="0"/>
          <c:extLst>
            <c:ext xmlns:c16="http://schemas.microsoft.com/office/drawing/2014/chart" uri="{C3380CC4-5D6E-409C-BE32-E72D297353CC}">
              <c16:uniqueId val="{00000002-B1C7-4795-BA7F-75E89FBAF3A3}"/>
            </c:ext>
          </c:extLst>
        </c:ser>
        <c:ser>
          <c:idx val="0"/>
          <c:order val="1"/>
          <c:tx>
            <c:v>LTE maintenance</c:v>
          </c:tx>
          <c:spPr>
            <a:ln w="28575" cap="rnd">
              <a:solidFill>
                <a:srgbClr val="C00000"/>
              </a:solidFill>
              <a:round/>
            </a:ln>
            <a:effectLst/>
          </c:spPr>
          <c:marker>
            <c:symbol val="none"/>
          </c:marker>
          <c:dLbls>
            <c:dLbl>
              <c:idx val="0"/>
              <c:layout>
                <c:manualLayout>
                  <c:x val="-4.5228116311664922E-2"/>
                  <c:y val="-4.5401621478624407E-2"/>
                </c:manualLayout>
              </c:layout>
              <c:tx>
                <c:rich>
                  <a:bodyPr/>
                  <a:lstStyle/>
                  <a:p>
                    <a:r>
                      <a:rPr lang="en-US"/>
                      <a:t>$28.1B</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C7-4795-BA7F-75E89FBAF3A3}"/>
                </c:ext>
              </c:extLst>
            </c:dLbl>
            <c:dLbl>
              <c:idx val="8"/>
              <c:layout>
                <c:manualLayout>
                  <c:x val="0"/>
                  <c:y val="1.7462162107163164E-2"/>
                </c:manualLayout>
              </c:layout>
              <c:tx>
                <c:rich>
                  <a:bodyPr/>
                  <a:lstStyle/>
                  <a:p>
                    <a:r>
                      <a:rPr lang="en-US"/>
                      <a:t>$15.1B</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1C7-4795-BA7F-75E89FBAF3A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00000"/>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OVERALL'!$C$87:$K$87</c:f>
              <c:numCache>
                <c:formatCode>"$"#,##0,," M"</c:formatCode>
                <c:ptCount val="9"/>
                <c:pt idx="0">
                  <c:v>28103758850</c:v>
                </c:pt>
                <c:pt idx="1">
                  <c:v>29000622767.100006</c:v>
                </c:pt>
                <c:pt idx="2">
                  <c:v>28572130979.384949</c:v>
                </c:pt>
                <c:pt idx="3">
                  <c:v>23918253883.415894</c:v>
                </c:pt>
                <c:pt idx="4">
                  <c:v>20269640149.009403</c:v>
                </c:pt>
                <c:pt idx="5">
                  <c:v>17912330756.762783</c:v>
                </c:pt>
                <c:pt idx="6">
                  <c:v>16426412430.561466</c:v>
                </c:pt>
                <c:pt idx="7">
                  <c:v>15551388251.776756</c:v>
                </c:pt>
                <c:pt idx="8">
                  <c:v>15113634689.543678</c:v>
                </c:pt>
              </c:numCache>
            </c:numRef>
          </c:val>
          <c:smooth val="0"/>
          <c:extLst>
            <c:ext xmlns:c16="http://schemas.microsoft.com/office/drawing/2014/chart" uri="{C3380CC4-5D6E-409C-BE32-E72D297353CC}">
              <c16:uniqueId val="{00000006-B1C7-4795-BA7F-75E89FBAF3A3}"/>
            </c:ext>
          </c:extLst>
        </c:ser>
        <c:dLbls>
          <c:showLegendKey val="0"/>
          <c:showVal val="0"/>
          <c:showCatName val="0"/>
          <c:showSerName val="0"/>
          <c:showPercent val="0"/>
          <c:showBubbleSize val="0"/>
        </c:dLbls>
        <c:smooth val="0"/>
        <c:axId val="651991864"/>
        <c:axId val="651990264"/>
      </c:lineChart>
      <c:valAx>
        <c:axId val="651990264"/>
        <c:scaling>
          <c:orientation val="minMax"/>
        </c:scaling>
        <c:delete val="1"/>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Net  Cash Flow</a:t>
                </a:r>
              </a:p>
            </c:rich>
          </c:tx>
          <c:layout>
            <c:manualLayout>
              <c:xMode val="edge"/>
              <c:yMode val="edge"/>
              <c:x val="2.3304647848742546E-2"/>
              <c:y val="0.3081391676842172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quot; B&quot;" sourceLinked="0"/>
        <c:majorTickMark val="out"/>
        <c:minorTickMark val="none"/>
        <c:tickLblPos val="nextTo"/>
        <c:crossAx val="651991864"/>
        <c:crosses val="max"/>
        <c:crossBetween val="between"/>
      </c:valAx>
      <c:catAx>
        <c:axId val="651991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651990264"/>
        <c:crosses val="autoZero"/>
        <c:auto val="1"/>
        <c:lblAlgn val="ctr"/>
        <c:lblOffset val="100"/>
        <c:noMultiLvlLbl val="0"/>
      </c:catAx>
      <c:spPr>
        <a:noFill/>
        <a:ln>
          <a:noFill/>
        </a:ln>
        <a:effectLst/>
      </c:spPr>
    </c:plotArea>
    <c:legend>
      <c:legendPos val="r"/>
      <c:layout>
        <c:manualLayout>
          <c:xMode val="edge"/>
          <c:yMode val="edge"/>
          <c:x val="0.76415135398353307"/>
          <c:y val="0.25885909107658772"/>
          <c:w val="0.23388162597284243"/>
          <c:h val="0.2444950190213819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63353938234356"/>
          <c:y val="5.3633765753171192E-2"/>
          <c:w val="0.69184419996565849"/>
          <c:h val="0.82118446029755421"/>
        </c:manualLayout>
      </c:layout>
      <c:barChart>
        <c:barDir val="col"/>
        <c:grouping val="stacked"/>
        <c:varyColors val="0"/>
        <c:ser>
          <c:idx val="0"/>
          <c:order val="0"/>
          <c:tx>
            <c:strRef>
              <c:f>'4. New TMo Dense Urban'!$G$39</c:f>
              <c:strCache>
                <c:ptCount val="1"/>
                <c:pt idx="0">
                  <c:v>Capacity below 6 GHz</c:v>
                </c:pt>
              </c:strCache>
            </c:strRef>
          </c:tx>
          <c:spPr>
            <a:solidFill>
              <a:schemeClr val="bg1">
                <a:lumMod val="75000"/>
              </a:schemeClr>
            </a:solidFill>
            <a:ln>
              <a:noFill/>
            </a:ln>
            <a:effectLst/>
          </c:spPr>
          <c:invertIfNegative val="0"/>
          <c:cat>
            <c:numRef>
              <c:f>'4. New TMo Dense 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Dense Urban'!$H$39:$P$39</c:f>
              <c:numCache>
                <c:formatCode>_(* #,##0_);_(* \(#,##0\);_(* "-"??_);_(@_)</c:formatCode>
                <c:ptCount val="9"/>
                <c:pt idx="0">
                  <c:v>1279715760</c:v>
                </c:pt>
                <c:pt idx="1">
                  <c:v>1662382440</c:v>
                </c:pt>
                <c:pt idx="2">
                  <c:v>2033414280</c:v>
                </c:pt>
                <c:pt idx="3">
                  <c:v>2500644960</c:v>
                </c:pt>
                <c:pt idx="4">
                  <c:v>3213257040</c:v>
                </c:pt>
                <c:pt idx="5">
                  <c:v>3805350840</c:v>
                </c:pt>
                <c:pt idx="6">
                  <c:v>4538724840</c:v>
                </c:pt>
                <c:pt idx="7">
                  <c:v>5353746840</c:v>
                </c:pt>
                <c:pt idx="8">
                  <c:v>6049504440</c:v>
                </c:pt>
              </c:numCache>
            </c:numRef>
          </c:val>
          <c:extLst>
            <c:ext xmlns:c16="http://schemas.microsoft.com/office/drawing/2014/chart" uri="{C3380CC4-5D6E-409C-BE32-E72D297353CC}">
              <c16:uniqueId val="{00000000-9F36-4357-8EC5-33715B531906}"/>
            </c:ext>
          </c:extLst>
        </c:ser>
        <c:ser>
          <c:idx val="3"/>
          <c:order val="1"/>
          <c:tx>
            <c:strRef>
              <c:f>'4. New TMo Dense Urban'!$G$40</c:f>
              <c:strCache>
                <c:ptCount val="1"/>
                <c:pt idx="0">
                  <c:v>5G mm-wave capacity</c:v>
                </c:pt>
              </c:strCache>
            </c:strRef>
          </c:tx>
          <c:spPr>
            <a:solidFill>
              <a:schemeClr val="tx1"/>
            </a:solidFill>
            <a:ln>
              <a:noFill/>
            </a:ln>
            <a:effectLst/>
          </c:spPr>
          <c:invertIfNegative val="0"/>
          <c:cat>
            <c:numRef>
              <c:f>'4. New TMo Dense 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Dense Urban'!$H$40:$P$40</c:f>
              <c:numCache>
                <c:formatCode>_(* #,##0_);_(* \(#,##0\);_(* "-"??_);_(@_)</c:formatCode>
                <c:ptCount val="9"/>
                <c:pt idx="0">
                  <c:v>49207500</c:v>
                </c:pt>
                <c:pt idx="1">
                  <c:v>49207500</c:v>
                </c:pt>
                <c:pt idx="2">
                  <c:v>49207500</c:v>
                </c:pt>
                <c:pt idx="3">
                  <c:v>49207500</c:v>
                </c:pt>
                <c:pt idx="4">
                  <c:v>98415000</c:v>
                </c:pt>
                <c:pt idx="5">
                  <c:v>147622500</c:v>
                </c:pt>
                <c:pt idx="6">
                  <c:v>147622500</c:v>
                </c:pt>
                <c:pt idx="7">
                  <c:v>196830000</c:v>
                </c:pt>
                <c:pt idx="8">
                  <c:v>246037500</c:v>
                </c:pt>
              </c:numCache>
            </c:numRef>
          </c:val>
          <c:extLst>
            <c:ext xmlns:c16="http://schemas.microsoft.com/office/drawing/2014/chart" uri="{C3380CC4-5D6E-409C-BE32-E72D297353CC}">
              <c16:uniqueId val="{00000001-9F36-4357-8EC5-33715B531906}"/>
            </c:ext>
          </c:extLst>
        </c:ser>
        <c:dLbls>
          <c:showLegendKey val="0"/>
          <c:showVal val="0"/>
          <c:showCatName val="0"/>
          <c:showSerName val="0"/>
          <c:showPercent val="0"/>
          <c:showBubbleSize val="0"/>
        </c:dLbls>
        <c:gapWidth val="150"/>
        <c:overlap val="100"/>
        <c:axId val="220862336"/>
        <c:axId val="220863872"/>
      </c:barChart>
      <c:lineChart>
        <c:grouping val="standard"/>
        <c:varyColors val="0"/>
        <c:ser>
          <c:idx val="4"/>
          <c:order val="2"/>
          <c:tx>
            <c:strRef>
              <c:f>'4. New TMo Dense Urban'!$G$13</c:f>
              <c:strCache>
                <c:ptCount val="1"/>
                <c:pt idx="0">
                  <c:v>Demand (GB/mo)</c:v>
                </c:pt>
              </c:strCache>
            </c:strRef>
          </c:tx>
          <c:spPr>
            <a:ln w="28575" cap="rnd">
              <a:solidFill>
                <a:srgbClr val="C00000"/>
              </a:solidFill>
              <a:round/>
            </a:ln>
            <a:effectLst/>
          </c:spPr>
          <c:marker>
            <c:symbol val="none"/>
          </c:marker>
          <c:val>
            <c:numRef>
              <c:f>'4. New TMo Dense Urban'!$H$13:$P$13</c:f>
              <c:numCache>
                <c:formatCode>_(* #,##0_);_(* \(#,##0\);_(* "-"??_);_(@_)</c:formatCode>
                <c:ptCount val="9"/>
                <c:pt idx="0">
                  <c:v>486486000</c:v>
                </c:pt>
                <c:pt idx="1">
                  <c:v>669891222</c:v>
                </c:pt>
                <c:pt idx="2">
                  <c:v>920820700.79999995</c:v>
                </c:pt>
                <c:pt idx="3">
                  <c:v>1353647294.9999998</c:v>
                </c:pt>
                <c:pt idx="4">
                  <c:v>1986030446.3999996</c:v>
                </c:pt>
                <c:pt idx="5">
                  <c:v>2713935123.8999996</c:v>
                </c:pt>
                <c:pt idx="6">
                  <c:v>3568234702.0320001</c:v>
                </c:pt>
                <c:pt idx="7">
                  <c:v>4506923717.3960991</c:v>
                </c:pt>
                <c:pt idx="8">
                  <c:v>5459514945.8849993</c:v>
                </c:pt>
              </c:numCache>
            </c:numRef>
          </c:val>
          <c:smooth val="0"/>
          <c:extLst>
            <c:ext xmlns:c16="http://schemas.microsoft.com/office/drawing/2014/chart" uri="{C3380CC4-5D6E-409C-BE32-E72D297353CC}">
              <c16:uniqueId val="{00000002-9F36-4357-8EC5-33715B531906}"/>
            </c:ext>
          </c:extLst>
        </c:ser>
        <c:dLbls>
          <c:showLegendKey val="0"/>
          <c:showVal val="0"/>
          <c:showCatName val="0"/>
          <c:showSerName val="0"/>
          <c:showPercent val="0"/>
          <c:showBubbleSize val="0"/>
        </c:dLbls>
        <c:marker val="1"/>
        <c:smooth val="0"/>
        <c:axId val="220862336"/>
        <c:axId val="220863872"/>
      </c:lineChart>
      <c:catAx>
        <c:axId val="22086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20863872"/>
        <c:crosses val="autoZero"/>
        <c:auto val="1"/>
        <c:lblAlgn val="ctr"/>
        <c:lblOffset val="100"/>
        <c:noMultiLvlLbl val="0"/>
      </c:catAx>
      <c:valAx>
        <c:axId val="22086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Dense Urban 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20862336"/>
        <c:crosses val="autoZero"/>
        <c:crossBetween val="between"/>
      </c:valAx>
      <c:spPr>
        <a:noFill/>
        <a:ln>
          <a:noFill/>
        </a:ln>
        <a:effectLst/>
      </c:spPr>
    </c:plotArea>
    <c:legend>
      <c:legendPos val="r"/>
      <c:layout>
        <c:manualLayout>
          <c:xMode val="edge"/>
          <c:yMode val="edge"/>
          <c:x val="0.80331886084332915"/>
          <c:y val="0.20783903880471172"/>
          <c:w val="0.18499889616601664"/>
          <c:h val="0.513332696167447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solidFill>
            <a:ln>
              <a:noFill/>
            </a:ln>
            <a:effectLst/>
          </c:spPr>
          <c:invertIfNegative val="0"/>
          <c:dLbls>
            <c:dLbl>
              <c:idx val="0"/>
              <c:tx>
                <c:rich>
                  <a:bodyPr/>
                  <a:lstStyle/>
                  <a:p>
                    <a:r>
                      <a:rPr lang="en-US"/>
                      <a:t>1.5x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04-45A0-BB2F-9827166022E9}"/>
                </c:ext>
              </c:extLst>
            </c:dLbl>
            <c:dLbl>
              <c:idx val="1"/>
              <c:tx>
                <c:rich>
                  <a:bodyPr/>
                  <a:lstStyle/>
                  <a:p>
                    <a:r>
                      <a:rPr lang="en-US"/>
                      <a:t>1x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04-45A0-BB2F-9827166022E9}"/>
                </c:ext>
              </c:extLst>
            </c:dLbl>
            <c:dLbl>
              <c:idx val="2"/>
              <c:tx>
                <c:rich>
                  <a:bodyPr/>
                  <a:lstStyle/>
                  <a:p>
                    <a:r>
                      <a:rPr lang="en-US"/>
                      <a:t>5x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04-45A0-BB2F-9827166022E9}"/>
                </c:ext>
              </c:extLst>
            </c:dLbl>
            <c:dLbl>
              <c:idx val="3"/>
              <c:tx>
                <c:rich>
                  <a:bodyPr/>
                  <a:lstStyle/>
                  <a:p>
                    <a:r>
                      <a:rPr lang="en-US"/>
                      <a:t>7x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04-45A0-BB2F-9827166022E9}"/>
                </c:ext>
              </c:extLst>
            </c:dLbl>
            <c:dLbl>
              <c:idx val="4"/>
              <c:tx>
                <c:rich>
                  <a:bodyPr/>
                  <a:lstStyle/>
                  <a:p>
                    <a:r>
                      <a:rPr lang="en-US"/>
                      <a:t>7x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04-45A0-BB2F-9827166022E9}"/>
                </c:ext>
              </c:extLst>
            </c:dLbl>
            <c:dLbl>
              <c:idx val="5"/>
              <c:tx>
                <c:rich>
                  <a:bodyPr/>
                  <a:lstStyle/>
                  <a:p>
                    <a:r>
                      <a:rPr lang="en-US"/>
                      <a:t>~20x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04-45A0-BB2F-9827166022E9}"/>
                </c:ext>
              </c:extLst>
            </c:dLbl>
            <c:dLbl>
              <c:idx val="6"/>
              <c:tx>
                <c:rich>
                  <a:bodyPr/>
                  <a:lstStyle/>
                  <a:p>
                    <a:r>
                      <a:rPr lang="en-US"/>
                      <a:t>~6x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04-45A0-BB2F-9827166022E9}"/>
                </c:ext>
              </c:extLst>
            </c:dLbl>
            <c:dLbl>
              <c:idx val="7"/>
              <c:tx>
                <c:rich>
                  <a:bodyPr/>
                  <a:lstStyle/>
                  <a:p>
                    <a:r>
                      <a:rPr lang="en-US"/>
                      <a:t>~14x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BB-4878-9C8B-64BC8E8F87D7}"/>
                </c:ext>
              </c:extLst>
            </c:dLbl>
            <c:dLbl>
              <c:idx val="8"/>
              <c:tx>
                <c:rich>
                  <a:bodyPr/>
                  <a:lstStyle/>
                  <a:p>
                    <a:r>
                      <a:rPr lang="en-US"/>
                      <a:t>6x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BB-4878-9C8B-64BC8E8F87D7}"/>
                </c:ext>
              </c:extLst>
            </c:dLbl>
            <c:dLbl>
              <c:idx val="9"/>
              <c:tx>
                <c:rich>
                  <a:bodyPr/>
                  <a:lstStyle/>
                  <a:p>
                    <a:r>
                      <a:rPr lang="en-US"/>
                      <a:t>~14x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BB-4878-9C8B-64BC8E8F87D7}"/>
                </c:ext>
              </c:extLst>
            </c:dLbl>
            <c:dLbl>
              <c:idx val="10"/>
              <c:tx>
                <c:rich>
                  <a:bodyPr/>
                  <a:lstStyle/>
                  <a:p>
                    <a:r>
                      <a:rPr lang="en-US"/>
                      <a:t>~40x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BB-4878-9C8B-64BC8E8F87D7}"/>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New TMo Dense Urban'!$G$16:$G$26</c:f>
              <c:strCache>
                <c:ptCount val="11"/>
                <c:pt idx="0">
                  <c:v>5G at 600 MHz</c:v>
                </c:pt>
                <c:pt idx="1">
                  <c:v>LTE at 700-850 MHz</c:v>
                </c:pt>
                <c:pt idx="2">
                  <c:v>LTE at 1900-2300 MHz</c:v>
                </c:pt>
                <c:pt idx="3">
                  <c:v>LTE at 2.5 GHz</c:v>
                </c:pt>
                <c:pt idx="4">
                  <c:v>5G (8T) at 2.5 GHz</c:v>
                </c:pt>
                <c:pt idx="5">
                  <c:v>5G (64T) at 2.5 GHz</c:v>
                </c:pt>
                <c:pt idx="6">
                  <c:v>5G (64T) at 3.5 GHz CBRS</c:v>
                </c:pt>
                <c:pt idx="7">
                  <c:v>5G (64T) at 3.7 GHz</c:v>
                </c:pt>
                <c:pt idx="8">
                  <c:v>Small Cells, LTE</c:v>
                </c:pt>
                <c:pt idx="9">
                  <c:v>Small Cells, 5G</c:v>
                </c:pt>
                <c:pt idx="10">
                  <c:v>5G mm-wave</c:v>
                </c:pt>
              </c:strCache>
            </c:strRef>
          </c:cat>
          <c:val>
            <c:numRef>
              <c:f>('4. New TMo Dense Urban'!$D$12,'4. New TMo Dense Urban'!$D$16,'4. New TMo Dense Urban'!$D$20,'4. New TMo Dense Urban'!$D$24,'4. New TMo Dense Urban'!$D$28,'4. New TMo Dense Urban'!$D$33,'4. New TMo Dense Urban'!$D$36,'4. New TMo Dense Urban'!$D$40,'4. New TMo Dense Urban'!$D$44,'4. New TMo Dense Urban'!$D$48,'4. New TMo Dense Urban'!$D$53)</c:f>
              <c:numCache>
                <c:formatCode>General</c:formatCode>
                <c:ptCount val="11"/>
                <c:pt idx="0">
                  <c:v>8748</c:v>
                </c:pt>
                <c:pt idx="1">
                  <c:v>5832</c:v>
                </c:pt>
                <c:pt idx="2">
                  <c:v>29160</c:v>
                </c:pt>
                <c:pt idx="3">
                  <c:v>40824</c:v>
                </c:pt>
                <c:pt idx="4">
                  <c:v>40824</c:v>
                </c:pt>
                <c:pt idx="5">
                  <c:v>94209.230769230766</c:v>
                </c:pt>
                <c:pt idx="6" formatCode="0">
                  <c:v>33242.400000000001</c:v>
                </c:pt>
                <c:pt idx="7">
                  <c:v>83106</c:v>
                </c:pt>
                <c:pt idx="8">
                  <c:v>34992</c:v>
                </c:pt>
                <c:pt idx="9">
                  <c:v>81648</c:v>
                </c:pt>
                <c:pt idx="10">
                  <c:v>123018.75</c:v>
                </c:pt>
              </c:numCache>
            </c:numRef>
          </c:val>
          <c:extLst>
            <c:ext xmlns:c16="http://schemas.microsoft.com/office/drawing/2014/chart" uri="{C3380CC4-5D6E-409C-BE32-E72D297353CC}">
              <c16:uniqueId val="{00000007-8F04-45A0-BB2F-9827166022E9}"/>
            </c:ext>
          </c:extLst>
        </c:ser>
        <c:dLbls>
          <c:showLegendKey val="0"/>
          <c:showVal val="0"/>
          <c:showCatName val="0"/>
          <c:showSerName val="0"/>
          <c:showPercent val="0"/>
          <c:showBubbleSize val="0"/>
        </c:dLbls>
        <c:gapWidth val="219"/>
        <c:overlap val="-27"/>
        <c:axId val="233710720"/>
        <c:axId val="233712256"/>
      </c:barChart>
      <c:catAx>
        <c:axId val="23371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3712256"/>
        <c:crosses val="autoZero"/>
        <c:auto val="1"/>
        <c:lblAlgn val="ctr"/>
        <c:lblOffset val="100"/>
        <c:noMultiLvlLbl val="0"/>
      </c:catAx>
      <c:valAx>
        <c:axId val="233712256"/>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from a BS site (relative to LTE@700/850)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General" sourceLinked="1"/>
        <c:majorTickMark val="none"/>
        <c:minorTickMark val="none"/>
        <c:tickLblPos val="nextTo"/>
        <c:crossAx val="23371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63353938234356"/>
          <c:y val="5.3633765753171192E-2"/>
          <c:w val="0.69184419996565849"/>
          <c:h val="0.82118446029755421"/>
        </c:manualLayout>
      </c:layout>
      <c:barChart>
        <c:barDir val="col"/>
        <c:grouping val="stacked"/>
        <c:varyColors val="0"/>
        <c:ser>
          <c:idx val="0"/>
          <c:order val="0"/>
          <c:tx>
            <c:strRef>
              <c:f>'4. New TMo Urban'!$G$39</c:f>
              <c:strCache>
                <c:ptCount val="1"/>
                <c:pt idx="0">
                  <c:v>Capacity below 6 GHz</c:v>
                </c:pt>
              </c:strCache>
            </c:strRef>
          </c:tx>
          <c:spPr>
            <a:solidFill>
              <a:schemeClr val="bg1">
                <a:lumMod val="75000"/>
              </a:schemeClr>
            </a:solidFill>
            <a:ln>
              <a:noFill/>
            </a:ln>
            <a:effectLst/>
          </c:spPr>
          <c:invertIfNegative val="0"/>
          <c:cat>
            <c:numRef>
              <c:f>'4. New TMo 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Urban'!$H$39:$P$39</c:f>
              <c:numCache>
                <c:formatCode>_(* #,##0_);_(* \(#,##0\);_(* "-"??_);_(@_)</c:formatCode>
                <c:ptCount val="9"/>
                <c:pt idx="0">
                  <c:v>1145805750</c:v>
                </c:pt>
                <c:pt idx="1">
                  <c:v>1182073500</c:v>
                </c:pt>
                <c:pt idx="2">
                  <c:v>1528749450</c:v>
                </c:pt>
                <c:pt idx="3">
                  <c:v>2214774900</c:v>
                </c:pt>
                <c:pt idx="4">
                  <c:v>2990649600</c:v>
                </c:pt>
                <c:pt idx="5">
                  <c:v>4154315850</c:v>
                </c:pt>
                <c:pt idx="6">
                  <c:v>5190953850</c:v>
                </c:pt>
                <c:pt idx="7">
                  <c:v>5982647850</c:v>
                </c:pt>
                <c:pt idx="8">
                  <c:v>6428795850</c:v>
                </c:pt>
              </c:numCache>
            </c:numRef>
          </c:val>
          <c:extLst>
            <c:ext xmlns:c16="http://schemas.microsoft.com/office/drawing/2014/chart" uri="{C3380CC4-5D6E-409C-BE32-E72D297353CC}">
              <c16:uniqueId val="{00000000-EAF9-4BA4-88F0-67989B07A38B}"/>
            </c:ext>
          </c:extLst>
        </c:ser>
        <c:ser>
          <c:idx val="3"/>
          <c:order val="1"/>
          <c:tx>
            <c:strRef>
              <c:f>'4. New TMo Urban'!$G$40</c:f>
              <c:strCache>
                <c:ptCount val="1"/>
                <c:pt idx="0">
                  <c:v>5G mm-wave capacity</c:v>
                </c:pt>
              </c:strCache>
            </c:strRef>
          </c:tx>
          <c:spPr>
            <a:solidFill>
              <a:schemeClr val="tx1"/>
            </a:solidFill>
            <a:ln>
              <a:noFill/>
            </a:ln>
            <a:effectLst/>
          </c:spPr>
          <c:invertIfNegative val="0"/>
          <c:cat>
            <c:numRef>
              <c:f>'4. New TMo 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Urban'!$H$40:$P$40</c:f>
              <c:numCache>
                <c:formatCode>_(* #,##0_);_(* \(#,##0\);_(* "-"??_);_(@_)</c:formatCode>
                <c:ptCount val="9"/>
                <c:pt idx="0">
                  <c:v>36905625</c:v>
                </c:pt>
                <c:pt idx="1">
                  <c:v>36905625</c:v>
                </c:pt>
                <c:pt idx="2">
                  <c:v>36905625</c:v>
                </c:pt>
                <c:pt idx="3">
                  <c:v>36905625</c:v>
                </c:pt>
                <c:pt idx="4">
                  <c:v>36905625</c:v>
                </c:pt>
                <c:pt idx="5">
                  <c:v>73811250</c:v>
                </c:pt>
                <c:pt idx="6">
                  <c:v>110716875</c:v>
                </c:pt>
                <c:pt idx="7">
                  <c:v>110716875</c:v>
                </c:pt>
                <c:pt idx="8">
                  <c:v>110716875</c:v>
                </c:pt>
              </c:numCache>
            </c:numRef>
          </c:val>
          <c:extLst>
            <c:ext xmlns:c16="http://schemas.microsoft.com/office/drawing/2014/chart" uri="{C3380CC4-5D6E-409C-BE32-E72D297353CC}">
              <c16:uniqueId val="{00000001-EAF9-4BA4-88F0-67989B07A38B}"/>
            </c:ext>
          </c:extLst>
        </c:ser>
        <c:dLbls>
          <c:showLegendKey val="0"/>
          <c:showVal val="0"/>
          <c:showCatName val="0"/>
          <c:showSerName val="0"/>
          <c:showPercent val="0"/>
          <c:showBubbleSize val="0"/>
        </c:dLbls>
        <c:gapWidth val="150"/>
        <c:overlap val="100"/>
        <c:axId val="234019456"/>
        <c:axId val="234021248"/>
      </c:barChart>
      <c:lineChart>
        <c:grouping val="standard"/>
        <c:varyColors val="0"/>
        <c:ser>
          <c:idx val="4"/>
          <c:order val="2"/>
          <c:tx>
            <c:strRef>
              <c:f>'4. New TMo Urban'!$G$13</c:f>
              <c:strCache>
                <c:ptCount val="1"/>
                <c:pt idx="0">
                  <c:v>Demand (GB/mo)</c:v>
                </c:pt>
              </c:strCache>
            </c:strRef>
          </c:tx>
          <c:spPr>
            <a:ln w="28575" cap="rnd">
              <a:solidFill>
                <a:srgbClr val="C00000"/>
              </a:solidFill>
              <a:round/>
            </a:ln>
            <a:effectLst/>
          </c:spPr>
          <c:marker>
            <c:symbol val="none"/>
          </c:marker>
          <c:val>
            <c:numRef>
              <c:f>'4. New TMo Urban'!$H$13:$P$13</c:f>
              <c:numCache>
                <c:formatCode>_(* #,##0_);_(* \(#,##0\);_(* "-"??_);_(@_)</c:formatCode>
                <c:ptCount val="9"/>
                <c:pt idx="0">
                  <c:v>474323850</c:v>
                </c:pt>
                <c:pt idx="1">
                  <c:v>653143941.45000005</c:v>
                </c:pt>
                <c:pt idx="2">
                  <c:v>897800183.27999985</c:v>
                </c:pt>
                <c:pt idx="3">
                  <c:v>1275812575.5374997</c:v>
                </c:pt>
                <c:pt idx="4">
                  <c:v>1809439239.2075996</c:v>
                </c:pt>
                <c:pt idx="5">
                  <c:v>2472621059.133224</c:v>
                </c:pt>
                <c:pt idx="6">
                  <c:v>3250959166.4429884</c:v>
                </c:pt>
                <c:pt idx="7">
                  <c:v>4106183083.5242953</c:v>
                </c:pt>
                <c:pt idx="8">
                  <c:v>4974073075.280057</c:v>
                </c:pt>
              </c:numCache>
            </c:numRef>
          </c:val>
          <c:smooth val="0"/>
          <c:extLst>
            <c:ext xmlns:c16="http://schemas.microsoft.com/office/drawing/2014/chart" uri="{C3380CC4-5D6E-409C-BE32-E72D297353CC}">
              <c16:uniqueId val="{00000002-EAF9-4BA4-88F0-67989B07A38B}"/>
            </c:ext>
          </c:extLst>
        </c:ser>
        <c:dLbls>
          <c:showLegendKey val="0"/>
          <c:showVal val="0"/>
          <c:showCatName val="0"/>
          <c:showSerName val="0"/>
          <c:showPercent val="0"/>
          <c:showBubbleSize val="0"/>
        </c:dLbls>
        <c:marker val="1"/>
        <c:smooth val="0"/>
        <c:axId val="234019456"/>
        <c:axId val="234021248"/>
      </c:lineChart>
      <c:catAx>
        <c:axId val="23401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4021248"/>
        <c:crosses val="autoZero"/>
        <c:auto val="1"/>
        <c:lblAlgn val="ctr"/>
        <c:lblOffset val="100"/>
        <c:noMultiLvlLbl val="0"/>
      </c:catAx>
      <c:valAx>
        <c:axId val="23402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Urban Network 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4019456"/>
        <c:crosses val="autoZero"/>
        <c:crossBetween val="between"/>
      </c:valAx>
      <c:spPr>
        <a:noFill/>
        <a:ln>
          <a:noFill/>
        </a:ln>
        <a:effectLst/>
      </c:spPr>
    </c:plotArea>
    <c:legend>
      <c:legendPos val="r"/>
      <c:layout>
        <c:manualLayout>
          <c:xMode val="edge"/>
          <c:yMode val="edge"/>
          <c:x val="0.80331886084332915"/>
          <c:y val="0.20783903880471172"/>
          <c:w val="0.18499889616601664"/>
          <c:h val="0.5174895489520148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56810862959838"/>
          <c:y val="5.3633765753171192E-2"/>
          <c:w val="0.67790972978183639"/>
          <c:h val="0.82118446029755421"/>
        </c:manualLayout>
      </c:layout>
      <c:barChart>
        <c:barDir val="col"/>
        <c:grouping val="stacked"/>
        <c:varyColors val="0"/>
        <c:ser>
          <c:idx val="0"/>
          <c:order val="0"/>
          <c:tx>
            <c:strRef>
              <c:f>'4. New TMo Suburban'!$G$39</c:f>
              <c:strCache>
                <c:ptCount val="1"/>
                <c:pt idx="0">
                  <c:v>Capacity below 6 GHz</c:v>
                </c:pt>
              </c:strCache>
            </c:strRef>
          </c:tx>
          <c:spPr>
            <a:solidFill>
              <a:schemeClr val="bg1">
                <a:lumMod val="75000"/>
              </a:schemeClr>
            </a:solidFill>
            <a:ln>
              <a:noFill/>
            </a:ln>
            <a:effectLst/>
          </c:spPr>
          <c:invertIfNegative val="0"/>
          <c:cat>
            <c:numRef>
              <c:f>'4. New TMo Suburban'!$H$8:$P$8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Suburban'!$H$39:$P$39</c:f>
              <c:numCache>
                <c:formatCode>_(* #,##0_);_(* \(#,##0\);_(* "-"??_);_(@_)</c:formatCode>
                <c:ptCount val="9"/>
                <c:pt idx="0">
                  <c:v>627158700</c:v>
                </c:pt>
                <c:pt idx="1">
                  <c:v>771865200</c:v>
                </c:pt>
                <c:pt idx="2">
                  <c:v>1045422450</c:v>
                </c:pt>
                <c:pt idx="3">
                  <c:v>1350363150</c:v>
                </c:pt>
                <c:pt idx="4">
                  <c:v>1800921600</c:v>
                </c:pt>
                <c:pt idx="5">
                  <c:v>2425820400</c:v>
                </c:pt>
                <c:pt idx="6">
                  <c:v>3082029750</c:v>
                </c:pt>
                <c:pt idx="7">
                  <c:v>3557702250</c:v>
                </c:pt>
                <c:pt idx="8">
                  <c:v>3893242725</c:v>
                </c:pt>
              </c:numCache>
            </c:numRef>
          </c:val>
          <c:extLst>
            <c:ext xmlns:c16="http://schemas.microsoft.com/office/drawing/2014/chart" uri="{C3380CC4-5D6E-409C-BE32-E72D297353CC}">
              <c16:uniqueId val="{00000000-961F-4AFB-B608-74EE6C785F4F}"/>
            </c:ext>
          </c:extLst>
        </c:ser>
        <c:ser>
          <c:idx val="3"/>
          <c:order val="1"/>
          <c:tx>
            <c:strRef>
              <c:f>'4. New TMo Suburban'!$G$40</c:f>
              <c:strCache>
                <c:ptCount val="1"/>
                <c:pt idx="0">
                  <c:v>5G mm-wave capacity</c:v>
                </c:pt>
              </c:strCache>
            </c:strRef>
          </c:tx>
          <c:spPr>
            <a:solidFill>
              <a:schemeClr val="tx1"/>
            </a:solidFill>
            <a:ln>
              <a:noFill/>
            </a:ln>
            <a:effectLst/>
          </c:spPr>
          <c:invertIfNegative val="0"/>
          <c:cat>
            <c:numRef>
              <c:f>'4. New TMo Suburban'!$H$8:$P$8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Suburban'!$H$40:$P$40</c:f>
              <c:numCache>
                <c:formatCode>_(* #,##0_);_(* \(#,##0\);_(* "-"??_);_(@_)</c:formatCode>
                <c:ptCount val="9"/>
                <c:pt idx="0">
                  <c:v>36905625</c:v>
                </c:pt>
                <c:pt idx="1">
                  <c:v>36905625</c:v>
                </c:pt>
                <c:pt idx="2">
                  <c:v>36905625</c:v>
                </c:pt>
                <c:pt idx="3">
                  <c:v>36905625</c:v>
                </c:pt>
                <c:pt idx="4">
                  <c:v>36905625</c:v>
                </c:pt>
                <c:pt idx="5">
                  <c:v>36905625</c:v>
                </c:pt>
                <c:pt idx="6">
                  <c:v>36905625</c:v>
                </c:pt>
                <c:pt idx="7">
                  <c:v>36905625</c:v>
                </c:pt>
                <c:pt idx="8">
                  <c:v>36905625</c:v>
                </c:pt>
              </c:numCache>
            </c:numRef>
          </c:val>
          <c:extLst>
            <c:ext xmlns:c16="http://schemas.microsoft.com/office/drawing/2014/chart" uri="{C3380CC4-5D6E-409C-BE32-E72D297353CC}">
              <c16:uniqueId val="{00000001-961F-4AFB-B608-74EE6C785F4F}"/>
            </c:ext>
          </c:extLst>
        </c:ser>
        <c:dLbls>
          <c:showLegendKey val="0"/>
          <c:showVal val="0"/>
          <c:showCatName val="0"/>
          <c:showSerName val="0"/>
          <c:showPercent val="0"/>
          <c:showBubbleSize val="0"/>
        </c:dLbls>
        <c:gapWidth val="150"/>
        <c:overlap val="100"/>
        <c:axId val="246212864"/>
        <c:axId val="334958592"/>
      </c:barChart>
      <c:lineChart>
        <c:grouping val="standard"/>
        <c:varyColors val="0"/>
        <c:ser>
          <c:idx val="4"/>
          <c:order val="2"/>
          <c:tx>
            <c:strRef>
              <c:f>'4. New TMo Suburban'!$G$13</c:f>
              <c:strCache>
                <c:ptCount val="1"/>
                <c:pt idx="0">
                  <c:v>Demand (GB/mo)</c:v>
                </c:pt>
              </c:strCache>
            </c:strRef>
          </c:tx>
          <c:spPr>
            <a:ln w="28575" cap="rnd">
              <a:solidFill>
                <a:srgbClr val="C00000"/>
              </a:solidFill>
              <a:round/>
            </a:ln>
            <a:effectLst/>
          </c:spPr>
          <c:marker>
            <c:symbol val="none"/>
          </c:marker>
          <c:val>
            <c:numRef>
              <c:f>'4. New TMo Suburban'!$H$13:$P$13</c:f>
              <c:numCache>
                <c:formatCode>_(* #,##0_);_(* \(#,##0\);_(* "-"??_);_(@_)</c:formatCode>
                <c:ptCount val="9"/>
                <c:pt idx="0">
                  <c:v>482390999.99999994</c:v>
                </c:pt>
                <c:pt idx="1">
                  <c:v>640529106.75000012</c:v>
                </c:pt>
                <c:pt idx="2">
                  <c:v>849015051.30000019</c:v>
                </c:pt>
                <c:pt idx="3">
                  <c:v>1123280823.2343752</c:v>
                </c:pt>
                <c:pt idx="4">
                  <c:v>1483239342.1365006</c:v>
                </c:pt>
                <c:pt idx="5">
                  <c:v>1954476841.4611182</c:v>
                </c:pt>
                <c:pt idx="6">
                  <c:v>2474537635.7977295</c:v>
                </c:pt>
                <c:pt idx="7">
                  <c:v>3005297838.93048</c:v>
                </c:pt>
                <c:pt idx="8">
                  <c:v>3640502812.4053435</c:v>
                </c:pt>
              </c:numCache>
            </c:numRef>
          </c:val>
          <c:smooth val="0"/>
          <c:extLst>
            <c:ext xmlns:c16="http://schemas.microsoft.com/office/drawing/2014/chart" uri="{C3380CC4-5D6E-409C-BE32-E72D297353CC}">
              <c16:uniqueId val="{00000002-961F-4AFB-B608-74EE6C785F4F}"/>
            </c:ext>
          </c:extLst>
        </c:ser>
        <c:dLbls>
          <c:showLegendKey val="0"/>
          <c:showVal val="0"/>
          <c:showCatName val="0"/>
          <c:showSerName val="0"/>
          <c:showPercent val="0"/>
          <c:showBubbleSize val="0"/>
        </c:dLbls>
        <c:marker val="1"/>
        <c:smooth val="0"/>
        <c:axId val="246212864"/>
        <c:axId val="334958592"/>
      </c:lineChart>
      <c:catAx>
        <c:axId val="24621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34958592"/>
        <c:crosses val="autoZero"/>
        <c:auto val="1"/>
        <c:lblAlgn val="ctr"/>
        <c:lblOffset val="100"/>
        <c:noMultiLvlLbl val="0"/>
      </c:catAx>
      <c:valAx>
        <c:axId val="33495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Suburban Network Capacity (GB/mo)</a:t>
                </a:r>
              </a:p>
            </c:rich>
          </c:tx>
          <c:layout>
            <c:manualLayout>
              <c:xMode val="edge"/>
              <c:yMode val="edge"/>
              <c:x val="3.8750157723267576E-3"/>
              <c:y val="0.151345016697815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46212864"/>
        <c:crosses val="autoZero"/>
        <c:crossBetween val="between"/>
      </c:valAx>
      <c:spPr>
        <a:noFill/>
        <a:ln>
          <a:noFill/>
        </a:ln>
        <a:effectLst/>
      </c:spPr>
    </c:plotArea>
    <c:legend>
      <c:legendPos val="r"/>
      <c:layout>
        <c:manualLayout>
          <c:xMode val="edge"/>
          <c:yMode val="edge"/>
          <c:x val="0.80331886084332915"/>
          <c:y val="0.22030959715841472"/>
          <c:w val="0.18499889616601664"/>
          <c:h val="0.5465875184439885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67241917131098"/>
          <c:y val="5.3633765753171192E-2"/>
          <c:w val="0.67580531907773012"/>
          <c:h val="0.82118446029755421"/>
        </c:manualLayout>
      </c:layout>
      <c:barChart>
        <c:barDir val="col"/>
        <c:grouping val="stacked"/>
        <c:varyColors val="0"/>
        <c:ser>
          <c:idx val="0"/>
          <c:order val="0"/>
          <c:tx>
            <c:strRef>
              <c:f>'4. New TMo Rural'!$G$39</c:f>
              <c:strCache>
                <c:ptCount val="1"/>
                <c:pt idx="0">
                  <c:v>Capacity below 6 GHz</c:v>
                </c:pt>
              </c:strCache>
            </c:strRef>
          </c:tx>
          <c:spPr>
            <a:solidFill>
              <a:schemeClr val="bg1">
                <a:lumMod val="75000"/>
              </a:schemeClr>
            </a:solidFill>
            <a:ln>
              <a:noFill/>
            </a:ln>
            <a:effectLst/>
          </c:spPr>
          <c:invertIfNegative val="0"/>
          <c:cat>
            <c:numRef>
              <c:f>'4. New TMo Rural'!$H$8:$P$8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Rural'!$H$39:$P$39</c:f>
              <c:numCache>
                <c:formatCode>_(* #,##0_);_(* \(#,##0\);_(* "-"??_);_(@_)</c:formatCode>
                <c:ptCount val="9"/>
                <c:pt idx="0">
                  <c:v>436481460</c:v>
                </c:pt>
                <c:pt idx="1">
                  <c:v>517531680</c:v>
                </c:pt>
                <c:pt idx="2">
                  <c:v>598581900</c:v>
                </c:pt>
                <c:pt idx="3">
                  <c:v>678888540</c:v>
                </c:pt>
                <c:pt idx="4">
                  <c:v>971859060</c:v>
                </c:pt>
                <c:pt idx="5">
                  <c:v>1262598840</c:v>
                </c:pt>
                <c:pt idx="6">
                  <c:v>1511698140</c:v>
                </c:pt>
                <c:pt idx="7">
                  <c:v>1753361640</c:v>
                </c:pt>
                <c:pt idx="8">
                  <c:v>1965281940</c:v>
                </c:pt>
              </c:numCache>
            </c:numRef>
          </c:val>
          <c:extLst>
            <c:ext xmlns:c16="http://schemas.microsoft.com/office/drawing/2014/chart" uri="{C3380CC4-5D6E-409C-BE32-E72D297353CC}">
              <c16:uniqueId val="{00000000-9B97-4C31-BCC8-BB2AC7E872DF}"/>
            </c:ext>
          </c:extLst>
        </c:ser>
        <c:ser>
          <c:idx val="3"/>
          <c:order val="1"/>
          <c:tx>
            <c:strRef>
              <c:f>'4. New TMo Rural'!$G$40</c:f>
              <c:strCache>
                <c:ptCount val="1"/>
                <c:pt idx="0">
                  <c:v>5G mm-wave capacity</c:v>
                </c:pt>
              </c:strCache>
            </c:strRef>
          </c:tx>
          <c:spPr>
            <a:solidFill>
              <a:schemeClr val="tx1"/>
            </a:solidFill>
            <a:ln>
              <a:noFill/>
            </a:ln>
            <a:effectLst/>
          </c:spPr>
          <c:invertIfNegative val="0"/>
          <c:cat>
            <c:numRef>
              <c:f>'4. New TMo Rural'!$H$8:$P$8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'4. New TMo Rural'!$H$40:$P$40</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9B97-4C31-BCC8-BB2AC7E872DF}"/>
            </c:ext>
          </c:extLst>
        </c:ser>
        <c:dLbls>
          <c:showLegendKey val="0"/>
          <c:showVal val="0"/>
          <c:showCatName val="0"/>
          <c:showSerName val="0"/>
          <c:showPercent val="0"/>
          <c:showBubbleSize val="0"/>
        </c:dLbls>
        <c:gapWidth val="150"/>
        <c:overlap val="100"/>
        <c:axId val="347015040"/>
        <c:axId val="347016576"/>
      </c:barChart>
      <c:lineChart>
        <c:grouping val="standard"/>
        <c:varyColors val="0"/>
        <c:ser>
          <c:idx val="4"/>
          <c:order val="2"/>
          <c:tx>
            <c:strRef>
              <c:f>'4. New TMo Rural'!$G$13</c:f>
              <c:strCache>
                <c:ptCount val="1"/>
                <c:pt idx="0">
                  <c:v>Demand (GB/mo)</c:v>
                </c:pt>
              </c:strCache>
            </c:strRef>
          </c:tx>
          <c:spPr>
            <a:ln w="28575" cap="rnd">
              <a:solidFill>
                <a:srgbClr val="C00000"/>
              </a:solidFill>
              <a:round/>
            </a:ln>
            <a:effectLst/>
          </c:spPr>
          <c:marker>
            <c:symbol val="none"/>
          </c:marker>
          <c:val>
            <c:numRef>
              <c:f>'4. New TMo Rural'!$H$13:$P$13</c:f>
              <c:numCache>
                <c:formatCode>_(* #,##0_);_(* \(#,##0\);_(* "-"??_);_(@_)</c:formatCode>
                <c:ptCount val="9"/>
                <c:pt idx="0">
                  <c:v>73710000</c:v>
                </c:pt>
                <c:pt idx="1">
                  <c:v>107661089.25000001</c:v>
                </c:pt>
                <c:pt idx="2">
                  <c:v>168649848.90000001</c:v>
                </c:pt>
                <c:pt idx="3">
                  <c:v>257458253.20312506</c:v>
                </c:pt>
                <c:pt idx="4">
                  <c:v>385289676.31050009</c:v>
                </c:pt>
                <c:pt idx="5">
                  <c:v>546412880.40848446</c:v>
                </c:pt>
                <c:pt idx="6">
                  <c:v>764627928.20914543</c:v>
                </c:pt>
                <c:pt idx="7">
                  <c:v>1017073066.0330656</c:v>
                </c:pt>
                <c:pt idx="8">
                  <c:v>1339177605.0161138</c:v>
                </c:pt>
              </c:numCache>
            </c:numRef>
          </c:val>
          <c:smooth val="0"/>
          <c:extLst>
            <c:ext xmlns:c16="http://schemas.microsoft.com/office/drawing/2014/chart" uri="{C3380CC4-5D6E-409C-BE32-E72D297353CC}">
              <c16:uniqueId val="{00000002-9B97-4C31-BCC8-BB2AC7E872DF}"/>
            </c:ext>
          </c:extLst>
        </c:ser>
        <c:dLbls>
          <c:showLegendKey val="0"/>
          <c:showVal val="0"/>
          <c:showCatName val="0"/>
          <c:showSerName val="0"/>
          <c:showPercent val="0"/>
          <c:showBubbleSize val="0"/>
        </c:dLbls>
        <c:marker val="1"/>
        <c:smooth val="0"/>
        <c:axId val="347015040"/>
        <c:axId val="347016576"/>
      </c:lineChart>
      <c:catAx>
        <c:axId val="34701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47016576"/>
        <c:crosses val="autoZero"/>
        <c:auto val="1"/>
        <c:lblAlgn val="ctr"/>
        <c:lblOffset val="100"/>
        <c:noMultiLvlLbl val="0"/>
      </c:catAx>
      <c:valAx>
        <c:axId val="34701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Rural Network 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47015040"/>
        <c:crosses val="autoZero"/>
        <c:crossBetween val="between"/>
      </c:valAx>
      <c:spPr>
        <a:noFill/>
        <a:ln>
          <a:noFill/>
        </a:ln>
        <a:effectLst/>
      </c:spPr>
    </c:plotArea>
    <c:legend>
      <c:legendPos val="r"/>
      <c:layout>
        <c:manualLayout>
          <c:xMode val="edge"/>
          <c:yMode val="edge"/>
          <c:x val="0.80331886084332915"/>
          <c:y val="0.27487152334281478"/>
          <c:w val="0.18499889616601664"/>
          <c:h val="0.5098848909774351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55875260292374"/>
          <c:y val="5.3633765753171192E-2"/>
          <c:w val="0.67591908580851101"/>
          <c:h val="0.82118446029755421"/>
        </c:manualLayout>
      </c:layout>
      <c:barChart>
        <c:barDir val="col"/>
        <c:grouping val="stacked"/>
        <c:varyColors val="0"/>
        <c:ser>
          <c:idx val="0"/>
          <c:order val="0"/>
          <c:tx>
            <c:strRef>
              <c:f>'5. EU MNO'!$G$29</c:f>
              <c:strCache>
                <c:ptCount val="1"/>
                <c:pt idx="0">
                  <c:v>Capacity below 6 GHz</c:v>
                </c:pt>
              </c:strCache>
            </c:strRef>
          </c:tx>
          <c:spPr>
            <a:solidFill>
              <a:schemeClr val="bg1">
                <a:lumMod val="75000"/>
              </a:schemeClr>
            </a:solidFill>
            <a:ln>
              <a:noFill/>
            </a:ln>
            <a:effectLst/>
          </c:spPr>
          <c:invertIfNegative val="0"/>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MNO'!$H$29:$P$29</c:f>
              <c:numCache>
                <c:formatCode>_(* #,##0_);_(* \(#,##0\);_(* "-"??_);_(@_)</c:formatCode>
                <c:ptCount val="9"/>
                <c:pt idx="0">
                  <c:v>902834424</c:v>
                </c:pt>
                <c:pt idx="1">
                  <c:v>1010146081.6800001</c:v>
                </c:pt>
                <c:pt idx="2">
                  <c:v>1119315431.3976002</c:v>
                </c:pt>
                <c:pt idx="3">
                  <c:v>1295965871.595432</c:v>
                </c:pt>
                <c:pt idx="4">
                  <c:v>1475413863.4071126</c:v>
                </c:pt>
                <c:pt idx="5">
                  <c:v>1765437847.8456104</c:v>
                </c:pt>
                <c:pt idx="6">
                  <c:v>2042821167.5948031</c:v>
                </c:pt>
                <c:pt idx="7">
                  <c:v>2295691196.5264397</c:v>
                </c:pt>
                <c:pt idx="8">
                  <c:v>2492912480.2832899</c:v>
                </c:pt>
              </c:numCache>
            </c:numRef>
          </c:val>
          <c:extLst>
            <c:ext xmlns:c16="http://schemas.microsoft.com/office/drawing/2014/chart" uri="{C3380CC4-5D6E-409C-BE32-E72D297353CC}">
              <c16:uniqueId val="{00000000-D805-4C8F-A08B-42FBEDDE95FB}"/>
            </c:ext>
          </c:extLst>
        </c:ser>
        <c:ser>
          <c:idx val="3"/>
          <c:order val="1"/>
          <c:tx>
            <c:strRef>
              <c:f>'5. EU MNO'!$G$30</c:f>
              <c:strCache>
                <c:ptCount val="1"/>
                <c:pt idx="0">
                  <c:v>5G mm-wave capacity</c:v>
                </c:pt>
              </c:strCache>
            </c:strRef>
          </c:tx>
          <c:spPr>
            <a:solidFill>
              <a:schemeClr val="tx1"/>
            </a:solidFill>
            <a:ln>
              <a:noFill/>
            </a:ln>
            <a:effectLst/>
          </c:spPr>
          <c:invertIfNegative val="0"/>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MNO'!$H$30:$P$30</c:f>
              <c:numCache>
                <c:formatCode>_(* #,##0_);_(* \(#,##0\);_(* "-"??_);_(@_)</c:formatCode>
                <c:ptCount val="9"/>
                <c:pt idx="0">
                  <c:v>911250</c:v>
                </c:pt>
                <c:pt idx="1">
                  <c:v>911250</c:v>
                </c:pt>
                <c:pt idx="2">
                  <c:v>911250</c:v>
                </c:pt>
                <c:pt idx="3">
                  <c:v>911250</c:v>
                </c:pt>
                <c:pt idx="4">
                  <c:v>911250</c:v>
                </c:pt>
                <c:pt idx="5">
                  <c:v>911250</c:v>
                </c:pt>
                <c:pt idx="6">
                  <c:v>911250</c:v>
                </c:pt>
                <c:pt idx="7">
                  <c:v>911250</c:v>
                </c:pt>
                <c:pt idx="8">
                  <c:v>911250</c:v>
                </c:pt>
              </c:numCache>
            </c:numRef>
          </c:val>
          <c:extLst>
            <c:ext xmlns:c16="http://schemas.microsoft.com/office/drawing/2014/chart" uri="{C3380CC4-5D6E-409C-BE32-E72D297353CC}">
              <c16:uniqueId val="{00000001-D805-4C8F-A08B-42FBEDDE95FB}"/>
            </c:ext>
          </c:extLst>
        </c:ser>
        <c:dLbls>
          <c:showLegendKey val="0"/>
          <c:showVal val="0"/>
          <c:showCatName val="0"/>
          <c:showSerName val="0"/>
          <c:showPercent val="0"/>
          <c:showBubbleSize val="0"/>
        </c:dLbls>
        <c:gapWidth val="150"/>
        <c:overlap val="100"/>
        <c:axId val="347221376"/>
        <c:axId val="347223168"/>
      </c:barChart>
      <c:lineChart>
        <c:grouping val="standard"/>
        <c:varyColors val="0"/>
        <c:ser>
          <c:idx val="4"/>
          <c:order val="2"/>
          <c:tx>
            <c:strRef>
              <c:f>'5. EU MNO'!$G$13</c:f>
              <c:strCache>
                <c:ptCount val="1"/>
                <c:pt idx="0">
                  <c:v>Demand (GB/mo)</c:v>
                </c:pt>
              </c:strCache>
            </c:strRef>
          </c:tx>
          <c:spPr>
            <a:ln w="28575" cap="rnd">
              <a:solidFill>
                <a:srgbClr val="C00000"/>
              </a:solidFill>
              <a:round/>
            </a:ln>
            <a:effectLst/>
          </c:spPr>
          <c:marker>
            <c:symbol val="none"/>
          </c:marker>
          <c:val>
            <c:numRef>
              <c:f>'5. EU MNO'!$H$13:$P$13</c:f>
              <c:numCache>
                <c:formatCode>_(* #,##0_);_(* \(#,##0\);_(* "-"??_);_(@_)</c:formatCode>
                <c:ptCount val="9"/>
                <c:pt idx="0">
                  <c:v>199283000</c:v>
                </c:pt>
                <c:pt idx="1">
                  <c:v>264249258</c:v>
                </c:pt>
                <c:pt idx="2">
                  <c:v>350259800.80000001</c:v>
                </c:pt>
                <c:pt idx="3">
                  <c:v>464094236.06000006</c:v>
                </c:pt>
                <c:pt idx="4">
                  <c:v>614705950.40400016</c:v>
                </c:pt>
                <c:pt idx="5">
                  <c:v>813916212.10900021</c:v>
                </c:pt>
                <c:pt idx="6">
                  <c:v>1077329095.3006403</c:v>
                </c:pt>
                <c:pt idx="7">
                  <c:v>1425537249.3174543</c:v>
                </c:pt>
                <c:pt idx="8">
                  <c:v>1885710677.1672993</c:v>
                </c:pt>
              </c:numCache>
            </c:numRef>
          </c:val>
          <c:smooth val="0"/>
          <c:extLst>
            <c:ext xmlns:c16="http://schemas.microsoft.com/office/drawing/2014/chart" uri="{C3380CC4-5D6E-409C-BE32-E72D297353CC}">
              <c16:uniqueId val="{00000002-D805-4C8F-A08B-42FBEDDE95FB}"/>
            </c:ext>
          </c:extLst>
        </c:ser>
        <c:dLbls>
          <c:showLegendKey val="0"/>
          <c:showVal val="0"/>
          <c:showCatName val="0"/>
          <c:showSerName val="0"/>
          <c:showPercent val="0"/>
          <c:showBubbleSize val="0"/>
        </c:dLbls>
        <c:marker val="1"/>
        <c:smooth val="0"/>
        <c:axId val="347221376"/>
        <c:axId val="347223168"/>
      </c:lineChart>
      <c:catAx>
        <c:axId val="34722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47223168"/>
        <c:crosses val="autoZero"/>
        <c:auto val="1"/>
        <c:lblAlgn val="ctr"/>
        <c:lblOffset val="100"/>
        <c:noMultiLvlLbl val="0"/>
      </c:catAx>
      <c:valAx>
        <c:axId val="34722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47221376"/>
        <c:crosses val="autoZero"/>
        <c:crossBetween val="between"/>
      </c:valAx>
      <c:spPr>
        <a:noFill/>
        <a:ln>
          <a:noFill/>
        </a:ln>
        <a:effectLst/>
      </c:spPr>
    </c:plotArea>
    <c:legend>
      <c:legendPos val="r"/>
      <c:layout>
        <c:manualLayout>
          <c:xMode val="edge"/>
          <c:yMode val="edge"/>
          <c:x val="0.80331886084332915"/>
          <c:y val="0.20470414373375845"/>
          <c:w val="0.18499889616601664"/>
          <c:h val="0.589565994274698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3071277697514"/>
          <c:y val="3.8474414543824227E-2"/>
          <c:w val="0.65130042704090663"/>
          <c:h val="0.87172589683425727"/>
        </c:manualLayout>
      </c:layout>
      <c:barChart>
        <c:barDir val="col"/>
        <c:grouping val="stacked"/>
        <c:varyColors val="0"/>
        <c:ser>
          <c:idx val="0"/>
          <c:order val="0"/>
          <c:tx>
            <c:strRef>
              <c:f>'5. EU MNO'!$G$16</c:f>
              <c:strCache>
                <c:ptCount val="1"/>
                <c:pt idx="0">
                  <c:v>LTE at 700-900 MHz</c:v>
                </c:pt>
              </c:strCache>
            </c:strRef>
          </c:tx>
          <c:spPr>
            <a:solidFill>
              <a:schemeClr val="accent2"/>
            </a:solidFill>
            <a:ln>
              <a:noFill/>
            </a:ln>
            <a:effectLst/>
          </c:spPr>
          <c:invertIfNegative val="0"/>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MNO'!$H$24:$P$24</c:f>
              <c:numCache>
                <c:formatCode>_(* #,##0_);_(* \(#,##0\);_(* "-"??_);_(@_)</c:formatCode>
                <c:ptCount val="9"/>
                <c:pt idx="0">
                  <c:v>506217600</c:v>
                </c:pt>
                <c:pt idx="1">
                  <c:v>569494800</c:v>
                </c:pt>
                <c:pt idx="2">
                  <c:v>632772000</c:v>
                </c:pt>
                <c:pt idx="3">
                  <c:v>670738320</c:v>
                </c:pt>
                <c:pt idx="4">
                  <c:v>702376920.00000012</c:v>
                </c:pt>
                <c:pt idx="5">
                  <c:v>734015520</c:v>
                </c:pt>
                <c:pt idx="6">
                  <c:v>759326400.00000012</c:v>
                </c:pt>
                <c:pt idx="7">
                  <c:v>860569920.00000012</c:v>
                </c:pt>
                <c:pt idx="8">
                  <c:v>885880800</c:v>
                </c:pt>
              </c:numCache>
            </c:numRef>
          </c:val>
          <c:extLst>
            <c:ext xmlns:c16="http://schemas.microsoft.com/office/drawing/2014/chart" uri="{C3380CC4-5D6E-409C-BE32-E72D297353CC}">
              <c16:uniqueId val="{00000000-5A24-48BF-9111-4FF0CE83688F}"/>
            </c:ext>
          </c:extLst>
        </c:ser>
        <c:ser>
          <c:idx val="1"/>
          <c:order val="1"/>
          <c:tx>
            <c:strRef>
              <c:f>'5. EU MNO'!$G$17</c:f>
              <c:strCache>
                <c:ptCount val="1"/>
                <c:pt idx="0">
                  <c:v>LTE at 1500-2600 MHz</c:v>
                </c:pt>
              </c:strCache>
            </c:strRef>
          </c:tx>
          <c:spPr>
            <a:solidFill>
              <a:schemeClr val="accent3"/>
            </a:solidFill>
            <a:ln>
              <a:noFill/>
            </a:ln>
            <a:effectLst/>
          </c:spPr>
          <c:invertIfNegative val="0"/>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MNO'!$H$25:$P$25</c:f>
              <c:numCache>
                <c:formatCode>_(* #,##0_);_(* \(#,##0\);_(* "-"??_);_(@_)</c:formatCode>
                <c:ptCount val="9"/>
                <c:pt idx="0">
                  <c:v>379120824</c:v>
                </c:pt>
                <c:pt idx="1">
                  <c:v>405659281.68000001</c:v>
                </c:pt>
                <c:pt idx="2">
                  <c:v>434055431.39760005</c:v>
                </c:pt>
                <c:pt idx="3">
                  <c:v>464439311.5954321</c:v>
                </c:pt>
                <c:pt idx="4">
                  <c:v>496950063.40711242</c:v>
                </c:pt>
                <c:pt idx="5">
                  <c:v>531736567.84561032</c:v>
                </c:pt>
                <c:pt idx="6">
                  <c:v>568958127.59480298</c:v>
                </c:pt>
                <c:pt idx="7">
                  <c:v>608785196.52643931</c:v>
                </c:pt>
                <c:pt idx="8">
                  <c:v>651400160.28329003</c:v>
                </c:pt>
              </c:numCache>
            </c:numRef>
          </c:val>
          <c:extLst>
            <c:ext xmlns:c16="http://schemas.microsoft.com/office/drawing/2014/chart" uri="{C3380CC4-5D6E-409C-BE32-E72D297353CC}">
              <c16:uniqueId val="{00000001-5A24-48BF-9111-4FF0CE83688F}"/>
            </c:ext>
          </c:extLst>
        </c:ser>
        <c:ser>
          <c:idx val="3"/>
          <c:order val="2"/>
          <c:tx>
            <c:strRef>
              <c:f>'5. EU MNO'!$G$19</c:f>
              <c:strCache>
                <c:ptCount val="1"/>
                <c:pt idx="0">
                  <c:v>Small Cells, LTE</c:v>
                </c:pt>
              </c:strCache>
            </c:strRef>
          </c:tx>
          <c:spPr>
            <a:solidFill>
              <a:schemeClr val="accent4">
                <a:lumMod val="50000"/>
              </a:schemeClr>
            </a:solidFill>
            <a:ln>
              <a:noFill/>
            </a:ln>
            <a:effectLst/>
          </c:spPr>
          <c:invertIfNegative val="0"/>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MNO'!$H$27:$P$27</c:f>
              <c:numCache>
                <c:formatCode>_(* #,##0_);_(* \(#,##0\);_(* "-"??_);_(@_)</c:formatCode>
                <c:ptCount val="9"/>
                <c:pt idx="0">
                  <c:v>17496000</c:v>
                </c:pt>
                <c:pt idx="1">
                  <c:v>34992000</c:v>
                </c:pt>
                <c:pt idx="2">
                  <c:v>52488000</c:v>
                </c:pt>
                <c:pt idx="3">
                  <c:v>52488000</c:v>
                </c:pt>
                <c:pt idx="4">
                  <c:v>43740000</c:v>
                </c:pt>
                <c:pt idx="5">
                  <c:v>34992000</c:v>
                </c:pt>
                <c:pt idx="6">
                  <c:v>17496000</c:v>
                </c:pt>
                <c:pt idx="7">
                  <c:v>0</c:v>
                </c:pt>
                <c:pt idx="8">
                  <c:v>0</c:v>
                </c:pt>
              </c:numCache>
            </c:numRef>
          </c:val>
          <c:extLst>
            <c:ext xmlns:c16="http://schemas.microsoft.com/office/drawing/2014/chart" uri="{C3380CC4-5D6E-409C-BE32-E72D297353CC}">
              <c16:uniqueId val="{00000008-5A24-48BF-9111-4FF0CE83688F}"/>
            </c:ext>
          </c:extLst>
        </c:ser>
        <c:ser>
          <c:idx val="4"/>
          <c:order val="3"/>
          <c:tx>
            <c:strRef>
              <c:f>'5. EU MNO'!$G$20</c:f>
              <c:strCache>
                <c:ptCount val="1"/>
                <c:pt idx="0">
                  <c:v>Small Cells, 5G</c:v>
                </c:pt>
              </c:strCache>
            </c:strRef>
          </c:tx>
          <c:spPr>
            <a:solidFill>
              <a:schemeClr val="accent5"/>
            </a:solidFill>
            <a:ln>
              <a:noFill/>
            </a:ln>
            <a:effectLst/>
          </c:spPr>
          <c:invertIfNegative val="0"/>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MNO'!$H$28:$P$28</c:f>
              <c:numCache>
                <c:formatCode>_(* #,##0_);_(* \(#,##0\);_(* "-"??_);_(@_)</c:formatCode>
                <c:ptCount val="9"/>
                <c:pt idx="0">
                  <c:v>0</c:v>
                </c:pt>
                <c:pt idx="1">
                  <c:v>0</c:v>
                </c:pt>
                <c:pt idx="2">
                  <c:v>0</c:v>
                </c:pt>
                <c:pt idx="3">
                  <c:v>5248800</c:v>
                </c:pt>
                <c:pt idx="4">
                  <c:v>26244000</c:v>
                </c:pt>
                <c:pt idx="5">
                  <c:v>52488000</c:v>
                </c:pt>
                <c:pt idx="6">
                  <c:v>78732000</c:v>
                </c:pt>
                <c:pt idx="7">
                  <c:v>104976000</c:v>
                </c:pt>
                <c:pt idx="8">
                  <c:v>131220000</c:v>
                </c:pt>
              </c:numCache>
            </c:numRef>
          </c:val>
          <c:extLst>
            <c:ext xmlns:c16="http://schemas.microsoft.com/office/drawing/2014/chart" uri="{C3380CC4-5D6E-409C-BE32-E72D297353CC}">
              <c16:uniqueId val="{00000009-5A24-48BF-9111-4FF0CE83688F}"/>
            </c:ext>
          </c:extLst>
        </c:ser>
        <c:ser>
          <c:idx val="2"/>
          <c:order val="4"/>
          <c:tx>
            <c:strRef>
              <c:f>'5. EU MNO'!$G$18</c:f>
              <c:strCache>
                <c:ptCount val="1"/>
                <c:pt idx="0">
                  <c:v>5G (64T) at 3.6 GHz</c:v>
                </c:pt>
              </c:strCache>
            </c:strRef>
          </c:tx>
          <c:spPr>
            <a:solidFill>
              <a:schemeClr val="accent2">
                <a:lumMod val="50000"/>
              </a:schemeClr>
            </a:solidFill>
            <a:ln>
              <a:noFill/>
            </a:ln>
            <a:effectLst/>
          </c:spPr>
          <c:invertIfNegative val="0"/>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MNO'!$H$26:$P$26</c:f>
              <c:numCache>
                <c:formatCode>_(* #,##0_);_(* \(#,##0\);_(* "-"??_);_(@_)</c:formatCode>
                <c:ptCount val="9"/>
                <c:pt idx="0">
                  <c:v>0</c:v>
                </c:pt>
                <c:pt idx="1">
                  <c:v>0</c:v>
                </c:pt>
                <c:pt idx="2">
                  <c:v>0</c:v>
                </c:pt>
                <c:pt idx="3">
                  <c:v>103051440</c:v>
                </c:pt>
                <c:pt idx="4">
                  <c:v>206102880</c:v>
                </c:pt>
                <c:pt idx="5">
                  <c:v>412205760</c:v>
                </c:pt>
                <c:pt idx="6">
                  <c:v>618308640</c:v>
                </c:pt>
                <c:pt idx="7">
                  <c:v>721360080</c:v>
                </c:pt>
                <c:pt idx="8">
                  <c:v>824411520</c:v>
                </c:pt>
              </c:numCache>
            </c:numRef>
          </c:val>
          <c:extLst>
            <c:ext xmlns:c16="http://schemas.microsoft.com/office/drawing/2014/chart" uri="{C3380CC4-5D6E-409C-BE32-E72D297353CC}">
              <c16:uniqueId val="{00000002-5A24-48BF-9111-4FF0CE83688F}"/>
            </c:ext>
          </c:extLst>
        </c:ser>
        <c:ser>
          <c:idx val="5"/>
          <c:order val="5"/>
          <c:tx>
            <c:strRef>
              <c:f>'5. EU MNO'!$G$21</c:f>
              <c:strCache>
                <c:ptCount val="1"/>
                <c:pt idx="0">
                  <c:v>5G mm-wave</c:v>
                </c:pt>
              </c:strCache>
            </c:strRef>
          </c:tx>
          <c:spPr>
            <a:solidFill>
              <a:schemeClr val="tx1"/>
            </a:solidFill>
            <a:ln>
              <a:noFill/>
            </a:ln>
            <a:effectLst/>
          </c:spPr>
          <c:invertIfNegative val="0"/>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MNO'!$H$30:$P$30</c:f>
              <c:numCache>
                <c:formatCode>_(* #,##0_);_(* \(#,##0\);_(* "-"??_);_(@_)</c:formatCode>
                <c:ptCount val="9"/>
                <c:pt idx="0">
                  <c:v>911250</c:v>
                </c:pt>
                <c:pt idx="1">
                  <c:v>911250</c:v>
                </c:pt>
                <c:pt idx="2">
                  <c:v>911250</c:v>
                </c:pt>
                <c:pt idx="3">
                  <c:v>911250</c:v>
                </c:pt>
                <c:pt idx="4">
                  <c:v>911250</c:v>
                </c:pt>
                <c:pt idx="5">
                  <c:v>911250</c:v>
                </c:pt>
                <c:pt idx="6">
                  <c:v>911250</c:v>
                </c:pt>
                <c:pt idx="7">
                  <c:v>911250</c:v>
                </c:pt>
                <c:pt idx="8">
                  <c:v>911250</c:v>
                </c:pt>
              </c:numCache>
            </c:numRef>
          </c:val>
          <c:extLst>
            <c:ext xmlns:c16="http://schemas.microsoft.com/office/drawing/2014/chart" uri="{C3380CC4-5D6E-409C-BE32-E72D297353CC}">
              <c16:uniqueId val="{0000000A-5A24-48BF-9111-4FF0CE83688F}"/>
            </c:ext>
          </c:extLst>
        </c:ser>
        <c:dLbls>
          <c:showLegendKey val="0"/>
          <c:showVal val="0"/>
          <c:showCatName val="0"/>
          <c:showSerName val="0"/>
          <c:showPercent val="0"/>
          <c:showBubbleSize val="0"/>
        </c:dLbls>
        <c:gapWidth val="150"/>
        <c:overlap val="100"/>
        <c:axId val="347103232"/>
        <c:axId val="347104768"/>
        <c:extLst/>
      </c:barChart>
      <c:catAx>
        <c:axId val="3471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47104768"/>
        <c:crosses val="autoZero"/>
        <c:auto val="1"/>
        <c:lblAlgn val="ctr"/>
        <c:lblOffset val="100"/>
        <c:noMultiLvlLbl val="0"/>
      </c:catAx>
      <c:valAx>
        <c:axId val="34710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sz="1200"/>
                  <a:t>Capacity (GB/mo)</a:t>
                </a:r>
              </a:p>
            </c:rich>
          </c:tx>
          <c:layout>
            <c:manualLayout>
              <c:xMode val="edge"/>
              <c:yMode val="edge"/>
              <c:x val="1.2413411567149226E-2"/>
              <c:y val="0.365602553949177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47103232"/>
        <c:crosses val="autoZero"/>
        <c:crossBetween val="between"/>
      </c:valAx>
      <c:spPr>
        <a:noFill/>
        <a:ln>
          <a:noFill/>
        </a:ln>
        <a:effectLst/>
      </c:spPr>
    </c:plotArea>
    <c:legend>
      <c:legendPos val="r"/>
      <c:layout>
        <c:manualLayout>
          <c:xMode val="edge"/>
          <c:yMode val="edge"/>
          <c:x val="0.78416233000154034"/>
          <c:y val="0.30815762396991814"/>
          <c:w val="0.20874429196008887"/>
          <c:h val="0.4963447241472375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v>200m cell radius</c:v>
          </c:tx>
          <c:spPr>
            <a:solidFill>
              <a:schemeClr val="tx2"/>
            </a:solidFill>
            <a:ln>
              <a:noFill/>
            </a:ln>
            <a:effectLst/>
          </c:spPr>
          <c:invertIfNegative val="0"/>
          <c:dLbls>
            <c:dLbl>
              <c:idx val="2"/>
              <c:layout>
                <c:manualLayout>
                  <c:x val="-2.3483363054272949E-3"/>
                  <c:y val="1.494919973433846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5B-4564-8CB5-0235E90710BE}"/>
                </c:ext>
              </c:extLst>
            </c:dLbl>
            <c:dLbl>
              <c:idx val="3"/>
              <c:layout>
                <c:manualLayout>
                  <c:x val="-2.3483363054272086E-3"/>
                  <c:y val="-3.737035095984502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75B-4564-8CB5-0235E90710B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'1. FWA mmwave'!$B$173:$B$178</c15:sqref>
                  </c15:fullRef>
                </c:ext>
              </c:extLst>
              <c:f>'1. FWA mmwave'!$B$174:$B$178</c:f>
              <c:strCache>
                <c:ptCount val="5"/>
                <c:pt idx="0">
                  <c:v>1000 homes/km2 (Orange County, CA)</c:v>
                </c:pt>
                <c:pt idx="1">
                  <c:v>1500 homes/km2  (Arlington, VA)</c:v>
                </c:pt>
                <c:pt idx="2">
                  <c:v>2000 homes/km2  (Chicago, IL)</c:v>
                </c:pt>
                <c:pt idx="3">
                  <c:v>2500 homes/km2  (Cambridge, MA)</c:v>
                </c:pt>
                <c:pt idx="4">
                  <c:v>5000 homes/km2  (Brooklyn, NY)</c:v>
                </c:pt>
              </c:strCache>
            </c:strRef>
          </c:cat>
          <c:val>
            <c:numRef>
              <c:extLst>
                <c:ext xmlns:c15="http://schemas.microsoft.com/office/drawing/2012/chart" uri="{02D57815-91ED-43cb-92C2-25804820EDAC}">
                  <c15:fullRef>
                    <c15:sqref>'1. FWA mmwave'!$E$173:$E$178</c15:sqref>
                  </c15:fullRef>
                </c:ext>
              </c:extLst>
              <c:f>'1. FWA mmwave'!$E$174:$E$178</c:f>
              <c:numCache>
                <c:formatCode>0%</c:formatCode>
                <c:ptCount val="5"/>
                <c:pt idx="2">
                  <c:v>-0.23</c:v>
                </c:pt>
                <c:pt idx="3">
                  <c:v>-0.09</c:v>
                </c:pt>
                <c:pt idx="4">
                  <c:v>0.27</c:v>
                </c:pt>
              </c:numCache>
            </c:numRef>
          </c:val>
          <c:extLst>
            <c:ext xmlns:c16="http://schemas.microsoft.com/office/drawing/2014/chart" uri="{C3380CC4-5D6E-409C-BE32-E72D297353CC}">
              <c16:uniqueId val="{00000001-275B-4564-8CB5-0235E90710BE}"/>
            </c:ext>
          </c:extLst>
        </c:ser>
        <c:ser>
          <c:idx val="0"/>
          <c:order val="1"/>
          <c:tx>
            <c:v>300m cell radius</c:v>
          </c:tx>
          <c:spPr>
            <a:pattFill prst="dkDnDiag">
              <a:fgClr>
                <a:schemeClr val="accent1"/>
              </a:fgClr>
              <a:bgClr>
                <a:schemeClr val="bg1"/>
              </a:bgClr>
            </a:pattFill>
            <a:ln>
              <a:noFill/>
            </a:ln>
            <a:effectLst/>
          </c:spPr>
          <c:invertIfNegative val="0"/>
          <c:dLbls>
            <c:dLbl>
              <c:idx val="0"/>
              <c:layout>
                <c:manualLayout>
                  <c:x val="7.0450089162816254E-3"/>
                  <c:y val="-5.97932677693523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5B-4564-8CB5-0235E90710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'1. FWA mmwave'!$B$173:$B$178</c15:sqref>
                  </c15:fullRef>
                </c:ext>
              </c:extLst>
              <c:f>'1. FWA mmwave'!$B$174:$B$178</c:f>
              <c:strCache>
                <c:ptCount val="5"/>
                <c:pt idx="0">
                  <c:v>1000 homes/km2 (Orange County, CA)</c:v>
                </c:pt>
                <c:pt idx="1">
                  <c:v>1500 homes/km2  (Arlington, VA)</c:v>
                </c:pt>
                <c:pt idx="2">
                  <c:v>2000 homes/km2  (Chicago, IL)</c:v>
                </c:pt>
                <c:pt idx="3">
                  <c:v>2500 homes/km2  (Cambridge, MA)</c:v>
                </c:pt>
                <c:pt idx="4">
                  <c:v>5000 homes/km2  (Brooklyn, NY)</c:v>
                </c:pt>
              </c:strCache>
            </c:strRef>
          </c:cat>
          <c:val>
            <c:numRef>
              <c:extLst>
                <c:ext xmlns:c15="http://schemas.microsoft.com/office/drawing/2012/chart" uri="{02D57815-91ED-43cb-92C2-25804820EDAC}">
                  <c15:fullRef>
                    <c15:sqref>'1. FWA mmwave'!$D$173:$D$178</c15:sqref>
                  </c15:fullRef>
                </c:ext>
              </c:extLst>
              <c:f>'1. FWA mmwave'!$D$174:$D$178</c:f>
              <c:numCache>
                <c:formatCode>0%</c:formatCode>
                <c:ptCount val="5"/>
                <c:pt idx="0">
                  <c:v>-0.06</c:v>
                </c:pt>
                <c:pt idx="1">
                  <c:v>0.2</c:v>
                </c:pt>
                <c:pt idx="2">
                  <c:v>0.37</c:v>
                </c:pt>
                <c:pt idx="3">
                  <c:v>0.49</c:v>
                </c:pt>
                <c:pt idx="4">
                  <c:v>0.92</c:v>
                </c:pt>
              </c:numCache>
            </c:numRef>
          </c:val>
          <c:extLst>
            <c:ext xmlns:c16="http://schemas.microsoft.com/office/drawing/2014/chart" uri="{C3380CC4-5D6E-409C-BE32-E72D297353CC}">
              <c16:uniqueId val="{00000000-275B-4564-8CB5-0235E90710BE}"/>
            </c:ext>
          </c:extLst>
        </c:ser>
        <c:dLbls>
          <c:showLegendKey val="0"/>
          <c:showVal val="0"/>
          <c:showCatName val="0"/>
          <c:showSerName val="0"/>
          <c:showPercent val="0"/>
          <c:showBubbleSize val="0"/>
        </c:dLbls>
        <c:gapWidth val="219"/>
        <c:overlap val="-27"/>
        <c:axId val="102615296"/>
        <c:axId val="133369856"/>
      </c:barChart>
      <c:catAx>
        <c:axId val="1026152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33369856"/>
        <c:crosses val="autoZero"/>
        <c:auto val="1"/>
        <c:lblAlgn val="ctr"/>
        <c:lblOffset val="1"/>
        <c:noMultiLvlLbl val="0"/>
      </c:catAx>
      <c:valAx>
        <c:axId val="13336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8-year Internal Rate of Return</a:t>
                </a:r>
                <a:r>
                  <a:rPr lang="en-US" baseline="0"/>
                  <a:t> (IRR)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261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Candara" panose="020E0502030303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89609219000165"/>
          <c:y val="4.0676687020429037E-2"/>
          <c:w val="0.67089979136368239"/>
          <c:h val="0.85334266068480713"/>
        </c:manualLayout>
      </c:layout>
      <c:barChart>
        <c:barDir val="col"/>
        <c:grouping val="stacked"/>
        <c:varyColors val="0"/>
        <c:ser>
          <c:idx val="1"/>
          <c:order val="0"/>
          <c:tx>
            <c:v>Network cost</c:v>
          </c:tx>
          <c:spPr>
            <a:solidFill>
              <a:schemeClr val="accent2">
                <a:lumMod val="50000"/>
              </a:schemeClr>
            </a:solidFill>
            <a:ln>
              <a:noFill/>
            </a:ln>
            <a:effectLst/>
          </c:spPr>
          <c:invertIfNegative val="0"/>
          <c:dLbls>
            <c:dLbl>
              <c:idx val="0"/>
              <c:layout>
                <c:manualLayout>
                  <c:x val="7.2565652124086943E-2"/>
                  <c:y val="-0.33789522580585341"/>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r>
                      <a:rPr lang="en-US">
                        <a:solidFill>
                          <a:schemeClr val="accent2">
                            <a:lumMod val="50000"/>
                          </a:schemeClr>
                        </a:solidFill>
                      </a:rPr>
                      <a:t>$4.4B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52C-493F-ABB9-42B441529E6D}"/>
                </c:ext>
              </c:extLst>
            </c:dLbl>
            <c:dLbl>
              <c:idx val="8"/>
              <c:layout>
                <c:manualLayout>
                  <c:x val="2.4201685796691231E-2"/>
                  <c:y val="-3.3003291753516866E-3"/>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r>
                      <a:rPr lang="en-US">
                        <a:solidFill>
                          <a:schemeClr val="accent2">
                            <a:lumMod val="50000"/>
                          </a:schemeClr>
                        </a:solidFill>
                      </a:rPr>
                      <a:t>$3.2B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2C-493F-ABB9-42B441529E6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MNO'!$H$61:$P$61</c:f>
              <c:numCache>
                <c:formatCode>"$"#,##0,," M"</c:formatCode>
                <c:ptCount val="9"/>
                <c:pt idx="0">
                  <c:v>1539909100</c:v>
                </c:pt>
                <c:pt idx="1">
                  <c:v>4402460509.361702</c:v>
                </c:pt>
                <c:pt idx="2">
                  <c:v>1888014514.4000001</c:v>
                </c:pt>
                <c:pt idx="3">
                  <c:v>2111040129.408</c:v>
                </c:pt>
                <c:pt idx="4">
                  <c:v>2262227221.0665603</c:v>
                </c:pt>
                <c:pt idx="5">
                  <c:v>2601234345.5412197</c:v>
                </c:pt>
                <c:pt idx="6">
                  <c:v>2805485592.729105</c:v>
                </c:pt>
                <c:pt idx="7">
                  <c:v>3173907771.2201424</c:v>
                </c:pt>
                <c:pt idx="8">
                  <c:v>3169888928.2055521</c:v>
                </c:pt>
              </c:numCache>
            </c:numRef>
          </c:val>
          <c:extLst>
            <c:ext xmlns:c16="http://schemas.microsoft.com/office/drawing/2014/chart" uri="{C3380CC4-5D6E-409C-BE32-E72D297353CC}">
              <c16:uniqueId val="{00000002-752C-493F-ABB9-42B441529E6D}"/>
            </c:ext>
          </c:extLst>
        </c:ser>
        <c:ser>
          <c:idx val="2"/>
          <c:order val="1"/>
          <c:tx>
            <c:v>Serving cost</c:v>
          </c:tx>
          <c:spPr>
            <a:pattFill prst="dkUpDiag">
              <a:fgClr>
                <a:schemeClr val="accent2">
                  <a:lumMod val="50000"/>
                </a:schemeClr>
              </a:fgClr>
              <a:bgClr>
                <a:schemeClr val="bg1"/>
              </a:bgClr>
            </a:pattFill>
            <a:ln>
              <a:noFill/>
            </a:ln>
            <a:effectLst/>
          </c:spPr>
          <c:invertIfNegative val="0"/>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MNO'!$H$62:$P$62</c:f>
              <c:numCache>
                <c:formatCode>"$"#,##0,," M"</c:formatCode>
                <c:ptCount val="9"/>
                <c:pt idx="0">
                  <c:v>2010000000</c:v>
                </c:pt>
                <c:pt idx="1">
                  <c:v>2050200000</c:v>
                </c:pt>
                <c:pt idx="2">
                  <c:v>2091204000</c:v>
                </c:pt>
                <c:pt idx="3">
                  <c:v>2122572059.9999998</c:v>
                </c:pt>
                <c:pt idx="4">
                  <c:v>2154410640.8999996</c:v>
                </c:pt>
                <c:pt idx="5">
                  <c:v>2186726800.5134993</c:v>
                </c:pt>
                <c:pt idx="6">
                  <c:v>2219527702.5212016</c:v>
                </c:pt>
                <c:pt idx="7">
                  <c:v>2252820618.0590196</c:v>
                </c:pt>
                <c:pt idx="8">
                  <c:v>2286612927.3299046</c:v>
                </c:pt>
              </c:numCache>
            </c:numRef>
          </c:val>
          <c:extLst>
            <c:ext xmlns:c16="http://schemas.microsoft.com/office/drawing/2014/chart" uri="{C3380CC4-5D6E-409C-BE32-E72D297353CC}">
              <c16:uniqueId val="{00000003-752C-493F-ABB9-42B441529E6D}"/>
            </c:ext>
          </c:extLst>
        </c:ser>
        <c:dLbls>
          <c:showLegendKey val="0"/>
          <c:showVal val="0"/>
          <c:showCatName val="0"/>
          <c:showSerName val="0"/>
          <c:showPercent val="0"/>
          <c:showBubbleSize val="0"/>
        </c:dLbls>
        <c:gapWidth val="150"/>
        <c:overlap val="100"/>
        <c:axId val="347180032"/>
        <c:axId val="347194112"/>
      </c:barChart>
      <c:lineChart>
        <c:grouping val="standard"/>
        <c:varyColors val="0"/>
        <c:ser>
          <c:idx val="3"/>
          <c:order val="2"/>
          <c:tx>
            <c:v>Net Cash</c:v>
          </c:tx>
          <c:spPr>
            <a:ln w="28575" cap="rnd">
              <a:solidFill>
                <a:schemeClr val="accent5"/>
              </a:solidFill>
              <a:round/>
            </a:ln>
            <a:effectLst/>
          </c:spPr>
          <c:marker>
            <c:symbol val="none"/>
          </c:marker>
          <c:dLbls>
            <c:dLbl>
              <c:idx val="0"/>
              <c:layout>
                <c:manualLayout>
                  <c:x val="3.704991454822669E-2"/>
                  <c:y val="0.37979957153293309"/>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5"/>
                        </a:solidFill>
                        <a:latin typeface="Candara" panose="020E0502030303020204" pitchFamily="34" charset="0"/>
                        <a:ea typeface="+mn-ea"/>
                        <a:cs typeface="+mn-cs"/>
                      </a:defRPr>
                    </a:pPr>
                    <a:r>
                      <a:rPr lang="en-US">
                        <a:solidFill>
                          <a:schemeClr val="accent5"/>
                        </a:solidFill>
                      </a:rPr>
                      <a:t>$1.7B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2C-493F-ABB9-42B441529E6D}"/>
                </c:ext>
              </c:extLst>
            </c:dLbl>
            <c:dLbl>
              <c:idx val="8"/>
              <c:layout>
                <c:manualLayout>
                  <c:x val="-1.1432133105462082E-2"/>
                  <c:y val="-4.3782402713257701E-2"/>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r>
                      <a:rPr lang="en-US">
                        <a:solidFill>
                          <a:schemeClr val="accent1">
                            <a:lumMod val="50000"/>
                          </a:schemeClr>
                        </a:solidFill>
                      </a:rPr>
                      <a:t>$3.7B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2C-493F-ABB9-42B441529E6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'5. EU MNO'!$H$8:$P$8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'5. EU MNO'!$H$63:$P$63</c:f>
              <c:numCache>
                <c:formatCode>"$"#,##0,," M"</c:formatCode>
                <c:ptCount val="9"/>
                <c:pt idx="0">
                  <c:v>4490090900</c:v>
                </c:pt>
                <c:pt idx="1">
                  <c:v>1748139490.638298</c:v>
                </c:pt>
                <c:pt idx="2">
                  <c:v>4385597485.6000004</c:v>
                </c:pt>
                <c:pt idx="3">
                  <c:v>4256676050.5919991</c:v>
                </c:pt>
                <c:pt idx="4">
                  <c:v>4201004701.6334386</c:v>
                </c:pt>
                <c:pt idx="5">
                  <c:v>3958946055.9992781</c:v>
                </c:pt>
                <c:pt idx="6">
                  <c:v>3853097514.8344994</c:v>
                </c:pt>
                <c:pt idx="7">
                  <c:v>3584554082.9569168</c:v>
                </c:pt>
                <c:pt idx="8">
                  <c:v>3689949853.7841616</c:v>
                </c:pt>
              </c:numCache>
            </c:numRef>
          </c:val>
          <c:smooth val="0"/>
          <c:extLst>
            <c:ext xmlns:c16="http://schemas.microsoft.com/office/drawing/2014/chart" uri="{C3380CC4-5D6E-409C-BE32-E72D297353CC}">
              <c16:uniqueId val="{00000006-752C-493F-ABB9-42B441529E6D}"/>
            </c:ext>
          </c:extLst>
        </c:ser>
        <c:dLbls>
          <c:showLegendKey val="0"/>
          <c:showVal val="0"/>
          <c:showCatName val="0"/>
          <c:showSerName val="0"/>
          <c:showPercent val="0"/>
          <c:showBubbleSize val="0"/>
        </c:dLbls>
        <c:marker val="1"/>
        <c:smooth val="0"/>
        <c:axId val="559794512"/>
        <c:axId val="576427704"/>
      </c:lineChart>
      <c:catAx>
        <c:axId val="347180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47194112"/>
        <c:crosses val="autoZero"/>
        <c:auto val="1"/>
        <c:lblAlgn val="ctr"/>
        <c:lblOffset val="100"/>
        <c:noMultiLvlLbl val="0"/>
      </c:catAx>
      <c:valAx>
        <c:axId val="34719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Operating</a:t>
                </a:r>
                <a:r>
                  <a:rPr lang="en-US" baseline="0"/>
                  <a:t> Cash Flow</a:t>
                </a:r>
                <a:endParaRPr lang="en-US"/>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47180032"/>
        <c:crosses val="autoZero"/>
        <c:crossBetween val="between"/>
      </c:valAx>
      <c:valAx>
        <c:axId val="576427704"/>
        <c:scaling>
          <c:orientation val="minMax"/>
        </c:scaling>
        <c:delete val="1"/>
        <c:axPos val="r"/>
        <c:numFmt formatCode="&quot;$&quot;#,##0,,&quot; M&quot;" sourceLinked="1"/>
        <c:majorTickMark val="out"/>
        <c:minorTickMark val="none"/>
        <c:tickLblPos val="nextTo"/>
        <c:crossAx val="559794512"/>
        <c:crosses val="max"/>
        <c:crossBetween val="between"/>
      </c:valAx>
      <c:catAx>
        <c:axId val="559794512"/>
        <c:scaling>
          <c:orientation val="minMax"/>
        </c:scaling>
        <c:delete val="1"/>
        <c:axPos val="b"/>
        <c:numFmt formatCode="General" sourceLinked="1"/>
        <c:majorTickMark val="out"/>
        <c:minorTickMark val="none"/>
        <c:tickLblPos val="nextTo"/>
        <c:crossAx val="576427704"/>
        <c:crosses val="autoZero"/>
        <c:auto val="1"/>
        <c:lblAlgn val="ctr"/>
        <c:lblOffset val="100"/>
        <c:noMultiLvlLbl val="0"/>
      </c:catAx>
      <c:spPr>
        <a:noFill/>
        <a:ln>
          <a:noFill/>
        </a:ln>
        <a:effectLst/>
      </c:spPr>
    </c:plotArea>
    <c:legend>
      <c:legendPos val="r"/>
      <c:layout>
        <c:manualLayout>
          <c:xMode val="edge"/>
          <c:yMode val="edge"/>
          <c:x val="0.81500360616448597"/>
          <c:y val="0.42171811642562373"/>
          <c:w val="0.18499642554194523"/>
          <c:h val="0.2232893682264446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solidFill>
            <a:ln>
              <a:noFill/>
            </a:ln>
            <a:effectLst/>
          </c:spPr>
          <c:invertIfNegative val="0"/>
          <c:dLbls>
            <c:dLbl>
              <c:idx val="0"/>
              <c:tx>
                <c:rich>
                  <a:bodyPr/>
                  <a:lstStyle/>
                  <a:p>
                    <a:r>
                      <a:rPr lang="en-US"/>
                      <a:t>1x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CF-46BD-BDD6-BD1EF923CA49}"/>
                </c:ext>
              </c:extLst>
            </c:dLbl>
            <c:dLbl>
              <c:idx val="1"/>
              <c:tx>
                <c:rich>
                  <a:bodyPr/>
                  <a:lstStyle/>
                  <a:p>
                    <a:r>
                      <a:rPr lang="en-US"/>
                      <a:t>2x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CF-46BD-BDD6-BD1EF923CA49}"/>
                </c:ext>
              </c:extLst>
            </c:dLbl>
            <c:dLbl>
              <c:idx val="2"/>
              <c:tx>
                <c:rich>
                  <a:bodyPr/>
                  <a:lstStyle/>
                  <a:p>
                    <a:r>
                      <a:rPr lang="en-US"/>
                      <a:t>~3x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CF-46BD-BDD6-BD1EF923CA49}"/>
                </c:ext>
              </c:extLst>
            </c:dLbl>
            <c:dLbl>
              <c:idx val="3"/>
              <c:tx>
                <c:rich>
                  <a:bodyPr/>
                  <a:lstStyle/>
                  <a:p>
                    <a:r>
                      <a:rPr lang="en-US"/>
                      <a:t>~2x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CF-46BD-BDD6-BD1EF923CA49}"/>
                </c:ext>
              </c:extLst>
            </c:dLbl>
            <c:dLbl>
              <c:idx val="4"/>
              <c:tx>
                <c:rich>
                  <a:bodyPr/>
                  <a:lstStyle/>
                  <a:p>
                    <a:r>
                      <a:rPr lang="en-US"/>
                      <a:t>~3x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CF-46BD-BDD6-BD1EF923CA49}"/>
                </c:ext>
              </c:extLst>
            </c:dLbl>
            <c:dLbl>
              <c:idx val="5"/>
              <c:tx>
                <c:rich>
                  <a:bodyPr/>
                  <a:lstStyle/>
                  <a:p>
                    <a:r>
                      <a:rPr lang="en-US"/>
                      <a:t>~9x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CF-46BD-BDD6-BD1EF923CA4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 EU MNO'!$G$16:$G$21</c:f>
              <c:strCache>
                <c:ptCount val="6"/>
                <c:pt idx="0">
                  <c:v>LTE at 700-900 MHz</c:v>
                </c:pt>
                <c:pt idx="1">
                  <c:v>LTE at 1500-2600 MHz</c:v>
                </c:pt>
                <c:pt idx="2">
                  <c:v>5G (64T) at 3.6 GHz</c:v>
                </c:pt>
                <c:pt idx="3">
                  <c:v>Small Cells, LTE</c:v>
                </c:pt>
                <c:pt idx="4">
                  <c:v>Small Cells, 5G</c:v>
                </c:pt>
                <c:pt idx="5">
                  <c:v>5G mm-wave</c:v>
                </c:pt>
              </c:strCache>
            </c:strRef>
          </c:cat>
          <c:val>
            <c:numRef>
              <c:f>('5. EU MNO'!$D$12,'5. EU MNO'!$D$16,'5. EU MNO'!$D$20,'5. EU MNO'!$D$24,'5. EU MNO'!$D$28,'5. EU MNO'!$D$33)</c:f>
              <c:numCache>
                <c:formatCode>0</c:formatCode>
                <c:ptCount val="6"/>
                <c:pt idx="0" formatCode="General">
                  <c:v>20412</c:v>
                </c:pt>
                <c:pt idx="1">
                  <c:v>40765.68</c:v>
                </c:pt>
                <c:pt idx="2" formatCode="General">
                  <c:v>66484.800000000003</c:v>
                </c:pt>
                <c:pt idx="3" formatCode="General">
                  <c:v>34992</c:v>
                </c:pt>
                <c:pt idx="4" formatCode="General">
                  <c:v>52488</c:v>
                </c:pt>
                <c:pt idx="5" formatCode="General">
                  <c:v>121500</c:v>
                </c:pt>
              </c:numCache>
            </c:numRef>
          </c:val>
          <c:extLst>
            <c:ext xmlns:c16="http://schemas.microsoft.com/office/drawing/2014/chart" uri="{C3380CC4-5D6E-409C-BE32-E72D297353CC}">
              <c16:uniqueId val="{00000007-15CF-46BD-BDD6-BD1EF923CA49}"/>
            </c:ext>
          </c:extLst>
        </c:ser>
        <c:dLbls>
          <c:showLegendKey val="0"/>
          <c:showVal val="0"/>
          <c:showCatName val="0"/>
          <c:showSerName val="0"/>
          <c:showPercent val="0"/>
          <c:showBubbleSize val="0"/>
        </c:dLbls>
        <c:gapWidth val="219"/>
        <c:overlap val="-27"/>
        <c:axId val="347313280"/>
        <c:axId val="347314816"/>
      </c:barChart>
      <c:catAx>
        <c:axId val="3473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347314816"/>
        <c:crosses val="autoZero"/>
        <c:auto val="1"/>
        <c:lblAlgn val="ctr"/>
        <c:lblOffset val="100"/>
        <c:noMultiLvlLbl val="0"/>
      </c:catAx>
      <c:valAx>
        <c:axId val="347314816"/>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from a BS site (relative to LTE@700-900)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General" sourceLinked="1"/>
        <c:majorTickMark val="none"/>
        <c:minorTickMark val="none"/>
        <c:tickLblPos val="nextTo"/>
        <c:crossAx val="3473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42845251911647"/>
          <c:y val="4.9997246029963194E-2"/>
          <c:w val="0.68583162665807995"/>
          <c:h val="0.75538360981141928"/>
        </c:manualLayout>
      </c:layout>
      <c:barChart>
        <c:barDir val="col"/>
        <c:grouping val="stacked"/>
        <c:varyColors val="0"/>
        <c:ser>
          <c:idx val="0"/>
          <c:order val="0"/>
          <c:tx>
            <c:v>Cost to pass</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FWA mmwave'!$C$26:$G$26</c:f>
              <c:strCache>
                <c:ptCount val="5"/>
                <c:pt idx="0">
                  <c:v>5000 homes/km2 (Brooklyn)</c:v>
                </c:pt>
                <c:pt idx="1">
                  <c:v>2500 homes/km2 (Cambridge, MA)</c:v>
                </c:pt>
                <c:pt idx="2">
                  <c:v>2000 homes/km2 (Chicago)</c:v>
                </c:pt>
                <c:pt idx="3">
                  <c:v>1500 homes/km2 (Arlington, VA)</c:v>
                </c:pt>
                <c:pt idx="4">
                  <c:v>1000 homes/km2 (Orange County)</c:v>
                </c:pt>
              </c:strCache>
            </c:strRef>
          </c:cat>
          <c:val>
            <c:numRef>
              <c:f>'1. FWA mmwave'!$C$20:$G$20</c:f>
              <c:numCache>
                <c:formatCode>"$"#,##0_);[Red]\("$"#,##0\)</c:formatCode>
                <c:ptCount val="5"/>
                <c:pt idx="0">
                  <c:v>231.77322711168756</c:v>
                </c:pt>
                <c:pt idx="1">
                  <c:v>463.54645422337512</c:v>
                </c:pt>
                <c:pt idx="2">
                  <c:v>579.43306777921885</c:v>
                </c:pt>
                <c:pt idx="3">
                  <c:v>772.57742370562516</c:v>
                </c:pt>
                <c:pt idx="4">
                  <c:v>1158.8661355584377</c:v>
                </c:pt>
              </c:numCache>
            </c:numRef>
          </c:val>
          <c:extLst>
            <c:ext xmlns:c16="http://schemas.microsoft.com/office/drawing/2014/chart" uri="{C3380CC4-5D6E-409C-BE32-E72D297353CC}">
              <c16:uniqueId val="{00000000-1051-40CA-9FFC-79A0377FB451}"/>
            </c:ext>
          </c:extLst>
        </c:ser>
        <c:ser>
          <c:idx val="1"/>
          <c:order val="1"/>
          <c:tx>
            <c:v>Cost to connect</c:v>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FWA mmwave'!$C$26:$G$26</c:f>
              <c:strCache>
                <c:ptCount val="5"/>
                <c:pt idx="0">
                  <c:v>5000 homes/km2 (Brooklyn)</c:v>
                </c:pt>
                <c:pt idx="1">
                  <c:v>2500 homes/km2 (Cambridge, MA)</c:v>
                </c:pt>
                <c:pt idx="2">
                  <c:v>2000 homes/km2 (Chicago)</c:v>
                </c:pt>
                <c:pt idx="3">
                  <c:v>1500 homes/km2 (Arlington, VA)</c:v>
                </c:pt>
                <c:pt idx="4">
                  <c:v>1000 homes/km2 (Orange County)</c:v>
                </c:pt>
              </c:strCache>
            </c:strRef>
          </c:cat>
          <c:val>
            <c:numRef>
              <c:f>'1. FWA mmwave'!$C$25:$G$25</c:f>
              <c:numCache>
                <c:formatCode>"$"#,##0_);[Red]\("$"#,##0\)</c:formatCode>
                <c:ptCount val="5"/>
                <c:pt idx="0">
                  <c:v>350</c:v>
                </c:pt>
                <c:pt idx="1">
                  <c:v>350</c:v>
                </c:pt>
                <c:pt idx="2">
                  <c:v>350</c:v>
                </c:pt>
                <c:pt idx="3">
                  <c:v>350</c:v>
                </c:pt>
                <c:pt idx="4">
                  <c:v>350</c:v>
                </c:pt>
              </c:numCache>
            </c:numRef>
          </c:val>
          <c:extLst>
            <c:ext xmlns:c16="http://schemas.microsoft.com/office/drawing/2014/chart" uri="{C3380CC4-5D6E-409C-BE32-E72D297353CC}">
              <c16:uniqueId val="{00000001-1051-40CA-9FFC-79A0377FB451}"/>
            </c:ext>
          </c:extLst>
        </c:ser>
        <c:dLbls>
          <c:showLegendKey val="0"/>
          <c:showVal val="0"/>
          <c:showCatName val="0"/>
          <c:showSerName val="0"/>
          <c:showPercent val="0"/>
          <c:showBubbleSize val="0"/>
        </c:dLbls>
        <c:gapWidth val="150"/>
        <c:overlap val="100"/>
        <c:axId val="133417600"/>
        <c:axId val="133432064"/>
      </c:barChart>
      <c:catAx>
        <c:axId val="133417600"/>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33432064"/>
        <c:crosses val="autoZero"/>
        <c:auto val="1"/>
        <c:lblAlgn val="ctr"/>
        <c:lblOffset val="100"/>
        <c:noMultiLvlLbl val="0"/>
      </c:catAx>
      <c:valAx>
        <c:axId val="13343206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sz="1200" baseline="0"/>
                  <a:t>network cost per subscriber</a:t>
                </a:r>
                <a:endParaRPr lang="en-US" sz="1200"/>
              </a:p>
            </c:rich>
          </c:tx>
          <c:layout>
            <c:manualLayout>
              <c:xMode val="edge"/>
              <c:yMode val="edge"/>
              <c:x val="4.0072438354453351E-2"/>
              <c:y val="0.19925405211591299"/>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33417600"/>
        <c:crosses val="autoZero"/>
        <c:crossBetween val="between"/>
      </c:valAx>
      <c:spPr>
        <a:noFill/>
        <a:ln>
          <a:noFill/>
        </a:ln>
        <a:effectLst/>
      </c:spPr>
    </c:plotArea>
    <c:legend>
      <c:legendPos val="r"/>
      <c:layout>
        <c:manualLayout>
          <c:xMode val="edge"/>
          <c:yMode val="edge"/>
          <c:x val="0.59394236720309157"/>
          <c:y val="0.12720659706701712"/>
          <c:w val="0.18246813496894945"/>
          <c:h val="0.12514123501042557"/>
        </c:manualLayout>
      </c:layout>
      <c:overlay val="0"/>
      <c:spPr>
        <a:solidFill>
          <a:sysClr val="window" lastClr="FFFFFF"/>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6092406852643"/>
          <c:y val="4.3254907061554847E-2"/>
          <c:w val="0.81458037575650188"/>
          <c:h val="0.83686719888876349"/>
        </c:manualLayout>
      </c:layout>
      <c:lineChart>
        <c:grouping val="standard"/>
        <c:varyColors val="0"/>
        <c:ser>
          <c:idx val="2"/>
          <c:order val="0"/>
          <c:tx>
            <c:v>LTE+5G for Fixed &amp; Mobile</c:v>
          </c:tx>
          <c:spPr>
            <a:ln w="31750" cap="rnd">
              <a:solidFill>
                <a:schemeClr val="tx2"/>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tx2"/>
                </a:solidFill>
                <a:round/>
              </a:ln>
              <a:effectLst/>
            </c:spPr>
          </c:marker>
          <c:dLbls>
            <c:dLbl>
              <c:idx val="0"/>
              <c:layout>
                <c:manualLayout>
                  <c:x val="-6.4965441819772526E-2"/>
                  <c:y val="-6.0185185185185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C6F-4B9E-B382-9708B9736FC7}"/>
                </c:ext>
              </c:extLst>
            </c:dLbl>
            <c:dLbl>
              <c:idx val="1"/>
              <c:delete val="1"/>
              <c:extLst>
                <c:ext xmlns:c15="http://schemas.microsoft.com/office/drawing/2012/chart" uri="{CE6537A1-D6FC-4f65-9D91-7224C49458BB}"/>
                <c:ext xmlns:c16="http://schemas.microsoft.com/office/drawing/2014/chart" uri="{C3380CC4-5D6E-409C-BE32-E72D297353CC}">
                  <c16:uniqueId val="{00000003-DC6F-4B9E-B382-9708B9736FC7}"/>
                </c:ext>
              </c:extLst>
            </c:dLbl>
            <c:dLbl>
              <c:idx val="2"/>
              <c:delete val="1"/>
              <c:extLst>
                <c:ext xmlns:c15="http://schemas.microsoft.com/office/drawing/2012/chart" uri="{CE6537A1-D6FC-4f65-9D91-7224C49458BB}"/>
                <c:ext xmlns:c16="http://schemas.microsoft.com/office/drawing/2014/chart" uri="{C3380CC4-5D6E-409C-BE32-E72D297353CC}">
                  <c16:uniqueId val="{00000004-DC6F-4B9E-B382-9708B9736FC7}"/>
                </c:ext>
              </c:extLst>
            </c:dLbl>
            <c:dLbl>
              <c:idx val="3"/>
              <c:delete val="1"/>
              <c:extLst>
                <c:ext xmlns:c15="http://schemas.microsoft.com/office/drawing/2012/chart" uri="{CE6537A1-D6FC-4f65-9D91-7224C49458BB}"/>
                <c:ext xmlns:c16="http://schemas.microsoft.com/office/drawing/2014/chart" uri="{C3380CC4-5D6E-409C-BE32-E72D297353CC}">
                  <c16:uniqueId val="{00000009-DC6F-4B9E-B382-9708B9736FC7}"/>
                </c:ext>
              </c:extLst>
            </c:dLbl>
            <c:dLbl>
              <c:idx val="4"/>
              <c:delete val="1"/>
              <c:extLst>
                <c:ext xmlns:c15="http://schemas.microsoft.com/office/drawing/2012/chart" uri="{CE6537A1-D6FC-4f65-9D91-7224C49458BB}"/>
                <c:ext xmlns:c16="http://schemas.microsoft.com/office/drawing/2014/chart" uri="{C3380CC4-5D6E-409C-BE32-E72D297353CC}">
                  <c16:uniqueId val="{00000008-DC6F-4B9E-B382-9708B9736FC7}"/>
                </c:ext>
              </c:extLst>
            </c:dLbl>
            <c:dLbl>
              <c:idx val="5"/>
              <c:delete val="1"/>
              <c:extLst>
                <c:ext xmlns:c15="http://schemas.microsoft.com/office/drawing/2012/chart" uri="{CE6537A1-D6FC-4f65-9D91-7224C49458BB}"/>
                <c:ext xmlns:c16="http://schemas.microsoft.com/office/drawing/2014/chart" uri="{C3380CC4-5D6E-409C-BE32-E72D297353CC}">
                  <c16:uniqueId val="{00000007-DC6F-4B9E-B382-9708B9736FC7}"/>
                </c:ext>
              </c:extLst>
            </c:dLbl>
            <c:dLbl>
              <c:idx val="6"/>
              <c:delete val="1"/>
              <c:extLst>
                <c:ext xmlns:c15="http://schemas.microsoft.com/office/drawing/2012/chart" uri="{CE6537A1-D6FC-4f65-9D91-7224C49458BB}"/>
                <c:ext xmlns:c16="http://schemas.microsoft.com/office/drawing/2014/chart" uri="{C3380CC4-5D6E-409C-BE32-E72D297353CC}">
                  <c16:uniqueId val="{00000006-DC6F-4B9E-B382-9708B9736FC7}"/>
                </c:ext>
              </c:extLst>
            </c:dLbl>
            <c:dLbl>
              <c:idx val="7"/>
              <c:delete val="1"/>
              <c:extLst>
                <c:ext xmlns:c15="http://schemas.microsoft.com/office/drawing/2012/chart" uri="{CE6537A1-D6FC-4f65-9D91-7224C49458BB}"/>
                <c:ext xmlns:c16="http://schemas.microsoft.com/office/drawing/2014/chart" uri="{C3380CC4-5D6E-409C-BE32-E72D297353CC}">
                  <c16:uniqueId val="{00000005-DC6F-4B9E-B382-9708B9736FC7}"/>
                </c:ext>
              </c:extLst>
            </c:dLbl>
            <c:dLbl>
              <c:idx val="8"/>
              <c:layout>
                <c:manualLayout>
                  <c:x val="-1.9698381452318461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C6F-4B9E-B382-9708B9736FC7}"/>
                </c:ext>
              </c:extLst>
            </c:dLbl>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 FWA at 3 GHz'!$H$16:$P$16</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'2. FWA at 3 GHz'!$H$98:$P$98</c:f>
              <c:numCache>
                <c:formatCode>"$"#,##0,," M"</c:formatCode>
                <c:ptCount val="9"/>
                <c:pt idx="0">
                  <c:v>6967850650</c:v>
                </c:pt>
                <c:pt idx="1">
                  <c:v>6485963802.5</c:v>
                </c:pt>
                <c:pt idx="2">
                  <c:v>7818540706.5999994</c:v>
                </c:pt>
                <c:pt idx="3">
                  <c:v>7932766998.489666</c:v>
                </c:pt>
                <c:pt idx="4">
                  <c:v>8366219950.7322798</c:v>
                </c:pt>
                <c:pt idx="5">
                  <c:v>8646466726.0385361</c:v>
                </c:pt>
                <c:pt idx="6">
                  <c:v>8493242867.963418</c:v>
                </c:pt>
                <c:pt idx="7">
                  <c:v>8940010561.9415398</c:v>
                </c:pt>
                <c:pt idx="8">
                  <c:v>9417210333.4116058</c:v>
                </c:pt>
              </c:numCache>
            </c:numRef>
          </c:val>
          <c:smooth val="0"/>
          <c:extLst>
            <c:ext xmlns:c16="http://schemas.microsoft.com/office/drawing/2014/chart" uri="{C3380CC4-5D6E-409C-BE32-E72D297353CC}">
              <c16:uniqueId val="{00000002-DC6F-4B9E-B382-9708B9736FC7}"/>
            </c:ext>
          </c:extLst>
        </c:ser>
        <c:ser>
          <c:idx val="0"/>
          <c:order val="1"/>
          <c:tx>
            <c:v>LTE for Fixed only</c:v>
          </c:tx>
          <c:spPr>
            <a:ln w="31750" cap="rnd">
              <a:solidFill>
                <a:schemeClr val="accent5"/>
              </a:solidFill>
              <a:prstDash val="sysDot"/>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5"/>
                </a:solidFill>
                <a:prstDash val="sysDot"/>
                <a:round/>
              </a:ln>
              <a:effectLst/>
            </c:spPr>
          </c:marker>
          <c:dLbls>
            <c:dLbl>
              <c:idx val="0"/>
              <c:layout>
                <c:manualLayout>
                  <c:x val="-6.4895888013998246E-2"/>
                  <c:y val="-5.5555555555555643E-2"/>
                </c:manualLayout>
              </c:layout>
              <c:spPr>
                <a:noFill/>
                <a:ln>
                  <a:noFill/>
                </a:ln>
                <a:effectLst/>
              </c:spPr>
              <c:txPr>
                <a:bodyPr rot="0" spcFirstLastPara="1" vertOverflow="ellipsis" vert="horz" wrap="square" anchor="ctr" anchorCtr="1"/>
                <a:lstStyle/>
                <a:p>
                  <a:pPr>
                    <a:defRPr sz="1200" b="0" i="0" u="none" strike="noStrike" kern="1200" baseline="0">
                      <a:solidFill>
                        <a:srgbClr val="FF0000"/>
                      </a:solidFill>
                      <a:latin typeface="Candara" panose="020E0502030303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C6F-4B9E-B382-9708B9736FC7}"/>
                </c:ext>
              </c:extLst>
            </c:dLbl>
            <c:dLbl>
              <c:idx val="1"/>
              <c:delete val="1"/>
              <c:extLst>
                <c:ext xmlns:c15="http://schemas.microsoft.com/office/drawing/2012/chart" uri="{CE6537A1-D6FC-4f65-9D91-7224C49458BB}"/>
                <c:ext xmlns:c16="http://schemas.microsoft.com/office/drawing/2014/chart" uri="{C3380CC4-5D6E-409C-BE32-E72D297353CC}">
                  <c16:uniqueId val="{0000000A-DC6F-4B9E-B382-9708B9736FC7}"/>
                </c:ext>
              </c:extLst>
            </c:dLbl>
            <c:dLbl>
              <c:idx val="2"/>
              <c:delete val="1"/>
              <c:extLst>
                <c:ext xmlns:c15="http://schemas.microsoft.com/office/drawing/2012/chart" uri="{CE6537A1-D6FC-4f65-9D91-7224C49458BB}"/>
                <c:ext xmlns:c16="http://schemas.microsoft.com/office/drawing/2014/chart" uri="{C3380CC4-5D6E-409C-BE32-E72D297353CC}">
                  <c16:uniqueId val="{0000000D-DC6F-4B9E-B382-9708B9736FC7}"/>
                </c:ext>
              </c:extLst>
            </c:dLbl>
            <c:dLbl>
              <c:idx val="3"/>
              <c:delete val="1"/>
              <c:extLst>
                <c:ext xmlns:c15="http://schemas.microsoft.com/office/drawing/2012/chart" uri="{CE6537A1-D6FC-4f65-9D91-7224C49458BB}"/>
                <c:ext xmlns:c16="http://schemas.microsoft.com/office/drawing/2014/chart" uri="{C3380CC4-5D6E-409C-BE32-E72D297353CC}">
                  <c16:uniqueId val="{0000000E-DC6F-4B9E-B382-9708B9736FC7}"/>
                </c:ext>
              </c:extLst>
            </c:dLbl>
            <c:dLbl>
              <c:idx val="4"/>
              <c:delete val="1"/>
              <c:extLst>
                <c:ext xmlns:c15="http://schemas.microsoft.com/office/drawing/2012/chart" uri="{CE6537A1-D6FC-4f65-9D91-7224C49458BB}"/>
                <c:ext xmlns:c16="http://schemas.microsoft.com/office/drawing/2014/chart" uri="{C3380CC4-5D6E-409C-BE32-E72D297353CC}">
                  <c16:uniqueId val="{00000011-DC6F-4B9E-B382-9708B9736FC7}"/>
                </c:ext>
              </c:extLst>
            </c:dLbl>
            <c:dLbl>
              <c:idx val="5"/>
              <c:delete val="1"/>
              <c:extLst>
                <c:ext xmlns:c15="http://schemas.microsoft.com/office/drawing/2012/chart" uri="{CE6537A1-D6FC-4f65-9D91-7224C49458BB}"/>
                <c:ext xmlns:c16="http://schemas.microsoft.com/office/drawing/2014/chart" uri="{C3380CC4-5D6E-409C-BE32-E72D297353CC}">
                  <c16:uniqueId val="{00000015-DC6F-4B9E-B382-9708B9736FC7}"/>
                </c:ext>
              </c:extLst>
            </c:dLbl>
            <c:dLbl>
              <c:idx val="6"/>
              <c:delete val="1"/>
              <c:extLst>
                <c:ext xmlns:c15="http://schemas.microsoft.com/office/drawing/2012/chart" uri="{CE6537A1-D6FC-4f65-9D91-7224C49458BB}"/>
                <c:ext xmlns:c16="http://schemas.microsoft.com/office/drawing/2014/chart" uri="{C3380CC4-5D6E-409C-BE32-E72D297353CC}">
                  <c16:uniqueId val="{00000014-DC6F-4B9E-B382-9708B9736FC7}"/>
                </c:ext>
              </c:extLst>
            </c:dLbl>
            <c:dLbl>
              <c:idx val="7"/>
              <c:delete val="1"/>
              <c:extLst>
                <c:ext xmlns:c15="http://schemas.microsoft.com/office/drawing/2012/chart" uri="{CE6537A1-D6FC-4f65-9D91-7224C49458BB}"/>
                <c:ext xmlns:c16="http://schemas.microsoft.com/office/drawing/2014/chart" uri="{C3380CC4-5D6E-409C-BE32-E72D297353CC}">
                  <c16:uniqueId val="{00000016-DC6F-4B9E-B382-9708B9736FC7}"/>
                </c:ext>
              </c:extLst>
            </c:dLbl>
            <c:dLbl>
              <c:idx val="8"/>
              <c:layout>
                <c:manualLayout>
                  <c:x val="-3.2743219597550305E-2"/>
                  <c:y val="-6.4814814814814894E-2"/>
                </c:manualLayout>
              </c:layout>
              <c:spPr>
                <a:noFill/>
                <a:ln>
                  <a:noFill/>
                </a:ln>
                <a:effectLst/>
              </c:spPr>
              <c:txPr>
                <a:bodyPr rot="0" spcFirstLastPara="1" vertOverflow="ellipsis" vert="horz" wrap="square" anchor="ctr" anchorCtr="1"/>
                <a:lstStyle/>
                <a:p>
                  <a:pPr>
                    <a:defRPr sz="1200" b="0" i="0" u="none" strike="noStrike" kern="1200" baseline="0">
                      <a:solidFill>
                        <a:srgbClr val="FF0000"/>
                      </a:solidFill>
                      <a:latin typeface="Candara" panose="020E0502030303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C6F-4B9E-B382-9708B9736FC7}"/>
                </c:ext>
              </c:extLst>
            </c:dLbl>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 FWA at 3 GHz'!$H$16:$P$16</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'2. FWA at 3 GHz'!$H$82:$P$82</c:f>
              <c:numCache>
                <c:formatCode>"$"#,##0,," M"</c:formatCode>
                <c:ptCount val="9"/>
                <c:pt idx="0">
                  <c:v>-816285600</c:v>
                </c:pt>
                <c:pt idx="1">
                  <c:v>-774053800</c:v>
                </c:pt>
                <c:pt idx="2">
                  <c:v>-705317600</c:v>
                </c:pt>
                <c:pt idx="3">
                  <c:v>-623299733.33333337</c:v>
                </c:pt>
                <c:pt idx="4">
                  <c:v>-515975200.00000012</c:v>
                </c:pt>
                <c:pt idx="5">
                  <c:v>-405400666.66666675</c:v>
                </c:pt>
                <c:pt idx="6">
                  <c:v>-493850796.3235296</c:v>
                </c:pt>
                <c:pt idx="7">
                  <c:v>-656136172.58986938</c:v>
                </c:pt>
                <c:pt idx="8">
                  <c:v>-787107916.12881267</c:v>
                </c:pt>
              </c:numCache>
            </c:numRef>
          </c:val>
          <c:smooth val="0"/>
          <c:extLst>
            <c:ext xmlns:c16="http://schemas.microsoft.com/office/drawing/2014/chart" uri="{C3380CC4-5D6E-409C-BE32-E72D297353CC}">
              <c16:uniqueId val="{00000000-DC6F-4B9E-B382-9708B9736FC7}"/>
            </c:ext>
          </c:extLst>
        </c:ser>
        <c:ser>
          <c:idx val="1"/>
          <c:order val="2"/>
          <c:tx>
            <c:v>LTE+5G for Fixed only</c:v>
          </c:tx>
          <c:spPr>
            <a:ln w="31750" cap="rnd">
              <a:solidFill>
                <a:schemeClr val="tx2"/>
              </a:solidFill>
              <a:prstDash val="sysDash"/>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tx2"/>
                </a:solidFill>
                <a:prstDash val="sysDash"/>
                <a:round/>
              </a:ln>
              <a:effectLst/>
            </c:spPr>
          </c:marker>
          <c:dLbls>
            <c:dLbl>
              <c:idx val="0"/>
              <c:layout>
                <c:manualLayout>
                  <c:x val="-6.3236150096524016E-2"/>
                  <c:y val="6.50424935087881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C6F-4B9E-B382-9708B9736FC7}"/>
                </c:ext>
              </c:extLst>
            </c:dLbl>
            <c:dLbl>
              <c:idx val="1"/>
              <c:delete val="1"/>
              <c:extLst>
                <c:ext xmlns:c15="http://schemas.microsoft.com/office/drawing/2012/chart" uri="{CE6537A1-D6FC-4f65-9D91-7224C49458BB}"/>
                <c:ext xmlns:c16="http://schemas.microsoft.com/office/drawing/2014/chart" uri="{C3380CC4-5D6E-409C-BE32-E72D297353CC}">
                  <c16:uniqueId val="{0000000B-DC6F-4B9E-B382-9708B9736FC7}"/>
                </c:ext>
              </c:extLst>
            </c:dLbl>
            <c:dLbl>
              <c:idx val="2"/>
              <c:delete val="1"/>
              <c:extLst>
                <c:ext xmlns:c15="http://schemas.microsoft.com/office/drawing/2012/chart" uri="{CE6537A1-D6FC-4f65-9D91-7224C49458BB}"/>
                <c:ext xmlns:c16="http://schemas.microsoft.com/office/drawing/2014/chart" uri="{C3380CC4-5D6E-409C-BE32-E72D297353CC}">
                  <c16:uniqueId val="{0000000C-DC6F-4B9E-B382-9708B9736FC7}"/>
                </c:ext>
              </c:extLst>
            </c:dLbl>
            <c:dLbl>
              <c:idx val="3"/>
              <c:delete val="1"/>
              <c:extLst>
                <c:ext xmlns:c15="http://schemas.microsoft.com/office/drawing/2012/chart" uri="{CE6537A1-D6FC-4f65-9D91-7224C49458BB}"/>
                <c:ext xmlns:c16="http://schemas.microsoft.com/office/drawing/2014/chart" uri="{C3380CC4-5D6E-409C-BE32-E72D297353CC}">
                  <c16:uniqueId val="{0000000F-DC6F-4B9E-B382-9708B9736FC7}"/>
                </c:ext>
              </c:extLst>
            </c:dLbl>
            <c:dLbl>
              <c:idx val="4"/>
              <c:delete val="1"/>
              <c:extLst>
                <c:ext xmlns:c15="http://schemas.microsoft.com/office/drawing/2012/chart" uri="{CE6537A1-D6FC-4f65-9D91-7224C49458BB}"/>
                <c:ext xmlns:c16="http://schemas.microsoft.com/office/drawing/2014/chart" uri="{C3380CC4-5D6E-409C-BE32-E72D297353CC}">
                  <c16:uniqueId val="{00000010-DC6F-4B9E-B382-9708B9736FC7}"/>
                </c:ext>
              </c:extLst>
            </c:dLbl>
            <c:dLbl>
              <c:idx val="5"/>
              <c:delete val="1"/>
              <c:extLst>
                <c:ext xmlns:c15="http://schemas.microsoft.com/office/drawing/2012/chart" uri="{CE6537A1-D6FC-4f65-9D91-7224C49458BB}"/>
                <c:ext xmlns:c16="http://schemas.microsoft.com/office/drawing/2014/chart" uri="{C3380CC4-5D6E-409C-BE32-E72D297353CC}">
                  <c16:uniqueId val="{00000012-DC6F-4B9E-B382-9708B9736FC7}"/>
                </c:ext>
              </c:extLst>
            </c:dLbl>
            <c:dLbl>
              <c:idx val="6"/>
              <c:delete val="1"/>
              <c:extLst>
                <c:ext xmlns:c15="http://schemas.microsoft.com/office/drawing/2012/chart" uri="{CE6537A1-D6FC-4f65-9D91-7224C49458BB}"/>
                <c:ext xmlns:c16="http://schemas.microsoft.com/office/drawing/2014/chart" uri="{C3380CC4-5D6E-409C-BE32-E72D297353CC}">
                  <c16:uniqueId val="{00000013-DC6F-4B9E-B382-9708B9736FC7}"/>
                </c:ext>
              </c:extLst>
            </c:dLbl>
            <c:dLbl>
              <c:idx val="7"/>
              <c:delete val="1"/>
              <c:extLst>
                <c:ext xmlns:c15="http://schemas.microsoft.com/office/drawing/2012/chart" uri="{CE6537A1-D6FC-4f65-9D91-7224C49458BB}"/>
                <c:ext xmlns:c16="http://schemas.microsoft.com/office/drawing/2014/chart" uri="{C3380CC4-5D6E-409C-BE32-E72D297353CC}">
                  <c16:uniqueId val="{00000017-DC6F-4B9E-B382-9708B9736FC7}"/>
                </c:ext>
              </c:extLst>
            </c:dLbl>
            <c:dLbl>
              <c:idx val="8"/>
              <c:layout>
                <c:manualLayout>
                  <c:x val="-3.1694663167104113E-2"/>
                  <c:y val="6.0185185185185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C6F-4B9E-B382-9708B9736FC7}"/>
                </c:ext>
              </c:extLst>
            </c:dLbl>
            <c:spPr>
              <a:noFill/>
              <a:ln>
                <a:noFill/>
              </a:ln>
              <a:effectLst/>
            </c:spPr>
            <c:txPr>
              <a:bodyPr rot="0" spcFirstLastPara="1" vertOverflow="ellipsis" vert="horz" wrap="square" anchor="ctr" anchorCtr="1"/>
              <a:lstStyle/>
              <a:p>
                <a:pPr>
                  <a:defRPr sz="1200" b="0" i="0" u="none" strike="noStrike" kern="1200" baseline="0">
                    <a:solidFill>
                      <a:srgbClr val="FF0000"/>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 FWA at 3 GHz'!$H$16:$P$16</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'2. FWA at 3 GHz'!$H$90:$P$90</c:f>
              <c:numCache>
                <c:formatCode>"$"#,##0,," M"</c:formatCode>
                <c:ptCount val="9"/>
                <c:pt idx="0">
                  <c:v>-909905600</c:v>
                </c:pt>
                <c:pt idx="1">
                  <c:v>-1710053800.0000002</c:v>
                </c:pt>
                <c:pt idx="2">
                  <c:v>-705317600</c:v>
                </c:pt>
                <c:pt idx="3">
                  <c:v>-928767233.33333325</c:v>
                </c:pt>
                <c:pt idx="4">
                  <c:v>-843087700.00000012</c:v>
                </c:pt>
                <c:pt idx="5">
                  <c:v>-920980666.66666675</c:v>
                </c:pt>
                <c:pt idx="6">
                  <c:v>-1442986133.3333335</c:v>
                </c:pt>
                <c:pt idx="7">
                  <c:v>-1375924333.333333</c:v>
                </c:pt>
                <c:pt idx="8">
                  <c:v>-1289644200.0000002</c:v>
                </c:pt>
              </c:numCache>
            </c:numRef>
          </c:val>
          <c:smooth val="0"/>
          <c:extLst>
            <c:ext xmlns:c16="http://schemas.microsoft.com/office/drawing/2014/chart" uri="{C3380CC4-5D6E-409C-BE32-E72D297353CC}">
              <c16:uniqueId val="{00000001-DC6F-4B9E-B382-9708B9736FC7}"/>
            </c:ext>
          </c:extLst>
        </c:ser>
        <c:dLbls>
          <c:dLblPos val="ctr"/>
          <c:showLegendKey val="0"/>
          <c:showVal val="1"/>
          <c:showCatName val="0"/>
          <c:showSerName val="0"/>
          <c:showPercent val="0"/>
          <c:showBubbleSize val="0"/>
        </c:dLbls>
        <c:marker val="1"/>
        <c:smooth val="0"/>
        <c:axId val="133100672"/>
        <c:axId val="133102208"/>
      </c:lineChart>
      <c:catAx>
        <c:axId val="133100672"/>
        <c:scaling>
          <c:orientation val="minMax"/>
        </c:scaling>
        <c:delete val="0"/>
        <c:axPos val="b"/>
        <c:numFmt formatCode="General" sourceLinked="1"/>
        <c:majorTickMark val="out"/>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Candara" panose="020E0502030303020204" pitchFamily="34" charset="0"/>
                <a:ea typeface="+mn-ea"/>
                <a:cs typeface="+mn-cs"/>
              </a:defRPr>
            </a:pPr>
            <a:endParaRPr lang="en-US"/>
          </a:p>
        </c:txPr>
        <c:crossAx val="133102208"/>
        <c:crosses val="autoZero"/>
        <c:auto val="1"/>
        <c:lblAlgn val="ctr"/>
        <c:lblOffset val="100"/>
        <c:noMultiLvlLbl val="0"/>
      </c:catAx>
      <c:valAx>
        <c:axId val="1331022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2"/>
                    </a:solidFill>
                    <a:latin typeface="Candara" panose="020E0502030303020204" pitchFamily="34" charset="0"/>
                    <a:ea typeface="+mn-ea"/>
                    <a:cs typeface="+mn-cs"/>
                  </a:defRPr>
                </a:pPr>
                <a:r>
                  <a:rPr lang="en-US"/>
                  <a:t>Net Cash Flow ($)</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2"/>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Candara" panose="020E0502030303020204" pitchFamily="34" charset="0"/>
                <a:ea typeface="+mn-ea"/>
                <a:cs typeface="+mn-cs"/>
              </a:defRPr>
            </a:pPr>
            <a:endParaRPr lang="en-US"/>
          </a:p>
        </c:txPr>
        <c:crossAx val="133100672"/>
        <c:crosses val="autoZero"/>
        <c:crossBetween val="between"/>
      </c:valAx>
      <c:spPr>
        <a:noFill/>
        <a:ln>
          <a:noFill/>
        </a:ln>
        <a:effectLst/>
      </c:spPr>
    </c:plotArea>
    <c:legend>
      <c:legendPos val="r"/>
      <c:layout>
        <c:manualLayout>
          <c:xMode val="edge"/>
          <c:yMode val="edge"/>
          <c:x val="0.2028090632191426"/>
          <c:y val="0.32393594696095673"/>
          <c:w val="0.31212799504685002"/>
          <c:h val="0.19423804115180496"/>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2"/>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7060125389465"/>
          <c:y val="5.3633765753171192E-2"/>
          <c:w val="0.68130396743885291"/>
          <c:h val="0.82118446029755421"/>
        </c:manualLayout>
      </c:layout>
      <c:barChart>
        <c:barDir val="col"/>
        <c:grouping val="stacked"/>
        <c:varyColors val="0"/>
        <c:ser>
          <c:idx val="0"/>
          <c:order val="0"/>
          <c:tx>
            <c:strRef>
              <c:f>'2. FWA at 3 GHz'!$G$38</c:f>
              <c:strCache>
                <c:ptCount val="1"/>
                <c:pt idx="0">
                  <c:v>LTE capacity</c:v>
                </c:pt>
              </c:strCache>
            </c:strRef>
          </c:tx>
          <c:spPr>
            <a:solidFill>
              <a:schemeClr val="accent3"/>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'2. FWA at 3 GHz'!$H$38:$P$38</c:f>
              <c:numCache>
                <c:formatCode>_(* #,##0_);_(* \(#,##0\);_(* "-"??_);_(@_)</c:formatCode>
                <c:ptCount val="9"/>
                <c:pt idx="0">
                  <c:v>458.14012738853501</c:v>
                </c:pt>
                <c:pt idx="1">
                  <c:v>487.03184713375799</c:v>
                </c:pt>
                <c:pt idx="2">
                  <c:v>513.171974522293</c:v>
                </c:pt>
                <c:pt idx="3">
                  <c:v>539.31210191082812</c:v>
                </c:pt>
                <c:pt idx="4">
                  <c:v>648.00000000000011</c:v>
                </c:pt>
                <c:pt idx="5">
                  <c:v>674.14012738853512</c:v>
                </c:pt>
                <c:pt idx="6">
                  <c:v>700.28025477707013</c:v>
                </c:pt>
                <c:pt idx="7">
                  <c:v>716.78980891719743</c:v>
                </c:pt>
                <c:pt idx="8">
                  <c:v>733.29936305732485</c:v>
                </c:pt>
              </c:numCache>
            </c:numRef>
          </c:val>
          <c:extLst>
            <c:ext xmlns:c16="http://schemas.microsoft.com/office/drawing/2014/chart" uri="{C3380CC4-5D6E-409C-BE32-E72D297353CC}">
              <c16:uniqueId val="{00000000-748B-40F8-A505-16373023A2E2}"/>
            </c:ext>
          </c:extLst>
        </c:ser>
        <c:ser>
          <c:idx val="3"/>
          <c:order val="1"/>
          <c:tx>
            <c:strRef>
              <c:f>'2. FWA at 3 GHz'!$G$39</c:f>
              <c:strCache>
                <c:ptCount val="1"/>
                <c:pt idx="0">
                  <c:v>5G at 3-4 GHz</c:v>
                </c:pt>
              </c:strCache>
            </c:strRef>
          </c:tx>
          <c:spPr>
            <a:solidFill>
              <a:schemeClr val="tx1"/>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'2. FWA at 3 GHz'!$H$39:$P$39</c:f>
              <c:numCache>
                <c:formatCode>_(* #,##0_);_(* \(#,##0\);_(* "-"??_);_(@_)</c:formatCode>
                <c:ptCount val="9"/>
                <c:pt idx="0">
                  <c:v>0</c:v>
                </c:pt>
                <c:pt idx="1">
                  <c:v>0</c:v>
                </c:pt>
                <c:pt idx="2">
                  <c:v>0</c:v>
                </c:pt>
                <c:pt idx="3">
                  <c:v>120.03821656050958</c:v>
                </c:pt>
                <c:pt idx="4">
                  <c:v>229.07006369426756</c:v>
                </c:pt>
                <c:pt idx="5">
                  <c:v>436.12738853503191</c:v>
                </c:pt>
                <c:pt idx="6">
                  <c:v>872.25477707006382</c:v>
                </c:pt>
                <c:pt idx="7">
                  <c:v>1416.3821656050957</c:v>
                </c:pt>
                <c:pt idx="8">
                  <c:v>1786.471337579618</c:v>
                </c:pt>
              </c:numCache>
            </c:numRef>
          </c:val>
          <c:extLst>
            <c:ext xmlns:c16="http://schemas.microsoft.com/office/drawing/2014/chart" uri="{C3380CC4-5D6E-409C-BE32-E72D297353CC}">
              <c16:uniqueId val="{00000001-748B-40F8-A505-16373023A2E2}"/>
            </c:ext>
          </c:extLst>
        </c:ser>
        <c:dLbls>
          <c:showLegendKey val="0"/>
          <c:showVal val="0"/>
          <c:showCatName val="0"/>
          <c:showSerName val="0"/>
          <c:showPercent val="0"/>
          <c:showBubbleSize val="0"/>
        </c:dLbls>
        <c:gapWidth val="150"/>
        <c:overlap val="100"/>
        <c:axId val="132967808"/>
        <c:axId val="132973696"/>
      </c:barChart>
      <c:lineChart>
        <c:grouping val="standard"/>
        <c:varyColors val="0"/>
        <c:ser>
          <c:idx val="4"/>
          <c:order val="2"/>
          <c:tx>
            <c:v>Fixed demand</c:v>
          </c:tx>
          <c:spPr>
            <a:ln w="28575" cap="rnd">
              <a:solidFill>
                <a:srgbClr val="C00000"/>
              </a:solidFill>
              <a:prstDash val="solid"/>
              <a:round/>
            </a:ln>
            <a:effectLst/>
          </c:spPr>
          <c:marker>
            <c:symbol val="none"/>
          </c:marker>
          <c:val>
            <c:numRef>
              <c:f>'2. FWA at 3 GHz'!$H$22:$P$22</c:f>
              <c:numCache>
                <c:formatCode>_(* #,##0_);_(* \(#,##0\);_(* "-"??_);_(@_)</c:formatCode>
                <c:ptCount val="9"/>
                <c:pt idx="0">
                  <c:v>0</c:v>
                </c:pt>
                <c:pt idx="1">
                  <c:v>43.312101910828027</c:v>
                </c:pt>
                <c:pt idx="2">
                  <c:v>103.94904458598725</c:v>
                </c:pt>
                <c:pt idx="3">
                  <c:v>207.8980891719745</c:v>
                </c:pt>
                <c:pt idx="4">
                  <c:v>374.21656050955414</c:v>
                </c:pt>
                <c:pt idx="5">
                  <c:v>598.74649681528649</c:v>
                </c:pt>
                <c:pt idx="6">
                  <c:v>898.11974522292985</c:v>
                </c:pt>
                <c:pt idx="7">
                  <c:v>1207.0729375796179</c:v>
                </c:pt>
                <c:pt idx="8">
                  <c:v>1551.9509197452228</c:v>
                </c:pt>
              </c:numCache>
            </c:numRef>
          </c:val>
          <c:smooth val="0"/>
          <c:extLst>
            <c:ext xmlns:c16="http://schemas.microsoft.com/office/drawing/2014/chart" uri="{C3380CC4-5D6E-409C-BE32-E72D297353CC}">
              <c16:uniqueId val="{00000002-748B-40F8-A505-16373023A2E2}"/>
            </c:ext>
          </c:extLst>
        </c:ser>
        <c:ser>
          <c:idx val="1"/>
          <c:order val="3"/>
          <c:tx>
            <c:v>Mobile demand</c:v>
          </c:tx>
          <c:spPr>
            <a:ln w="28575" cap="rnd">
              <a:solidFill>
                <a:schemeClr val="accent5"/>
              </a:solidFill>
              <a:prstDash val="solid"/>
              <a:round/>
            </a:ln>
            <a:effectLst/>
          </c:spPr>
          <c:marker>
            <c:symbol val="none"/>
          </c:marker>
          <c:val>
            <c:numRef>
              <c:f>'2. FWA at 3 GHz'!$H$23:$P$23</c:f>
              <c:numCache>
                <c:formatCode>_(* #,##0_);_(* \(#,##0\);_(* "-"??_);_(@_)</c:formatCode>
                <c:ptCount val="9"/>
                <c:pt idx="0">
                  <c:v>71.400900998430316</c:v>
                </c:pt>
                <c:pt idx="1">
                  <c:v>98.319040674838547</c:v>
                </c:pt>
                <c:pt idx="2">
                  <c:v>135.33326775242483</c:v>
                </c:pt>
                <c:pt idx="3">
                  <c:v>186.21337130165381</c:v>
                </c:pt>
                <c:pt idx="4">
                  <c:v>256.13122203567099</c:v>
                </c:pt>
                <c:pt idx="5">
                  <c:v>339.13671065834217</c:v>
                </c:pt>
                <c:pt idx="6">
                  <c:v>448.89368247140573</c:v>
                </c:pt>
                <c:pt idx="7">
                  <c:v>571.13705135870805</c:v>
                </c:pt>
                <c:pt idx="8">
                  <c:v>726.44624953519894</c:v>
                </c:pt>
              </c:numCache>
            </c:numRef>
          </c:val>
          <c:smooth val="0"/>
          <c:extLst>
            <c:ext xmlns:c16="http://schemas.microsoft.com/office/drawing/2014/chart" uri="{C3380CC4-5D6E-409C-BE32-E72D297353CC}">
              <c16:uniqueId val="{00000003-748B-40F8-A505-16373023A2E2}"/>
            </c:ext>
          </c:extLst>
        </c:ser>
        <c:ser>
          <c:idx val="2"/>
          <c:order val="4"/>
          <c:tx>
            <c:v>Mobile+Fixed demand</c:v>
          </c:tx>
          <c:spPr>
            <a:ln w="28575" cap="rnd">
              <a:solidFill>
                <a:schemeClr val="accent2">
                  <a:lumMod val="50000"/>
                </a:schemeClr>
              </a:solidFill>
              <a:prstDash val="sysDash"/>
              <a:round/>
            </a:ln>
            <a:effectLst/>
          </c:spPr>
          <c:marker>
            <c:symbol val="none"/>
          </c:marker>
          <c:val>
            <c:numRef>
              <c:f>'2. FWA at 3 GHz'!$H$24:$P$24</c:f>
              <c:numCache>
                <c:formatCode>_(* #,##0_);_(* \(#,##0\);_(* "-"??_);_(@_)</c:formatCode>
                <c:ptCount val="9"/>
                <c:pt idx="0">
                  <c:v>71.400900998430316</c:v>
                </c:pt>
                <c:pt idx="1">
                  <c:v>141.63114258566657</c:v>
                </c:pt>
                <c:pt idx="2">
                  <c:v>239.28231233841208</c:v>
                </c:pt>
                <c:pt idx="3">
                  <c:v>394.11146047362831</c:v>
                </c:pt>
                <c:pt idx="4">
                  <c:v>630.34778254522507</c:v>
                </c:pt>
                <c:pt idx="5">
                  <c:v>937.88320747362866</c:v>
                </c:pt>
                <c:pt idx="6">
                  <c:v>1347.0134276943356</c:v>
                </c:pt>
                <c:pt idx="7">
                  <c:v>1778.209988938326</c:v>
                </c:pt>
                <c:pt idx="8">
                  <c:v>2278.3971692804216</c:v>
                </c:pt>
              </c:numCache>
            </c:numRef>
          </c:val>
          <c:smooth val="0"/>
          <c:extLst>
            <c:ext xmlns:c16="http://schemas.microsoft.com/office/drawing/2014/chart" uri="{C3380CC4-5D6E-409C-BE32-E72D297353CC}">
              <c16:uniqueId val="{00000004-748B-40F8-A505-16373023A2E2}"/>
            </c:ext>
          </c:extLst>
        </c:ser>
        <c:dLbls>
          <c:showLegendKey val="0"/>
          <c:showVal val="0"/>
          <c:showCatName val="0"/>
          <c:showSerName val="0"/>
          <c:showPercent val="0"/>
          <c:showBubbleSize val="0"/>
        </c:dLbls>
        <c:marker val="1"/>
        <c:smooth val="0"/>
        <c:axId val="132967808"/>
        <c:axId val="132973696"/>
      </c:lineChart>
      <c:catAx>
        <c:axId val="1329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32973696"/>
        <c:crosses val="autoZero"/>
        <c:auto val="1"/>
        <c:lblAlgn val="ctr"/>
        <c:lblOffset val="100"/>
        <c:noMultiLvlLbl val="0"/>
      </c:catAx>
      <c:valAx>
        <c:axId val="13297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sz="1200"/>
                  <a:t>Capacity (GB/mo/km2)</a:t>
                </a:r>
              </a:p>
            </c:rich>
          </c:tx>
          <c:layout>
            <c:manualLayout>
              <c:xMode val="edge"/>
              <c:yMode val="edge"/>
              <c:x val="1.5561572589987516E-2"/>
              <c:y val="0.2716929727156330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32967808"/>
        <c:crosses val="autoZero"/>
        <c:crossBetween val="between"/>
      </c:valAx>
      <c:spPr>
        <a:noFill/>
        <a:ln>
          <a:noFill/>
          <a:prstDash val="solid"/>
        </a:ln>
        <a:effectLst/>
      </c:spPr>
    </c:plotArea>
    <c:legend>
      <c:legendPos val="r"/>
      <c:layout>
        <c:manualLayout>
          <c:xMode val="edge"/>
          <c:yMode val="edge"/>
          <c:x val="0.80507561060796251"/>
          <c:y val="0.34678247790273697"/>
          <c:w val="0.19141099457429481"/>
          <c:h val="0.32150013734046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89609219000165"/>
          <c:y val="4.0676687020429037E-2"/>
          <c:w val="0.67089979136368239"/>
          <c:h val="0.83613839657534983"/>
        </c:manualLayout>
      </c:layout>
      <c:barChart>
        <c:barDir val="col"/>
        <c:grouping val="stacked"/>
        <c:varyColors val="0"/>
        <c:ser>
          <c:idx val="2"/>
          <c:order val="0"/>
          <c:tx>
            <c:v>Net Cash</c:v>
          </c:tx>
          <c:spPr>
            <a:solidFill>
              <a:schemeClr val="accent5"/>
            </a:solidFill>
            <a:ln>
              <a:noFill/>
            </a:ln>
            <a:effectLst/>
          </c:spPr>
          <c:invertIfNegative val="0"/>
          <c:dLbls>
            <c:dLbl>
              <c:idx val="0"/>
              <c:layout>
                <c:manualLayout>
                  <c:x val="6.0504214491728077E-3"/>
                  <c:y val="-0.11221119196195734"/>
                </c:manualLayout>
              </c:layout>
              <c:tx>
                <c:rich>
                  <a:bodyPr/>
                  <a:lstStyle/>
                  <a:p>
                    <a:fld id="{3A37CD40-9E87-4052-8821-B752965580C1}" type="VALUE">
                      <a:rPr lang="en-US">
                        <a:solidFill>
                          <a:srgbClr val="FF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CEC-419D-8607-6B056F1527CA}"/>
                </c:ext>
              </c:extLst>
            </c:dLbl>
            <c:dLbl>
              <c:idx val="1"/>
              <c:layout>
                <c:manualLayout>
                  <c:x val="2.0168071497242319E-3"/>
                  <c:y val="-0.15511547124152927"/>
                </c:manualLayout>
              </c:layout>
              <c:tx>
                <c:rich>
                  <a:bodyPr rot="0" spcFirstLastPara="1" vertOverflow="ellipsis" vert="horz" wrap="square" lIns="38100" tIns="19050" rIns="38100" bIns="19050" anchor="ctr" anchorCtr="1">
                    <a:spAutoFit/>
                  </a:bodyPr>
                  <a:lstStyle/>
                  <a:p>
                    <a:pPr>
                      <a:defRPr sz="1200" b="0" i="0" u="none" strike="noStrike" kern="1200" baseline="0">
                        <a:solidFill>
                          <a:srgbClr val="FF0000"/>
                        </a:solidFill>
                        <a:latin typeface="Candara" panose="020E0502030303020204" pitchFamily="34" charset="0"/>
                        <a:ea typeface="+mn-ea"/>
                        <a:cs typeface="+mn-cs"/>
                      </a:defRPr>
                    </a:pPr>
                    <a:r>
                      <a:rPr lang="en-US">
                        <a:solidFill>
                          <a:srgbClr val="FF0000"/>
                        </a:solidFill>
                      </a:rPr>
                      <a:t>-$1.7B</a:t>
                    </a: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FF000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CEC-419D-8607-6B056F1527CA}"/>
                </c:ext>
              </c:extLst>
            </c:dLbl>
            <c:dLbl>
              <c:idx val="8"/>
              <c:layout>
                <c:manualLayout>
                  <c:x val="1.4117650048069884E-2"/>
                  <c:y val="-0.14851429315394787"/>
                </c:manualLayout>
              </c:layout>
              <c:tx>
                <c:rich>
                  <a:bodyPr/>
                  <a:lstStyle/>
                  <a:p>
                    <a:r>
                      <a:rPr lang="en-US">
                        <a:solidFill>
                          <a:srgbClr val="FF0000"/>
                        </a:solidFill>
                      </a:rPr>
                      <a:t>-$1.3B</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EC-419D-8607-6B056F1527C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FWA at 3 GHz'!$H$16:$P$16</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'2. FWA at 3 GHz'!$H$68:$P$68</c:f>
              <c:numCache>
                <c:formatCode>"$"#,##0,," M"</c:formatCode>
                <c:ptCount val="9"/>
                <c:pt idx="0">
                  <c:v>-909905600</c:v>
                </c:pt>
                <c:pt idx="1">
                  <c:v>-1710053800.0000002</c:v>
                </c:pt>
                <c:pt idx="2">
                  <c:v>-705317600</c:v>
                </c:pt>
                <c:pt idx="3">
                  <c:v>-928767233.33333325</c:v>
                </c:pt>
                <c:pt idx="4">
                  <c:v>-843087700.00000012</c:v>
                </c:pt>
                <c:pt idx="5">
                  <c:v>-920980666.66666663</c:v>
                </c:pt>
                <c:pt idx="6">
                  <c:v>-1442986133.3333337</c:v>
                </c:pt>
                <c:pt idx="7">
                  <c:v>-1375924333.3333333</c:v>
                </c:pt>
                <c:pt idx="8">
                  <c:v>-1289644200.0000002</c:v>
                </c:pt>
              </c:numCache>
            </c:numRef>
          </c:val>
          <c:extLst>
            <c:ext xmlns:c16="http://schemas.microsoft.com/office/drawing/2014/chart" uri="{C3380CC4-5D6E-409C-BE32-E72D297353CC}">
              <c16:uniqueId val="{00000008-9CEC-419D-8607-6B056F1527CA}"/>
            </c:ext>
          </c:extLst>
        </c:ser>
        <c:ser>
          <c:idx val="0"/>
          <c:order val="1"/>
          <c:tx>
            <c:v>Network cost</c:v>
          </c:tx>
          <c:spPr>
            <a:solidFill>
              <a:schemeClr val="accent2">
                <a:lumMod val="50000"/>
              </a:schemeClr>
            </a:solidFill>
            <a:ln>
              <a:noFill/>
            </a:ln>
            <a:effectLst/>
          </c:spPr>
          <c:invertIfNegative val="0"/>
          <c:dLbls>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EC-419D-8607-6B056F1527CA}"/>
                </c:ext>
              </c:extLst>
            </c:dLbl>
            <c:dLbl>
              <c:idx val="8"/>
              <c:layout>
                <c:manualLayout>
                  <c:x val="0"/>
                  <c:y val="-0.10891086278660568"/>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r>
                      <a:rPr lang="en-US">
                        <a:solidFill>
                          <a:schemeClr val="accent2">
                            <a:lumMod val="50000"/>
                          </a:schemeClr>
                        </a:solidFill>
                      </a:rPr>
                      <a:t>$2.0B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EC-419D-8607-6B056F1527C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FWA at 3 GHz'!$H$16:$P$16</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'2. FWA at 3 GHz'!$H$66:$P$66</c:f>
              <c:numCache>
                <c:formatCode>"$"#,##0,," M"</c:formatCode>
                <c:ptCount val="9"/>
                <c:pt idx="0">
                  <c:v>909905600</c:v>
                </c:pt>
                <c:pt idx="1">
                  <c:v>1776223800.0000002</c:v>
                </c:pt>
                <c:pt idx="2">
                  <c:v>847407600</c:v>
                </c:pt>
                <c:pt idx="3">
                  <c:v>1168833900</c:v>
                </c:pt>
                <c:pt idx="4">
                  <c:v>1206437700</c:v>
                </c:pt>
                <c:pt idx="5">
                  <c:v>1410864000</c:v>
                </c:pt>
                <c:pt idx="6">
                  <c:v>2059402800.0000002</c:v>
                </c:pt>
                <c:pt idx="7">
                  <c:v>2074760999.9999998</c:v>
                </c:pt>
                <c:pt idx="8">
                  <c:v>2042344200</c:v>
                </c:pt>
              </c:numCache>
            </c:numRef>
          </c:val>
          <c:extLst>
            <c:ext xmlns:c16="http://schemas.microsoft.com/office/drawing/2014/chart" uri="{C3380CC4-5D6E-409C-BE32-E72D297353CC}">
              <c16:uniqueId val="{00000002-9CEC-419D-8607-6B056F1527CA}"/>
            </c:ext>
          </c:extLst>
        </c:ser>
        <c:ser>
          <c:idx val="1"/>
          <c:order val="2"/>
          <c:tx>
            <c:v>Serving cost</c:v>
          </c:tx>
          <c:spPr>
            <a:pattFill prst="dkUpDiag">
              <a:fgClr>
                <a:schemeClr val="accent2">
                  <a:lumMod val="50000"/>
                </a:schemeClr>
              </a:fgClr>
              <a:bgClr>
                <a:schemeClr val="bg1"/>
              </a:bgClr>
            </a:pattFill>
            <a:ln>
              <a:noFill/>
            </a:ln>
            <a:effectLst/>
          </c:spPr>
          <c:invertIfNegative val="0"/>
          <c:dLbls>
            <c:dLbl>
              <c:idx val="8"/>
              <c:layout>
                <c:manualLayout>
                  <c:x val="6.0504214491726594E-3"/>
                  <c:y val="-7.920790020844047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EC-419D-8607-6B056F1527C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 FWA at 3 GHz'!$H$16:$P$16</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'2. FWA at 3 GHz'!$H$67:$P$67</c:f>
              <c:numCache>
                <c:formatCode>"$"#,##0,," M"</c:formatCode>
                <c:ptCount val="9"/>
                <c:pt idx="0">
                  <c:v>0</c:v>
                </c:pt>
                <c:pt idx="1">
                  <c:v>42250000</c:v>
                </c:pt>
                <c:pt idx="2">
                  <c:v>74750000</c:v>
                </c:pt>
                <c:pt idx="3">
                  <c:v>121333333.33333333</c:v>
                </c:pt>
                <c:pt idx="4">
                  <c:v>178749999.99999997</c:v>
                </c:pt>
                <c:pt idx="5">
                  <c:v>232916666.66666666</c:v>
                </c:pt>
                <c:pt idx="6">
                  <c:v>287083333.33333331</c:v>
                </c:pt>
                <c:pt idx="7">
                  <c:v>313083333.33333331</c:v>
                </c:pt>
                <c:pt idx="8">
                  <c:v>331499999.99999994</c:v>
                </c:pt>
              </c:numCache>
            </c:numRef>
          </c:val>
          <c:extLst>
            <c:ext xmlns:c16="http://schemas.microsoft.com/office/drawing/2014/chart" uri="{C3380CC4-5D6E-409C-BE32-E72D297353CC}">
              <c16:uniqueId val="{00000005-9CEC-419D-8607-6B056F1527CA}"/>
            </c:ext>
          </c:extLst>
        </c:ser>
        <c:dLbls>
          <c:showLegendKey val="0"/>
          <c:showVal val="0"/>
          <c:showCatName val="0"/>
          <c:showSerName val="0"/>
          <c:showPercent val="0"/>
          <c:showBubbleSize val="0"/>
        </c:dLbls>
        <c:gapWidth val="150"/>
        <c:overlap val="100"/>
        <c:axId val="146961920"/>
        <c:axId val="146963456"/>
      </c:barChart>
      <c:lineChart>
        <c:grouping val="standard"/>
        <c:varyColors val="0"/>
        <c:ser>
          <c:idx val="3"/>
          <c:order val="3"/>
          <c:tx>
            <c:v>FWA revenue</c:v>
          </c:tx>
          <c:spPr>
            <a:ln w="28575" cap="rnd">
              <a:solidFill>
                <a:schemeClr val="accent4"/>
              </a:solidFill>
              <a:round/>
            </a:ln>
            <a:effectLst/>
          </c:spPr>
          <c:marker>
            <c:symbol val="none"/>
          </c:marker>
          <c:dLbls>
            <c:dLbl>
              <c:idx val="8"/>
              <c:layout>
                <c:manualLayout>
                  <c:x val="8.067228598897077E-3"/>
                  <c:y val="-2.3102304227461803E-2"/>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accent4"/>
                        </a:solidFill>
                        <a:latin typeface="Candara" panose="020E0502030303020204" pitchFamily="34" charset="0"/>
                        <a:ea typeface="+mn-ea"/>
                        <a:cs typeface="+mn-cs"/>
                      </a:defRPr>
                    </a:pPr>
                    <a:r>
                      <a:rPr lang="en-US">
                        <a:solidFill>
                          <a:schemeClr val="accent4"/>
                        </a:solidFill>
                      </a:rPr>
                      <a:t>$1.1B</a:t>
                    </a:r>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CEC-419D-8607-6B056F1527C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 FWA at 3 GHz'!$H$65:$P$65</c:f>
              <c:numCache>
                <c:formatCode>"$"#,##0,," M"</c:formatCode>
                <c:ptCount val="9"/>
                <c:pt idx="0">
                  <c:v>0</c:v>
                </c:pt>
                <c:pt idx="1">
                  <c:v>108419999.99999997</c:v>
                </c:pt>
                <c:pt idx="2">
                  <c:v>216839999.99999994</c:v>
                </c:pt>
                <c:pt idx="3">
                  <c:v>361400000</c:v>
                </c:pt>
                <c:pt idx="4">
                  <c:v>542099999.99999988</c:v>
                </c:pt>
                <c:pt idx="5">
                  <c:v>722800000</c:v>
                </c:pt>
                <c:pt idx="6">
                  <c:v>903499999.99999988</c:v>
                </c:pt>
                <c:pt idx="7">
                  <c:v>1011919999.9999999</c:v>
                </c:pt>
                <c:pt idx="8">
                  <c:v>1084199999.9999998</c:v>
                </c:pt>
              </c:numCache>
            </c:numRef>
          </c:val>
          <c:smooth val="0"/>
          <c:extLst>
            <c:ext xmlns:c16="http://schemas.microsoft.com/office/drawing/2014/chart" uri="{C3380CC4-5D6E-409C-BE32-E72D297353CC}">
              <c16:uniqueId val="{0000000C-9CEC-419D-8607-6B056F1527CA}"/>
            </c:ext>
          </c:extLst>
        </c:ser>
        <c:dLbls>
          <c:showLegendKey val="0"/>
          <c:showVal val="0"/>
          <c:showCatName val="0"/>
          <c:showSerName val="0"/>
          <c:showPercent val="0"/>
          <c:showBubbleSize val="0"/>
        </c:dLbls>
        <c:marker val="1"/>
        <c:smooth val="0"/>
        <c:axId val="146961920"/>
        <c:axId val="146963456"/>
      </c:lineChart>
      <c:catAx>
        <c:axId val="14696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46963456"/>
        <c:crosses val="autoZero"/>
        <c:auto val="1"/>
        <c:lblAlgn val="ctr"/>
        <c:lblOffset val="100"/>
        <c:noMultiLvlLbl val="0"/>
      </c:catAx>
      <c:valAx>
        <c:axId val="14696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Operating</a:t>
                </a:r>
                <a:r>
                  <a:rPr lang="en-US" baseline="0"/>
                  <a:t> Cash Flow</a:t>
                </a:r>
                <a:endParaRPr lang="en-US"/>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46961920"/>
        <c:crosses val="autoZero"/>
        <c:crossBetween val="between"/>
      </c:valAx>
      <c:spPr>
        <a:noFill/>
        <a:ln>
          <a:noFill/>
        </a:ln>
        <a:effectLst/>
      </c:spPr>
    </c:plotArea>
    <c:legend>
      <c:legendPos val="r"/>
      <c:layout>
        <c:manualLayout>
          <c:xMode val="edge"/>
          <c:yMode val="edge"/>
          <c:x val="0.82291353360175379"/>
          <c:y val="0.38859634921224778"/>
          <c:w val="0.17708659707994956"/>
          <c:h val="0.2706737686978590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63353938234356"/>
          <c:y val="5.3633765753171192E-2"/>
          <c:w val="0.69184419996565849"/>
          <c:h val="0.82118446029755421"/>
        </c:manualLayout>
      </c:layout>
      <c:barChart>
        <c:barDir val="col"/>
        <c:grouping val="stacked"/>
        <c:varyColors val="0"/>
        <c:ser>
          <c:idx val="0"/>
          <c:order val="0"/>
          <c:tx>
            <c:strRef>
              <c:f>'3.  USA OVERALL'!$B$27</c:f>
              <c:strCache>
                <c:ptCount val="1"/>
                <c:pt idx="0">
                  <c:v>Capacity below 6 GHz</c:v>
                </c:pt>
              </c:strCache>
            </c:strRef>
          </c:tx>
          <c:spPr>
            <a:solidFill>
              <a:schemeClr val="bg1">
                <a:lumMod val="75000"/>
              </a:schemeClr>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OVERALL'!$C$27:$K$27</c:f>
              <c:numCache>
                <c:formatCode>_(* #,##0_);_(* \(#,##0\);_(* "-"??_);_(@_)</c:formatCode>
                <c:ptCount val="9"/>
                <c:pt idx="0">
                  <c:v>2104780464</c:v>
                </c:pt>
                <c:pt idx="1">
                  <c:v>2675984040</c:v>
                </c:pt>
                <c:pt idx="2">
                  <c:v>3748168080</c:v>
                </c:pt>
                <c:pt idx="3">
                  <c:v>4955676390</c:v>
                </c:pt>
                <c:pt idx="4">
                  <c:v>6738846840</c:v>
                </c:pt>
                <c:pt idx="5">
                  <c:v>8616838320</c:v>
                </c:pt>
                <c:pt idx="6">
                  <c:v>9993839130</c:v>
                </c:pt>
                <c:pt idx="7">
                  <c:v>11046241755</c:v>
                </c:pt>
                <c:pt idx="8">
                  <c:v>12078458370</c:v>
                </c:pt>
              </c:numCache>
            </c:numRef>
          </c:val>
          <c:extLst>
            <c:ext xmlns:c16="http://schemas.microsoft.com/office/drawing/2014/chart" uri="{C3380CC4-5D6E-409C-BE32-E72D297353CC}">
              <c16:uniqueId val="{00000000-A6ED-48D5-A33E-A88FDD264006}"/>
            </c:ext>
          </c:extLst>
        </c:ser>
        <c:ser>
          <c:idx val="3"/>
          <c:order val="1"/>
          <c:tx>
            <c:strRef>
              <c:f>'3.  USA OVERALL'!$B$28</c:f>
              <c:strCache>
                <c:ptCount val="1"/>
                <c:pt idx="0">
                  <c:v>5G mm-wave</c:v>
                </c:pt>
              </c:strCache>
            </c:strRef>
          </c:tx>
          <c:spPr>
            <a:solidFill>
              <a:schemeClr val="tx1"/>
            </a:solidFill>
            <a:ln>
              <a:noFill/>
            </a:ln>
            <a:effectLst/>
          </c:spPr>
          <c:invertIfNegative val="0"/>
          <c:cat>
            <c:numRef>
              <c:f>'3.  USA OVERALL'!$C$9:$K$9</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OVERALL'!$C$28:$K$28</c:f>
              <c:numCache>
                <c:formatCode>_(* #,##0_);_(* \(#,##0\);_(* "-"??_);_(@_)</c:formatCode>
                <c:ptCount val="9"/>
                <c:pt idx="0">
                  <c:v>14580000</c:v>
                </c:pt>
                <c:pt idx="1">
                  <c:v>218700000</c:v>
                </c:pt>
                <c:pt idx="2">
                  <c:v>437400000</c:v>
                </c:pt>
                <c:pt idx="3">
                  <c:v>656100000</c:v>
                </c:pt>
                <c:pt idx="4">
                  <c:v>1093500000</c:v>
                </c:pt>
                <c:pt idx="5">
                  <c:v>1786050000</c:v>
                </c:pt>
                <c:pt idx="6">
                  <c:v>3025350000</c:v>
                </c:pt>
                <c:pt idx="7">
                  <c:v>5175900000</c:v>
                </c:pt>
                <c:pt idx="8">
                  <c:v>6779700000</c:v>
                </c:pt>
              </c:numCache>
            </c:numRef>
          </c:val>
          <c:extLst>
            <c:ext xmlns:c16="http://schemas.microsoft.com/office/drawing/2014/chart" uri="{C3380CC4-5D6E-409C-BE32-E72D297353CC}">
              <c16:uniqueId val="{00000001-A6ED-48D5-A33E-A88FDD264006}"/>
            </c:ext>
          </c:extLst>
        </c:ser>
        <c:dLbls>
          <c:showLegendKey val="0"/>
          <c:showVal val="0"/>
          <c:showCatName val="0"/>
          <c:showSerName val="0"/>
          <c:showPercent val="0"/>
          <c:showBubbleSize val="0"/>
        </c:dLbls>
        <c:gapWidth val="150"/>
        <c:overlap val="100"/>
        <c:axId val="146632704"/>
        <c:axId val="146634240"/>
      </c:barChart>
      <c:lineChart>
        <c:grouping val="standard"/>
        <c:varyColors val="0"/>
        <c:ser>
          <c:idx val="4"/>
          <c:order val="2"/>
          <c:tx>
            <c:strRef>
              <c:f>'3.  USA OVERALL'!$B$12</c:f>
              <c:strCache>
                <c:ptCount val="1"/>
                <c:pt idx="0">
                  <c:v>Demand (GB/mo)</c:v>
                </c:pt>
              </c:strCache>
            </c:strRef>
          </c:tx>
          <c:spPr>
            <a:ln w="28575" cap="rnd">
              <a:solidFill>
                <a:srgbClr val="C00000"/>
              </a:solidFill>
              <a:round/>
            </a:ln>
            <a:effectLst/>
          </c:spPr>
          <c:marker>
            <c:symbol val="none"/>
          </c:marker>
          <c:val>
            <c:numRef>
              <c:f>'3.  USA OVERALL'!$C$12:$K$12</c:f>
              <c:numCache>
                <c:formatCode>_(* #,##0_);_(* \(#,##0\);_(* "-"??_);_(@_)</c:formatCode>
                <c:ptCount val="9"/>
                <c:pt idx="0">
                  <c:v>1402737375</c:v>
                </c:pt>
                <c:pt idx="1">
                  <c:v>1972403784</c:v>
                </c:pt>
                <c:pt idx="2">
                  <c:v>2773244927.6999998</c:v>
                </c:pt>
                <c:pt idx="3">
                  <c:v>4024340040.6787496</c:v>
                </c:pt>
                <c:pt idx="4">
                  <c:v>5849774677.2903757</c:v>
                </c:pt>
                <c:pt idx="5">
                  <c:v>8194809527.009016</c:v>
                </c:pt>
                <c:pt idx="6">
                  <c:v>11114817451.369223</c:v>
                </c:pt>
                <c:pt idx="7">
                  <c:v>14509701905.255554</c:v>
                </c:pt>
                <c:pt idx="8">
                  <c:v>18455322598.789959</c:v>
                </c:pt>
              </c:numCache>
            </c:numRef>
          </c:val>
          <c:smooth val="0"/>
          <c:extLst>
            <c:ext xmlns:c16="http://schemas.microsoft.com/office/drawing/2014/chart" uri="{C3380CC4-5D6E-409C-BE32-E72D297353CC}">
              <c16:uniqueId val="{00000002-A6ED-48D5-A33E-A88FDD264006}"/>
            </c:ext>
          </c:extLst>
        </c:ser>
        <c:dLbls>
          <c:showLegendKey val="0"/>
          <c:showVal val="0"/>
          <c:showCatName val="0"/>
          <c:showSerName val="0"/>
          <c:showPercent val="0"/>
          <c:showBubbleSize val="0"/>
        </c:dLbls>
        <c:marker val="1"/>
        <c:smooth val="0"/>
        <c:axId val="146632704"/>
        <c:axId val="146634240"/>
      </c:lineChart>
      <c:catAx>
        <c:axId val="1466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46634240"/>
        <c:crosses val="autoZero"/>
        <c:auto val="1"/>
        <c:lblAlgn val="ctr"/>
        <c:lblOffset val="100"/>
        <c:noMultiLvlLbl val="0"/>
      </c:catAx>
      <c:valAx>
        <c:axId val="146634240"/>
        <c:scaling>
          <c:orientation val="minMax"/>
          <c:max val="20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r>
                  <a:rPr lang="en-US"/>
                  <a:t>Capacity (GB/mo)</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quot; B&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46632704"/>
        <c:crosses val="autoZero"/>
        <c:crossBetween val="between"/>
      </c:valAx>
      <c:spPr>
        <a:noFill/>
        <a:ln>
          <a:noFill/>
        </a:ln>
        <a:effectLst/>
      </c:spPr>
    </c:plotArea>
    <c:legend>
      <c:legendPos val="r"/>
      <c:layout>
        <c:manualLayout>
          <c:xMode val="edge"/>
          <c:yMode val="edge"/>
          <c:x val="0.80331886084332915"/>
          <c:y val="0.31343237483398712"/>
          <c:w val="0.18499889616601664"/>
          <c:h val="0.421379114699899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90219936439748"/>
          <c:y val="5.2335623652139021E-2"/>
          <c:w val="0.66684219942814249"/>
          <c:h val="0.80550417133152252"/>
        </c:manualLayout>
      </c:layout>
      <c:barChart>
        <c:barDir val="col"/>
        <c:grouping val="stacked"/>
        <c:varyColors val="0"/>
        <c:ser>
          <c:idx val="0"/>
          <c:order val="0"/>
          <c:tx>
            <c:strRef>
              <c:f>'3.  USA OVERALL'!$B$67</c:f>
              <c:strCache>
                <c:ptCount val="1"/>
                <c:pt idx="0">
                  <c:v>Dense Urban</c:v>
                </c:pt>
              </c:strCache>
            </c:strRef>
          </c:tx>
          <c:spPr>
            <a:solidFill>
              <a:schemeClr val="accent5">
                <a:lumMod val="50000"/>
              </a:schemeClr>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OVERALL'!$C$67:$K$67</c:f>
              <c:numCache>
                <c:formatCode>"$"#,##0,," M"</c:formatCode>
                <c:ptCount val="9"/>
                <c:pt idx="0">
                  <c:v>8550023761.6109428</c:v>
                </c:pt>
                <c:pt idx="1">
                  <c:v>536190052.5</c:v>
                </c:pt>
                <c:pt idx="2">
                  <c:v>9986092982.5999985</c:v>
                </c:pt>
                <c:pt idx="3">
                  <c:v>10200831288.602999</c:v>
                </c:pt>
                <c:pt idx="4">
                  <c:v>10278907268.533081</c:v>
                </c:pt>
                <c:pt idx="5">
                  <c:v>10600298477.864925</c:v>
                </c:pt>
                <c:pt idx="6">
                  <c:v>11108059542.102629</c:v>
                </c:pt>
                <c:pt idx="7">
                  <c:v>11502645974.318687</c:v>
                </c:pt>
                <c:pt idx="8">
                  <c:v>11930666797.766556</c:v>
                </c:pt>
              </c:numCache>
            </c:numRef>
          </c:val>
          <c:extLst>
            <c:ext xmlns:c16="http://schemas.microsoft.com/office/drawing/2014/chart" uri="{C3380CC4-5D6E-409C-BE32-E72D297353CC}">
              <c16:uniqueId val="{00000002-79AE-439E-89A5-181FBE1EE5F0}"/>
            </c:ext>
          </c:extLst>
        </c:ser>
        <c:ser>
          <c:idx val="1"/>
          <c:order val="1"/>
          <c:tx>
            <c:strRef>
              <c:f>'3.  USA OVERALL'!$B$68</c:f>
              <c:strCache>
                <c:ptCount val="1"/>
                <c:pt idx="0">
                  <c:v>Urban</c:v>
                </c:pt>
              </c:strCache>
            </c:strRef>
          </c:tx>
          <c:spPr>
            <a:solidFill>
              <a:schemeClr val="accent5"/>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OVERALL'!$C$68:$K$68</c:f>
              <c:numCache>
                <c:formatCode>"$"#,##0,," M"</c:formatCode>
                <c:ptCount val="9"/>
                <c:pt idx="0">
                  <c:v>9944289885.8852539</c:v>
                </c:pt>
                <c:pt idx="1">
                  <c:v>4130538659.0624962</c:v>
                </c:pt>
                <c:pt idx="2">
                  <c:v>11311731105.424999</c:v>
                </c:pt>
                <c:pt idx="3">
                  <c:v>11413890749.678375</c:v>
                </c:pt>
                <c:pt idx="4">
                  <c:v>11499373427.099712</c:v>
                </c:pt>
                <c:pt idx="5">
                  <c:v>11881308987.598038</c:v>
                </c:pt>
                <c:pt idx="6">
                  <c:v>12457139184.865454</c:v>
                </c:pt>
                <c:pt idx="7">
                  <c:v>13009517371.108524</c:v>
                </c:pt>
                <c:pt idx="8">
                  <c:v>13543040847.487373</c:v>
                </c:pt>
              </c:numCache>
            </c:numRef>
          </c:val>
          <c:extLst>
            <c:ext xmlns:c16="http://schemas.microsoft.com/office/drawing/2014/chart" uri="{C3380CC4-5D6E-409C-BE32-E72D297353CC}">
              <c16:uniqueId val="{00000001-79AE-439E-89A5-181FBE1EE5F0}"/>
            </c:ext>
          </c:extLst>
        </c:ser>
        <c:ser>
          <c:idx val="2"/>
          <c:order val="2"/>
          <c:tx>
            <c:strRef>
              <c:f>'3.  USA OVERALL'!$B$69</c:f>
              <c:strCache>
                <c:ptCount val="1"/>
                <c:pt idx="0">
                  <c:v>Suburban</c:v>
                </c:pt>
              </c:strCache>
            </c:strRef>
          </c:tx>
          <c:spPr>
            <a:solidFill>
              <a:schemeClr val="accent1"/>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OVERALL'!$C$69:$K$69</c:f>
              <c:numCache>
                <c:formatCode>"$"#,##0,," M"</c:formatCode>
                <c:ptCount val="9"/>
                <c:pt idx="0">
                  <c:v>11366050177.906532</c:v>
                </c:pt>
                <c:pt idx="1">
                  <c:v>8377319964.0625</c:v>
                </c:pt>
                <c:pt idx="2">
                  <c:v>12416605522.625</c:v>
                </c:pt>
                <c:pt idx="3">
                  <c:v>12605829355.444374</c:v>
                </c:pt>
                <c:pt idx="4">
                  <c:v>12937421657.167473</c:v>
                </c:pt>
                <c:pt idx="5">
                  <c:v>13116881951.057322</c:v>
                </c:pt>
                <c:pt idx="6">
                  <c:v>13744345102.479897</c:v>
                </c:pt>
                <c:pt idx="7">
                  <c:v>14280450588.538944</c:v>
                </c:pt>
                <c:pt idx="8">
                  <c:v>14889514423.999367</c:v>
                </c:pt>
              </c:numCache>
            </c:numRef>
          </c:val>
          <c:extLst>
            <c:ext xmlns:c16="http://schemas.microsoft.com/office/drawing/2014/chart" uri="{C3380CC4-5D6E-409C-BE32-E72D297353CC}">
              <c16:uniqueId val="{00000000-79AE-439E-89A5-181FBE1EE5F0}"/>
            </c:ext>
          </c:extLst>
        </c:ser>
        <c:ser>
          <c:idx val="3"/>
          <c:order val="3"/>
          <c:tx>
            <c:strRef>
              <c:f>'3.  USA OVERALL'!$B$70</c:f>
              <c:strCache>
                <c:ptCount val="1"/>
                <c:pt idx="0">
                  <c:v>Rural</c:v>
                </c:pt>
              </c:strCache>
            </c:strRef>
          </c:tx>
          <c:spPr>
            <a:solidFill>
              <a:schemeClr val="accent1">
                <a:lumMod val="40000"/>
                <a:lumOff val="60000"/>
              </a:schemeClr>
            </a:solidFill>
            <a:ln>
              <a:noFill/>
            </a:ln>
            <a:effectLst/>
          </c:spPr>
          <c:invertIfNegative val="0"/>
          <c:cat>
            <c:numRef>
              <c:f>'4.  New TMo OVERALL'!$C$8:$K$8</c:f>
              <c:numCache>
                <c:formatCode>General</c:formatCode>
                <c:ptCount val="9"/>
                <c:pt idx="0">
                  <c:v>2019</c:v>
                </c:pt>
                <c:pt idx="1">
                  <c:v>2020</c:v>
                </c:pt>
                <c:pt idx="2">
                  <c:v>2021</c:v>
                </c:pt>
                <c:pt idx="3">
                  <c:v>2022</c:v>
                </c:pt>
                <c:pt idx="4">
                  <c:v>2023</c:v>
                </c:pt>
                <c:pt idx="5">
                  <c:v>2024</c:v>
                </c:pt>
                <c:pt idx="6">
                  <c:v>2025</c:v>
                </c:pt>
                <c:pt idx="7">
                  <c:v>2026</c:v>
                </c:pt>
                <c:pt idx="8">
                  <c:v>2027</c:v>
                </c:pt>
              </c:numCache>
            </c:numRef>
          </c:cat>
          <c:val>
            <c:numRef>
              <c:f>'3.  USA OVERALL'!$C$70:$K$70</c:f>
              <c:numCache>
                <c:formatCode>"$"#,##0,," M"</c:formatCode>
                <c:ptCount val="9"/>
                <c:pt idx="0">
                  <c:v>6035210235.4103346</c:v>
                </c:pt>
                <c:pt idx="1">
                  <c:v>5523995002.5</c:v>
                </c:pt>
                <c:pt idx="2">
                  <c:v>6572126706.5999994</c:v>
                </c:pt>
                <c:pt idx="3">
                  <c:v>6684246131.823</c:v>
                </c:pt>
                <c:pt idx="4">
                  <c:v>6801490550.7322807</c:v>
                </c:pt>
                <c:pt idx="5">
                  <c:v>7075745192.7052021</c:v>
                </c:pt>
                <c:pt idx="6">
                  <c:v>7184069201.2967529</c:v>
                </c:pt>
                <c:pt idx="7">
                  <c:v>7373158695.2748718</c:v>
                </c:pt>
                <c:pt idx="8">
                  <c:v>7555911933.4116058</c:v>
                </c:pt>
              </c:numCache>
            </c:numRef>
          </c:val>
          <c:extLst>
            <c:ext xmlns:c16="http://schemas.microsoft.com/office/drawing/2014/chart" uri="{C3380CC4-5D6E-409C-BE32-E72D297353CC}">
              <c16:uniqueId val="{00000003-79AE-439E-89A5-181FBE1EE5F0}"/>
            </c:ext>
          </c:extLst>
        </c:ser>
        <c:dLbls>
          <c:showLegendKey val="0"/>
          <c:showVal val="0"/>
          <c:showCatName val="0"/>
          <c:showSerName val="0"/>
          <c:showPercent val="0"/>
          <c:showBubbleSize val="0"/>
        </c:dLbls>
        <c:gapWidth val="150"/>
        <c:overlap val="100"/>
        <c:axId val="158771072"/>
        <c:axId val="158772608"/>
      </c:barChart>
      <c:catAx>
        <c:axId val="15877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endParaRPr lang="en-US"/>
          </a:p>
        </c:txPr>
        <c:crossAx val="158772608"/>
        <c:crosses val="autoZero"/>
        <c:auto val="1"/>
        <c:lblAlgn val="ctr"/>
        <c:lblOffset val="100"/>
        <c:noMultiLvlLbl val="0"/>
      </c:catAx>
      <c:valAx>
        <c:axId val="15877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r>
                  <a:rPr lang="en-US"/>
                  <a:t>Net Cash Flow</a:t>
                </a:r>
              </a:p>
            </c:rich>
          </c:tx>
          <c:overlay val="0"/>
          <c:spPr>
            <a:noFill/>
            <a:ln>
              <a:noFill/>
            </a:ln>
            <a:effectLst/>
          </c:spPr>
          <c:txPr>
            <a:bodyPr rot="-540000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endParaRPr lang="en-US"/>
            </a:p>
          </c:txPr>
        </c:title>
        <c:numFmt formatCode="&quot;$&quot;#0,,,&quot; B&quot;" sourceLinked="0"/>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endParaRPr lang="en-US"/>
          </a:p>
        </c:txPr>
        <c:crossAx val="158771072"/>
        <c:crosses val="autoZero"/>
        <c:crossBetween val="between"/>
      </c:valAx>
      <c:spPr>
        <a:noFill/>
        <a:ln>
          <a:noFill/>
        </a:ln>
        <a:effectLst/>
      </c:spPr>
    </c:plotArea>
    <c:legend>
      <c:legendPos val="r"/>
      <c:layout>
        <c:manualLayout>
          <c:xMode val="edge"/>
          <c:yMode val="edge"/>
          <c:x val="0.81158715898878553"/>
          <c:y val="0.32587222401459015"/>
          <c:w val="0.171274511970013"/>
          <c:h val="0.3071691881211478"/>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200" b="0" i="0" u="none" strike="noStrike" kern="1200" baseline="0">
          <a:solidFill>
            <a:schemeClr val="tx1"/>
          </a:solidFill>
          <a:latin typeface="Candara" panose="020E0502030303020204" pitchFamily="34" charset="0"/>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9525</xdr:rowOff>
    </xdr:from>
    <xdr:to>
      <xdr:col>5</xdr:col>
      <xdr:colOff>390525</xdr:colOff>
      <xdr:row>8</xdr:row>
      <xdr:rowOff>71438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200025"/>
          <a:ext cx="2790825" cy="1395413"/>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0.44245</cdr:x>
      <cdr:y>0.20249</cdr:y>
    </cdr:from>
    <cdr:to>
      <cdr:x>0.65119</cdr:x>
      <cdr:y>0.29105</cdr:y>
    </cdr:to>
    <cdr:sp macro="" textlink="">
      <cdr:nvSpPr>
        <cdr:cNvPr id="2" name="TextBox 1">
          <a:extLst xmlns:a="http://schemas.openxmlformats.org/drawingml/2006/main">
            <a:ext uri="{FF2B5EF4-FFF2-40B4-BE49-F238E27FC236}">
              <a16:creationId xmlns:a16="http://schemas.microsoft.com/office/drawing/2014/main" id="{4C038BB9-0C8C-4CED-8D0B-5BA76B948418}"/>
            </a:ext>
          </a:extLst>
        </cdr:cNvPr>
        <cdr:cNvSpPr txBox="1"/>
      </cdr:nvSpPr>
      <cdr:spPr>
        <a:xfrm xmlns:a="http://schemas.openxmlformats.org/drawingml/2006/main">
          <a:off x="2875057" y="730999"/>
          <a:ext cx="1356405" cy="319699"/>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aseline="0">
              <a:effectLst/>
              <a:latin typeface="Candara" panose="020E0502030303020204" pitchFamily="34" charset="0"/>
              <a:ea typeface="+mn-ea"/>
              <a:cs typeface="+mn-cs"/>
            </a:rPr>
            <a:t>LTE capacity crunch</a:t>
          </a:r>
          <a:endParaRPr lang="en-US" sz="1000">
            <a:effectLst/>
            <a:latin typeface="Candara" panose="020E0502030303020204" pitchFamily="34" charset="0"/>
          </a:endParaRPr>
        </a:p>
      </cdr:txBody>
    </cdr:sp>
  </cdr:relSizeAnchor>
  <cdr:relSizeAnchor xmlns:cdr="http://schemas.openxmlformats.org/drawingml/2006/chartDrawing">
    <cdr:from>
      <cdr:x>0.33406</cdr:x>
      <cdr:y>0.22573</cdr:y>
    </cdr:from>
    <cdr:to>
      <cdr:x>0.44245</cdr:x>
      <cdr:y>0.24677</cdr:y>
    </cdr:to>
    <cdr:cxnSp macro="">
      <cdr:nvCxnSpPr>
        <cdr:cNvPr id="8" name="Connector: Curved 7">
          <a:extLst xmlns:a="http://schemas.openxmlformats.org/drawingml/2006/main">
            <a:ext uri="{FF2B5EF4-FFF2-40B4-BE49-F238E27FC236}">
              <a16:creationId xmlns:a16="http://schemas.microsoft.com/office/drawing/2014/main" id="{D4A5D05D-40CC-4046-83C4-2035056B9679}"/>
            </a:ext>
          </a:extLst>
        </cdr:cNvPr>
        <cdr:cNvCxnSpPr>
          <a:stCxn xmlns:a="http://schemas.openxmlformats.org/drawingml/2006/main" id="2" idx="1"/>
        </cdr:cNvCxnSpPr>
      </cdr:nvCxnSpPr>
      <cdr:spPr>
        <a:xfrm xmlns:a="http://schemas.openxmlformats.org/drawingml/2006/main" rot="10800000">
          <a:off x="2170749" y="814865"/>
          <a:ext cx="704309" cy="75985"/>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userShapes>
</file>

<file path=xl/drawings/drawing11.xml><?xml version="1.0" encoding="utf-8"?>
<xdr:wsDr xmlns:xdr="http://schemas.openxmlformats.org/drawingml/2006/spreadsheetDrawing" xmlns:a="http://schemas.openxmlformats.org/drawingml/2006/main">
  <xdr:twoCellAnchor>
    <xdr:from>
      <xdr:col>18</xdr:col>
      <xdr:colOff>46144</xdr:colOff>
      <xdr:row>28</xdr:row>
      <xdr:rowOff>30902</xdr:rowOff>
    </xdr:from>
    <xdr:to>
      <xdr:col>28</xdr:col>
      <xdr:colOff>472863</xdr:colOff>
      <xdr:row>47</xdr:row>
      <xdr:rowOff>42334</xdr:rowOff>
    </xdr:to>
    <xdr:graphicFrame macro="">
      <xdr:nvGraphicFramePr>
        <xdr:cNvPr id="2" name="Chart 1">
          <a:extLst>
            <a:ext uri="{FF2B5EF4-FFF2-40B4-BE49-F238E27FC236}">
              <a16:creationId xmlns:a16="http://schemas.microsoft.com/office/drawing/2014/main" id="{31054CA3-A0CB-4CCA-9B01-0DF9CF7CB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10584</xdr:colOff>
      <xdr:row>7</xdr:row>
      <xdr:rowOff>169334</xdr:rowOff>
    </xdr:from>
    <xdr:to>
      <xdr:col>28</xdr:col>
      <xdr:colOff>364815</xdr:colOff>
      <xdr:row>27</xdr:row>
      <xdr:rowOff>94131</xdr:rowOff>
    </xdr:to>
    <xdr:graphicFrame macro="">
      <xdr:nvGraphicFramePr>
        <xdr:cNvPr id="5" name="Chart 4">
          <a:extLst>
            <a:ext uri="{FF2B5EF4-FFF2-40B4-BE49-F238E27FC236}">
              <a16:creationId xmlns:a16="http://schemas.microsoft.com/office/drawing/2014/main" id="{1133220E-3349-4F9A-A626-4EE8A9050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0.88934</cdr:x>
      <cdr:y>0.24118</cdr:y>
    </cdr:from>
    <cdr:to>
      <cdr:x>0.94822</cdr:x>
      <cdr:y>0.25913</cdr:y>
    </cdr:to>
    <cdr:sp macro="" textlink="">
      <cdr:nvSpPr>
        <cdr:cNvPr id="2" name="Parallelogram 1">
          <a:extLst xmlns:a="http://schemas.openxmlformats.org/drawingml/2006/main">
            <a:ext uri="{FF2B5EF4-FFF2-40B4-BE49-F238E27FC236}">
              <a16:creationId xmlns:a16="http://schemas.microsoft.com/office/drawing/2014/main" id="{395A4AE0-7514-4365-8F50-C2CAEAE9ECFC}"/>
            </a:ext>
          </a:extLst>
        </cdr:cNvPr>
        <cdr:cNvSpPr/>
      </cdr:nvSpPr>
      <cdr:spPr>
        <a:xfrm xmlns:a="http://schemas.openxmlformats.org/drawingml/2006/main" rot="20597873">
          <a:off x="5585883" y="918633"/>
          <a:ext cx="369795" cy="68373"/>
        </a:xfrm>
        <a:prstGeom xmlns:a="http://schemas.openxmlformats.org/drawingml/2006/main" prst="parallelogram">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xdr:from>
      <xdr:col>19</xdr:col>
      <xdr:colOff>99060</xdr:colOff>
      <xdr:row>27</xdr:row>
      <xdr:rowOff>25065</xdr:rowOff>
    </xdr:from>
    <xdr:to>
      <xdr:col>29</xdr:col>
      <xdr:colOff>525780</xdr:colOff>
      <xdr:row>46</xdr:row>
      <xdr:rowOff>175461</xdr:rowOff>
    </xdr:to>
    <xdr:graphicFrame macro="">
      <xdr:nvGraphicFramePr>
        <xdr:cNvPr id="2" name="Chart 1">
          <a:extLst>
            <a:ext uri="{FF2B5EF4-FFF2-40B4-BE49-F238E27FC236}">
              <a16:creationId xmlns:a16="http://schemas.microsoft.com/office/drawing/2014/main" id="{2BC0846A-CD14-4846-97B0-1FF984D4C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17</xdr:col>
      <xdr:colOff>109644</xdr:colOff>
      <xdr:row>29</xdr:row>
      <xdr:rowOff>1505</xdr:rowOff>
    </xdr:from>
    <xdr:to>
      <xdr:col>27</xdr:col>
      <xdr:colOff>536363</xdr:colOff>
      <xdr:row>49</xdr:row>
      <xdr:rowOff>11206</xdr:rowOff>
    </xdr:to>
    <xdr:graphicFrame macro="">
      <xdr:nvGraphicFramePr>
        <xdr:cNvPr id="2" name="Chart 1">
          <a:extLst>
            <a:ext uri="{FF2B5EF4-FFF2-40B4-BE49-F238E27FC236}">
              <a16:creationId xmlns:a16="http://schemas.microsoft.com/office/drawing/2014/main" id="{55C27618-57C5-422B-A449-615F9E029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19</xdr:col>
      <xdr:colOff>99060</xdr:colOff>
      <xdr:row>28</xdr:row>
      <xdr:rowOff>11759</xdr:rowOff>
    </xdr:from>
    <xdr:to>
      <xdr:col>29</xdr:col>
      <xdr:colOff>525780</xdr:colOff>
      <xdr:row>49</xdr:row>
      <xdr:rowOff>94074</xdr:rowOff>
    </xdr:to>
    <xdr:graphicFrame macro="">
      <xdr:nvGraphicFramePr>
        <xdr:cNvPr id="2" name="Chart 1">
          <a:extLst>
            <a:ext uri="{FF2B5EF4-FFF2-40B4-BE49-F238E27FC236}">
              <a16:creationId xmlns:a16="http://schemas.microsoft.com/office/drawing/2014/main" id="{6FB71AC7-20E5-44EC-80E3-022932A33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739775</xdr:colOff>
      <xdr:row>26</xdr:row>
      <xdr:rowOff>25401</xdr:rowOff>
    </xdr:from>
    <xdr:to>
      <xdr:col>20</xdr:col>
      <xdr:colOff>465665</xdr:colOff>
      <xdr:row>44</xdr:row>
      <xdr:rowOff>52917</xdr:rowOff>
    </xdr:to>
    <xdr:graphicFrame macro="">
      <xdr:nvGraphicFramePr>
        <xdr:cNvPr id="2" name="Chart 1">
          <a:extLst>
            <a:ext uri="{FF2B5EF4-FFF2-40B4-BE49-F238E27FC236}">
              <a16:creationId xmlns:a16="http://schemas.microsoft.com/office/drawing/2014/main" id="{F6E92F0C-59E1-4713-BEE5-75040DBD4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785072</xdr:colOff>
      <xdr:row>45</xdr:row>
      <xdr:rowOff>135043</xdr:rowOff>
    </xdr:from>
    <xdr:to>
      <xdr:col>19</xdr:col>
      <xdr:colOff>404072</xdr:colOff>
      <xdr:row>62</xdr:row>
      <xdr:rowOff>111547</xdr:rowOff>
    </xdr:to>
    <xdr:graphicFrame macro="">
      <xdr:nvGraphicFramePr>
        <xdr:cNvPr id="5" name="Chart 4">
          <a:extLst>
            <a:ext uri="{FF2B5EF4-FFF2-40B4-BE49-F238E27FC236}">
              <a16:creationId xmlns:a16="http://schemas.microsoft.com/office/drawing/2014/main" id="{601A7F15-D588-4D4B-9F0B-11CCB6330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730250</xdr:colOff>
      <xdr:row>4</xdr:row>
      <xdr:rowOff>21167</xdr:rowOff>
    </xdr:from>
    <xdr:to>
      <xdr:col>22</xdr:col>
      <xdr:colOff>144859</xdr:colOff>
      <xdr:row>25</xdr:row>
      <xdr:rowOff>57283</xdr:rowOff>
    </xdr:to>
    <xdr:graphicFrame macro="">
      <xdr:nvGraphicFramePr>
        <xdr:cNvPr id="6" name="Chart 5">
          <a:extLst>
            <a:ext uri="{FF2B5EF4-FFF2-40B4-BE49-F238E27FC236}">
              <a16:creationId xmlns:a16="http://schemas.microsoft.com/office/drawing/2014/main" id="{F77D7A9D-D0BA-4D00-B89F-9EC418DB5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751417</xdr:colOff>
      <xdr:row>64</xdr:row>
      <xdr:rowOff>116417</xdr:rowOff>
    </xdr:from>
    <xdr:to>
      <xdr:col>20</xdr:col>
      <xdr:colOff>461855</xdr:colOff>
      <xdr:row>84</xdr:row>
      <xdr:rowOff>101601</xdr:rowOff>
    </xdr:to>
    <xdr:graphicFrame macro="">
      <xdr:nvGraphicFramePr>
        <xdr:cNvPr id="7" name="Chart 6">
          <a:extLst>
            <a:ext uri="{FF2B5EF4-FFF2-40B4-BE49-F238E27FC236}">
              <a16:creationId xmlns:a16="http://schemas.microsoft.com/office/drawing/2014/main" id="{A998811C-E28A-41DE-B7A4-6A2E4065A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728346</xdr:colOff>
      <xdr:row>85</xdr:row>
      <xdr:rowOff>5503</xdr:rowOff>
    </xdr:from>
    <xdr:to>
      <xdr:col>20</xdr:col>
      <xdr:colOff>411479</xdr:colOff>
      <xdr:row>105</xdr:row>
      <xdr:rowOff>11853</xdr:rowOff>
    </xdr:to>
    <xdr:graphicFrame macro="">
      <xdr:nvGraphicFramePr>
        <xdr:cNvPr id="8" name="Chart 7">
          <a:extLst>
            <a:ext uri="{FF2B5EF4-FFF2-40B4-BE49-F238E27FC236}">
              <a16:creationId xmlns:a16="http://schemas.microsoft.com/office/drawing/2014/main" id="{AC0B59D2-EEBD-45E3-8ABB-076D43F68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0.28383</cdr:x>
      <cdr:y>0.18453</cdr:y>
    </cdr:from>
    <cdr:to>
      <cdr:x>0.49257</cdr:x>
      <cdr:y>0.27309</cdr:y>
    </cdr:to>
    <cdr:sp macro="" textlink="">
      <cdr:nvSpPr>
        <cdr:cNvPr id="2" name="TextBox 1">
          <a:extLst xmlns:a="http://schemas.openxmlformats.org/drawingml/2006/main">
            <a:ext uri="{FF2B5EF4-FFF2-40B4-BE49-F238E27FC236}">
              <a16:creationId xmlns:a16="http://schemas.microsoft.com/office/drawing/2014/main" id="{4C038BB9-0C8C-4CED-8D0B-5BA76B948418}"/>
            </a:ext>
          </a:extLst>
        </cdr:cNvPr>
        <cdr:cNvSpPr txBox="1"/>
      </cdr:nvSpPr>
      <cdr:spPr>
        <a:xfrm xmlns:a="http://schemas.openxmlformats.org/drawingml/2006/main">
          <a:off x="1840302" y="671038"/>
          <a:ext cx="1353422" cy="322043"/>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00">
              <a:latin typeface="Candara" panose="020E0502030303020204" pitchFamily="34" charset="0"/>
            </a:rPr>
            <a:t>Spectrum costs</a:t>
          </a:r>
          <a:r>
            <a:rPr lang="en-US" sz="1000" baseline="0">
              <a:latin typeface="Candara" panose="020E0502030303020204" pitchFamily="34" charset="0"/>
            </a:rPr>
            <a:t> for </a:t>
          </a:r>
        </a:p>
        <a:p xmlns:a="http://schemas.openxmlformats.org/drawingml/2006/main">
          <a:pPr algn="l"/>
          <a:r>
            <a:rPr lang="en-US" sz="1000" baseline="0">
              <a:latin typeface="Candara" panose="020E0502030303020204" pitchFamily="34" charset="0"/>
            </a:rPr>
            <a:t>C-band included</a:t>
          </a:r>
          <a:endParaRPr lang="en-US" sz="1000">
            <a:latin typeface="Candara" panose="020E0502030303020204" pitchFamily="34" charset="0"/>
          </a:endParaRPr>
        </a:p>
      </cdr:txBody>
    </cdr:sp>
  </cdr:relSizeAnchor>
  <cdr:relSizeAnchor xmlns:cdr="http://schemas.openxmlformats.org/drawingml/2006/chartDrawing">
    <cdr:from>
      <cdr:x>0.28238</cdr:x>
      <cdr:y>0.2823</cdr:y>
    </cdr:from>
    <cdr:to>
      <cdr:x>0.32319</cdr:x>
      <cdr:y>0.37253</cdr:y>
    </cdr:to>
    <cdr:cxnSp macro="">
      <cdr:nvCxnSpPr>
        <cdr:cNvPr id="5" name="Connector: Curved 4">
          <a:extLst xmlns:a="http://schemas.openxmlformats.org/drawingml/2006/main">
            <a:ext uri="{FF2B5EF4-FFF2-40B4-BE49-F238E27FC236}">
              <a16:creationId xmlns:a16="http://schemas.microsoft.com/office/drawing/2014/main" id="{4270653C-F24E-4C93-A77B-49DBC8196815}"/>
            </a:ext>
          </a:extLst>
        </cdr:cNvPr>
        <cdr:cNvCxnSpPr/>
      </cdr:nvCxnSpPr>
      <cdr:spPr>
        <a:xfrm xmlns:a="http://schemas.openxmlformats.org/drawingml/2006/main" rot="5400000">
          <a:off x="1799167" y="1058333"/>
          <a:ext cx="328085" cy="264583"/>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0.27694</cdr:x>
      <cdr:y>0.55173</cdr:y>
    </cdr:from>
    <cdr:to>
      <cdr:x>0.48568</cdr:x>
      <cdr:y>0.64029</cdr:y>
    </cdr:to>
    <cdr:sp macro="" textlink="">
      <cdr:nvSpPr>
        <cdr:cNvPr id="2" name="TextBox 1">
          <a:extLst xmlns:a="http://schemas.openxmlformats.org/drawingml/2006/main">
            <a:ext uri="{FF2B5EF4-FFF2-40B4-BE49-F238E27FC236}">
              <a16:creationId xmlns:a16="http://schemas.microsoft.com/office/drawing/2014/main" id="{4C038BB9-0C8C-4CED-8D0B-5BA76B948418}"/>
            </a:ext>
          </a:extLst>
        </cdr:cNvPr>
        <cdr:cNvSpPr txBox="1"/>
      </cdr:nvSpPr>
      <cdr:spPr>
        <a:xfrm xmlns:a="http://schemas.openxmlformats.org/drawingml/2006/main">
          <a:off x="1788590" y="2006342"/>
          <a:ext cx="1348120" cy="322042"/>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aseline="0">
              <a:effectLst/>
              <a:latin typeface="Candara" panose="020E0502030303020204" pitchFamily="34" charset="0"/>
              <a:ea typeface="+mn-ea"/>
              <a:cs typeface="+mn-cs"/>
            </a:rPr>
            <a:t>spectrum investment</a:t>
          </a:r>
          <a:endParaRPr lang="en-US" sz="1000">
            <a:effectLst/>
            <a:latin typeface="Candara" panose="020E0502030303020204" pitchFamily="34" charset="0"/>
          </a:endParaRPr>
        </a:p>
      </cdr:txBody>
    </cdr:sp>
  </cdr:relSizeAnchor>
  <cdr:relSizeAnchor xmlns:cdr="http://schemas.openxmlformats.org/drawingml/2006/chartDrawing">
    <cdr:from>
      <cdr:x>0.19372</cdr:x>
      <cdr:y>0.59601</cdr:y>
    </cdr:from>
    <cdr:to>
      <cdr:x>0.27694</cdr:x>
      <cdr:y>0.69406</cdr:y>
    </cdr:to>
    <cdr:cxnSp macro="">
      <cdr:nvCxnSpPr>
        <cdr:cNvPr id="8" name="Connector: Curved 7">
          <a:extLst xmlns:a="http://schemas.openxmlformats.org/drawingml/2006/main">
            <a:ext uri="{FF2B5EF4-FFF2-40B4-BE49-F238E27FC236}">
              <a16:creationId xmlns:a16="http://schemas.microsoft.com/office/drawing/2014/main" id="{D4A5D05D-40CC-4046-83C4-2035056B9679}"/>
            </a:ext>
          </a:extLst>
        </cdr:cNvPr>
        <cdr:cNvCxnSpPr>
          <a:stCxn xmlns:a="http://schemas.openxmlformats.org/drawingml/2006/main" id="2" idx="1"/>
        </cdr:cNvCxnSpPr>
      </cdr:nvCxnSpPr>
      <cdr:spPr>
        <a:xfrm xmlns:a="http://schemas.openxmlformats.org/drawingml/2006/main" rot="10800000" flipV="1">
          <a:off x="1250738" y="2167350"/>
          <a:ext cx="537316" cy="356563"/>
        </a:xfrm>
        <a:prstGeom xmlns:a="http://schemas.openxmlformats.org/drawingml/2006/main" prst="curvedConnector3">
          <a:avLst>
            <a:gd name="adj1" fmla="val 97272"/>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twoCellAnchor>
    <xdr:from>
      <xdr:col>19</xdr:col>
      <xdr:colOff>99060</xdr:colOff>
      <xdr:row>29</xdr:row>
      <xdr:rowOff>83819</xdr:rowOff>
    </xdr:from>
    <xdr:to>
      <xdr:col>29</xdr:col>
      <xdr:colOff>525780</xdr:colOff>
      <xdr:row>48</xdr:row>
      <xdr:rowOff>74083</xdr:rowOff>
    </xdr:to>
    <xdr:graphicFrame macro="">
      <xdr:nvGraphicFramePr>
        <xdr:cNvPr id="2" name="Chart 1">
          <a:extLst>
            <a:ext uri="{FF2B5EF4-FFF2-40B4-BE49-F238E27FC236}">
              <a16:creationId xmlns:a16="http://schemas.microsoft.com/office/drawing/2014/main" id="{A17AA346-18E3-4349-8E62-16F83A855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550331</xdr:colOff>
      <xdr:row>7</xdr:row>
      <xdr:rowOff>84666</xdr:rowOff>
    </xdr:from>
    <xdr:to>
      <xdr:col>30</xdr:col>
      <xdr:colOff>169332</xdr:colOff>
      <xdr:row>28</xdr:row>
      <xdr:rowOff>116417</xdr:rowOff>
    </xdr:to>
    <xdr:graphicFrame macro="">
      <xdr:nvGraphicFramePr>
        <xdr:cNvPr id="5" name="Chart 4">
          <a:extLst>
            <a:ext uri="{FF2B5EF4-FFF2-40B4-BE49-F238E27FC236}">
              <a16:creationId xmlns:a16="http://schemas.microsoft.com/office/drawing/2014/main" id="{1BE100E1-904D-473F-8455-D5F9EB343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483447</xdr:colOff>
      <xdr:row>32</xdr:row>
      <xdr:rowOff>26986</xdr:rowOff>
    </xdr:from>
    <xdr:to>
      <xdr:col>16</xdr:col>
      <xdr:colOff>550333</xdr:colOff>
      <xdr:row>49</xdr:row>
      <xdr:rowOff>6773</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804334</xdr:colOff>
      <xdr:row>153</xdr:row>
      <xdr:rowOff>105833</xdr:rowOff>
    </xdr:from>
    <xdr:to>
      <xdr:col>14</xdr:col>
      <xdr:colOff>10583</xdr:colOff>
      <xdr:row>169</xdr:row>
      <xdr:rowOff>127001</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709083</xdr:colOff>
      <xdr:row>171</xdr:row>
      <xdr:rowOff>125940</xdr:rowOff>
    </xdr:from>
    <xdr:to>
      <xdr:col>13</xdr:col>
      <xdr:colOff>560917</xdr:colOff>
      <xdr:row>188</xdr:row>
      <xdr:rowOff>84666</xdr:rowOff>
    </xdr:to>
    <xdr:graphicFrame macro="">
      <xdr:nvGraphicFramePr>
        <xdr:cNvPr id="3" name="Chart 2">
          <a:extLst>
            <a:ext uri="{FF2B5EF4-FFF2-40B4-BE49-F238E27FC236}">
              <a16:creationId xmlns:a16="http://schemas.microsoft.com/office/drawing/2014/main" id="{58712852-D09C-449D-AA2B-4A79F3AD7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357928</xdr:colOff>
      <xdr:row>10</xdr:row>
      <xdr:rowOff>21589</xdr:rowOff>
    </xdr:from>
    <xdr:to>
      <xdr:col>17</xdr:col>
      <xdr:colOff>387774</xdr:colOff>
      <xdr:row>29</xdr:row>
      <xdr:rowOff>0</xdr:rowOff>
    </xdr:to>
    <xdr:graphicFrame macro="">
      <xdr:nvGraphicFramePr>
        <xdr:cNvPr id="4" name="Chart 3">
          <a:extLst>
            <a:ext uri="{FF2B5EF4-FFF2-40B4-BE49-F238E27FC236}">
              <a16:creationId xmlns:a16="http://schemas.microsoft.com/office/drawing/2014/main" id="{EEBC3C0F-2F5B-4090-AB85-69CB9EB99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0.90692</cdr:x>
      <cdr:y>0.20514</cdr:y>
    </cdr:from>
    <cdr:to>
      <cdr:x>0.96186</cdr:x>
      <cdr:y>0.22175</cdr:y>
    </cdr:to>
    <cdr:sp macro="" textlink="">
      <cdr:nvSpPr>
        <cdr:cNvPr id="2" name="Parallelogram 1">
          <a:extLst xmlns:a="http://schemas.openxmlformats.org/drawingml/2006/main">
            <a:ext uri="{FF2B5EF4-FFF2-40B4-BE49-F238E27FC236}">
              <a16:creationId xmlns:a16="http://schemas.microsoft.com/office/drawing/2014/main" id="{18B52A22-1E3D-4C90-A579-136FB5D6E0EA}"/>
            </a:ext>
          </a:extLst>
        </cdr:cNvPr>
        <cdr:cNvSpPr/>
      </cdr:nvSpPr>
      <cdr:spPr>
        <a:xfrm xmlns:a="http://schemas.openxmlformats.org/drawingml/2006/main" rot="20597873">
          <a:off x="6104466" y="844550"/>
          <a:ext cx="369795" cy="68373"/>
        </a:xfrm>
        <a:prstGeom xmlns:a="http://schemas.openxmlformats.org/drawingml/2006/main" prst="parallelogram">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1.xml><?xml version="1.0" encoding="utf-8"?>
<xdr:wsDr xmlns:xdr="http://schemas.openxmlformats.org/drawingml/2006/spreadsheetDrawing" xmlns:a="http://schemas.openxmlformats.org/drawingml/2006/main">
  <xdr:twoCellAnchor>
    <xdr:from>
      <xdr:col>19</xdr:col>
      <xdr:colOff>99060</xdr:colOff>
      <xdr:row>29</xdr:row>
      <xdr:rowOff>83820</xdr:rowOff>
    </xdr:from>
    <xdr:to>
      <xdr:col>29</xdr:col>
      <xdr:colOff>525780</xdr:colOff>
      <xdr:row>47</xdr:row>
      <xdr:rowOff>105834</xdr:rowOff>
    </xdr:to>
    <xdr:graphicFrame macro="">
      <xdr:nvGraphicFramePr>
        <xdr:cNvPr id="2" name="Chart 1">
          <a:extLst>
            <a:ext uri="{FF2B5EF4-FFF2-40B4-BE49-F238E27FC236}">
              <a16:creationId xmlns:a16="http://schemas.microsoft.com/office/drawing/2014/main" id="{A9B4BF41-3A50-4E80-8046-D7D0A6619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18</xdr:col>
      <xdr:colOff>0</xdr:colOff>
      <xdr:row>27</xdr:row>
      <xdr:rowOff>145257</xdr:rowOff>
    </xdr:from>
    <xdr:to>
      <xdr:col>28</xdr:col>
      <xdr:colOff>428624</xdr:colOff>
      <xdr:row>47</xdr:row>
      <xdr:rowOff>180499</xdr:rowOff>
    </xdr:to>
    <xdr:graphicFrame macro="">
      <xdr:nvGraphicFramePr>
        <xdr:cNvPr id="2" name="Chart 1">
          <a:extLst>
            <a:ext uri="{FF2B5EF4-FFF2-40B4-BE49-F238E27FC236}">
              <a16:creationId xmlns:a16="http://schemas.microsoft.com/office/drawing/2014/main" id="{C3742F94-8B51-41F1-B087-02E6442B6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19</xdr:col>
      <xdr:colOff>99060</xdr:colOff>
      <xdr:row>29</xdr:row>
      <xdr:rowOff>83820</xdr:rowOff>
    </xdr:from>
    <xdr:to>
      <xdr:col>29</xdr:col>
      <xdr:colOff>525780</xdr:colOff>
      <xdr:row>48</xdr:row>
      <xdr:rowOff>96456</xdr:rowOff>
    </xdr:to>
    <xdr:graphicFrame macro="">
      <xdr:nvGraphicFramePr>
        <xdr:cNvPr id="2" name="Chart 1">
          <a:extLst>
            <a:ext uri="{FF2B5EF4-FFF2-40B4-BE49-F238E27FC236}">
              <a16:creationId xmlns:a16="http://schemas.microsoft.com/office/drawing/2014/main" id="{162AAD97-26E6-4B8E-A9D2-8A67DF8D3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18</xdr:col>
      <xdr:colOff>349090</xdr:colOff>
      <xdr:row>49</xdr:row>
      <xdr:rowOff>83344</xdr:rowOff>
    </xdr:from>
    <xdr:to>
      <xdr:col>29</xdr:col>
      <xdr:colOff>180498</xdr:colOff>
      <xdr:row>69</xdr:row>
      <xdr:rowOff>59531</xdr:rowOff>
    </xdr:to>
    <xdr:graphicFrame macro="">
      <xdr:nvGraphicFramePr>
        <xdr:cNvPr id="2" name="Chart 1">
          <a:extLst>
            <a:ext uri="{FF2B5EF4-FFF2-40B4-BE49-F238E27FC236}">
              <a16:creationId xmlns:a16="http://schemas.microsoft.com/office/drawing/2014/main" id="{FB745745-8EE0-4877-99E2-DE8B916AE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321467</xdr:colOff>
      <xdr:row>27</xdr:row>
      <xdr:rowOff>107157</xdr:rowOff>
    </xdr:from>
    <xdr:to>
      <xdr:col>30</xdr:col>
      <xdr:colOff>339326</xdr:colOff>
      <xdr:row>48</xdr:row>
      <xdr:rowOff>115492</xdr:rowOff>
    </xdr:to>
    <xdr:graphicFrame macro="">
      <xdr:nvGraphicFramePr>
        <xdr:cNvPr id="5" name="Chart 4">
          <a:extLst>
            <a:ext uri="{FF2B5EF4-FFF2-40B4-BE49-F238E27FC236}">
              <a16:creationId xmlns:a16="http://schemas.microsoft.com/office/drawing/2014/main" id="{54225243-7DEA-44BF-8487-CEA7F3D95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357187</xdr:colOff>
      <xdr:row>69</xdr:row>
      <xdr:rowOff>142875</xdr:rowOff>
    </xdr:from>
    <xdr:to>
      <xdr:col>29</xdr:col>
      <xdr:colOff>105832</xdr:colOff>
      <xdr:row>89</xdr:row>
      <xdr:rowOff>23812</xdr:rowOff>
    </xdr:to>
    <xdr:graphicFrame macro="">
      <xdr:nvGraphicFramePr>
        <xdr:cNvPr id="6" name="Chart 5">
          <a:extLst>
            <a:ext uri="{FF2B5EF4-FFF2-40B4-BE49-F238E27FC236}">
              <a16:creationId xmlns:a16="http://schemas.microsoft.com/office/drawing/2014/main" id="{7313FBD6-D46B-42ED-88F7-810206566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297656</xdr:colOff>
      <xdr:row>6</xdr:row>
      <xdr:rowOff>130970</xdr:rowOff>
    </xdr:from>
    <xdr:to>
      <xdr:col>29</xdr:col>
      <xdr:colOff>30117</xdr:colOff>
      <xdr:row>26</xdr:row>
      <xdr:rowOff>46506</xdr:rowOff>
    </xdr:to>
    <xdr:graphicFrame macro="">
      <xdr:nvGraphicFramePr>
        <xdr:cNvPr id="7" name="Chart 6">
          <a:extLst>
            <a:ext uri="{FF2B5EF4-FFF2-40B4-BE49-F238E27FC236}">
              <a16:creationId xmlns:a16="http://schemas.microsoft.com/office/drawing/2014/main" id="{A80FC444-5831-46A7-B3E2-DD234B376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0.28199</cdr:x>
      <cdr:y>0.11312</cdr:y>
    </cdr:from>
    <cdr:to>
      <cdr:x>0.60376</cdr:x>
      <cdr:y>0.22265</cdr:y>
    </cdr:to>
    <cdr:sp macro="" textlink="">
      <cdr:nvSpPr>
        <cdr:cNvPr id="2" name="TextBox 1">
          <a:extLst xmlns:a="http://schemas.openxmlformats.org/drawingml/2006/main">
            <a:ext uri="{FF2B5EF4-FFF2-40B4-BE49-F238E27FC236}">
              <a16:creationId xmlns:a16="http://schemas.microsoft.com/office/drawing/2014/main" id="{4C038BB9-0C8C-4CED-8D0B-5BA76B948418}"/>
            </a:ext>
          </a:extLst>
        </cdr:cNvPr>
        <cdr:cNvSpPr txBox="1"/>
      </cdr:nvSpPr>
      <cdr:spPr>
        <a:xfrm xmlns:a="http://schemas.openxmlformats.org/drawingml/2006/main">
          <a:off x="1811008" y="390382"/>
          <a:ext cx="2066515" cy="377978"/>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100" baseline="0">
              <a:latin typeface="Candara" panose="020E0502030303020204" pitchFamily="34" charset="0"/>
            </a:rPr>
            <a:t>over $2B spectrum cost for C-band,</a:t>
          </a:r>
        </a:p>
        <a:p xmlns:a="http://schemas.openxmlformats.org/drawingml/2006/main">
          <a:pPr algn="l"/>
          <a:r>
            <a:rPr lang="en-US" sz="1100" baseline="0">
              <a:latin typeface="Candara" panose="020E0502030303020204" pitchFamily="34" charset="0"/>
            </a:rPr>
            <a:t>and millimeter wave included</a:t>
          </a:r>
          <a:endParaRPr lang="en-US" sz="1100">
            <a:latin typeface="Candara" panose="020E0502030303020204" pitchFamily="34" charset="0"/>
          </a:endParaRPr>
        </a:p>
      </cdr:txBody>
    </cdr:sp>
  </cdr:relSizeAnchor>
  <cdr:relSizeAnchor xmlns:cdr="http://schemas.openxmlformats.org/drawingml/2006/chartDrawing">
    <cdr:from>
      <cdr:x>0.26822</cdr:x>
      <cdr:y>0.22481</cdr:y>
    </cdr:from>
    <cdr:to>
      <cdr:x>0.31642</cdr:x>
      <cdr:y>0.42838</cdr:y>
    </cdr:to>
    <cdr:cxnSp macro="">
      <cdr:nvCxnSpPr>
        <cdr:cNvPr id="8" name="Connector: Curved 7">
          <a:extLst xmlns:a="http://schemas.openxmlformats.org/drawingml/2006/main">
            <a:ext uri="{FF2B5EF4-FFF2-40B4-BE49-F238E27FC236}">
              <a16:creationId xmlns:a16="http://schemas.microsoft.com/office/drawing/2014/main" id="{8C007C2A-A430-4E22-82C8-A32C0D1A33B0}"/>
            </a:ext>
          </a:extLst>
        </cdr:cNvPr>
        <cdr:cNvCxnSpPr/>
      </cdr:nvCxnSpPr>
      <cdr:spPr>
        <a:xfrm xmlns:a="http://schemas.openxmlformats.org/drawingml/2006/main" rot="5400000">
          <a:off x="1526145" y="972268"/>
          <a:ext cx="702469" cy="309561"/>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userShapes>
</file>

<file path=xl/drawings/drawing26.xml><?xml version="1.0" encoding="utf-8"?>
<c:userShapes xmlns:c="http://schemas.openxmlformats.org/drawingml/2006/chart">
  <cdr:relSizeAnchor xmlns:cdr="http://schemas.openxmlformats.org/drawingml/2006/chartDrawing">
    <cdr:from>
      <cdr:x>0.8706</cdr:x>
      <cdr:y>0.21965</cdr:y>
    </cdr:from>
    <cdr:to>
      <cdr:x>0.92948</cdr:x>
      <cdr:y>0.2376</cdr:y>
    </cdr:to>
    <cdr:sp macro="" textlink="">
      <cdr:nvSpPr>
        <cdr:cNvPr id="3" name="Parallelogram 2">
          <a:extLst xmlns:a="http://schemas.openxmlformats.org/drawingml/2006/main">
            <a:ext uri="{FF2B5EF4-FFF2-40B4-BE49-F238E27FC236}">
              <a16:creationId xmlns:a16="http://schemas.microsoft.com/office/drawing/2014/main" id="{361E73CC-1815-4271-AE1B-C3D819E7F4DC}"/>
            </a:ext>
          </a:extLst>
        </cdr:cNvPr>
        <cdr:cNvSpPr/>
      </cdr:nvSpPr>
      <cdr:spPr>
        <a:xfrm xmlns:a="http://schemas.openxmlformats.org/drawingml/2006/main" rot="20597873">
          <a:off x="5468144" y="836614"/>
          <a:ext cx="369795" cy="68373"/>
        </a:xfrm>
        <a:prstGeom xmlns:a="http://schemas.openxmlformats.org/drawingml/2006/main" prst="parallelogram">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0.14067</cdr:x>
      <cdr:y>0.60359</cdr:y>
    </cdr:from>
    <cdr:to>
      <cdr:x>0.92933</cdr:x>
      <cdr:y>0.61516</cdr:y>
    </cdr:to>
    <cdr:cxnSp macro="">
      <cdr:nvCxnSpPr>
        <cdr:cNvPr id="5" name="Straight Connector 4">
          <a:extLst xmlns:a="http://schemas.openxmlformats.org/drawingml/2006/main">
            <a:ext uri="{FF2B5EF4-FFF2-40B4-BE49-F238E27FC236}">
              <a16:creationId xmlns:a16="http://schemas.microsoft.com/office/drawing/2014/main" id="{69BA0C0A-D899-4A7B-A92D-FE0F46725EFF}"/>
            </a:ext>
          </a:extLst>
        </cdr:cNvPr>
        <cdr:cNvCxnSpPr/>
      </cdr:nvCxnSpPr>
      <cdr:spPr>
        <a:xfrm xmlns:a="http://schemas.openxmlformats.org/drawingml/2006/main">
          <a:off x="672025" y="1655769"/>
          <a:ext cx="3767683" cy="31744"/>
        </a:xfrm>
        <a:prstGeom xmlns:a="http://schemas.openxmlformats.org/drawingml/2006/main" prst="line">
          <a:avLst/>
        </a:prstGeom>
        <a:ln xmlns:a="http://schemas.openxmlformats.org/drawingml/2006/main">
          <a:solidFill>
            <a:srgbClr val="C0000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0.13624</cdr:x>
      <cdr:y>0.53029</cdr:y>
    </cdr:from>
    <cdr:to>
      <cdr:x>0.2603</cdr:x>
      <cdr:y>0.61516</cdr:y>
    </cdr:to>
    <cdr:sp macro="" textlink="">
      <cdr:nvSpPr>
        <cdr:cNvPr id="3" name="TextBox 1">
          <a:extLst xmlns:a="http://schemas.openxmlformats.org/drawingml/2006/main">
            <a:ext uri="{FF2B5EF4-FFF2-40B4-BE49-F238E27FC236}">
              <a16:creationId xmlns:a16="http://schemas.microsoft.com/office/drawing/2014/main" id="{906B10C3-8DBD-4458-BAEF-AE741527FB6B}"/>
            </a:ext>
          </a:extLst>
        </cdr:cNvPr>
        <cdr:cNvSpPr txBox="1"/>
      </cdr:nvSpPr>
      <cdr:spPr>
        <a:xfrm xmlns:a="http://schemas.openxmlformats.org/drawingml/2006/main">
          <a:off x="650874" y="1454679"/>
          <a:ext cx="592668" cy="232834"/>
        </a:xfrm>
        <a:prstGeom xmlns:a="http://schemas.openxmlformats.org/drawingml/2006/main" prst="rect">
          <a:avLst/>
        </a:prstGeom>
        <a:solidFill xmlns:a="http://schemas.openxmlformats.org/drawingml/2006/main">
          <a:schemeClr val="bg2">
            <a:alpha val="30000"/>
          </a:schemeClr>
        </a:solidFill>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800">
              <a:latin typeface="Candara" panose="020E0502030303020204" pitchFamily="34" charset="0"/>
            </a:rPr>
            <a:t>$70 pricing</a:t>
          </a:r>
          <a:r>
            <a:rPr lang="en-US" sz="800" baseline="0">
              <a:latin typeface="Candara" panose="020E0502030303020204" pitchFamily="34" charset="0"/>
            </a:rPr>
            <a:t> </a:t>
          </a:r>
          <a:endParaRPr lang="en-US" sz="800">
            <a:latin typeface="Candara" panose="020E0502030303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0.12008</cdr:x>
      <cdr:y>0.1129</cdr:y>
    </cdr:from>
    <cdr:to>
      <cdr:x>0.25787</cdr:x>
      <cdr:y>0.22581</cdr:y>
    </cdr:to>
    <cdr:sp macro="" textlink="">
      <cdr:nvSpPr>
        <cdr:cNvPr id="2" name="TextBox 1">
          <a:extLst xmlns:a="http://schemas.openxmlformats.org/drawingml/2006/main">
            <a:ext uri="{FF2B5EF4-FFF2-40B4-BE49-F238E27FC236}">
              <a16:creationId xmlns:a16="http://schemas.microsoft.com/office/drawing/2014/main" id="{858789B8-8E68-4CA7-BF44-CFA0D92752F2}"/>
            </a:ext>
          </a:extLst>
        </cdr:cNvPr>
        <cdr:cNvSpPr txBox="1"/>
      </cdr:nvSpPr>
      <cdr:spPr>
        <a:xfrm xmlns:a="http://schemas.openxmlformats.org/drawingml/2006/main">
          <a:off x="645584" y="370419"/>
          <a:ext cx="740834" cy="370415"/>
        </a:xfrm>
        <a:prstGeom xmlns:a="http://schemas.openxmlformats.org/drawingml/2006/main" prst="rect">
          <a:avLst/>
        </a:prstGeom>
        <a:solidFill xmlns:a="http://schemas.openxmlformats.org/drawingml/2006/main">
          <a:schemeClr val="bg2">
            <a:alpha val="30000"/>
          </a:schemeClr>
        </a:solidFill>
        <a:ln xmlns:a="http://schemas.openxmlformats.org/drawingml/2006/main">
          <a:noFill/>
        </a:ln>
      </cdr:spPr>
      <cdr:txBody>
        <a:bodyPr xmlns:a="http://schemas.openxmlformats.org/drawingml/2006/main" vertOverflow="clip" wrap="none" rtlCol="0"/>
        <a:lstStyle xmlns:a="http://schemas.openxmlformats.org/drawingml/2006/main"/>
        <a:p xmlns:a="http://schemas.openxmlformats.org/drawingml/2006/main">
          <a:pPr algn="l"/>
          <a:r>
            <a:rPr lang="en-US" sz="800">
              <a:latin typeface="Candara" panose="020E0502030303020204" pitchFamily="34" charset="0"/>
            </a:rPr>
            <a:t>300Mbps </a:t>
          </a:r>
        </a:p>
        <a:p xmlns:a="http://schemas.openxmlformats.org/drawingml/2006/main">
          <a:pPr algn="l"/>
          <a:r>
            <a:rPr lang="en-US" sz="800">
              <a:latin typeface="Candara" panose="020E0502030303020204" pitchFamily="34" charset="0"/>
            </a:rPr>
            <a:t>typica</a:t>
          </a:r>
          <a:r>
            <a:rPr lang="en-US" sz="800" baseline="0">
              <a:latin typeface="Candara" panose="020E0502030303020204" pitchFamily="34" charset="0"/>
            </a:rPr>
            <a:t>l </a:t>
          </a:r>
          <a:r>
            <a:rPr lang="en-US" sz="800">
              <a:latin typeface="Candara" panose="020E0502030303020204" pitchFamily="34" charset="0"/>
            </a:rPr>
            <a:t>speed</a:t>
          </a:r>
        </a:p>
      </cdr:txBody>
    </cdr:sp>
  </cdr:relSizeAnchor>
  <cdr:relSizeAnchor xmlns:cdr="http://schemas.openxmlformats.org/drawingml/2006/chartDrawing">
    <cdr:from>
      <cdr:x>0.10984</cdr:x>
      <cdr:y>0.55097</cdr:y>
    </cdr:from>
    <cdr:to>
      <cdr:x>0.24016</cdr:x>
      <cdr:y>0.65806</cdr:y>
    </cdr:to>
    <cdr:sp macro="" textlink="">
      <cdr:nvSpPr>
        <cdr:cNvPr id="10" name="TextBox 1">
          <a:extLst xmlns:a="http://schemas.openxmlformats.org/drawingml/2006/main">
            <a:ext uri="{FF2B5EF4-FFF2-40B4-BE49-F238E27FC236}">
              <a16:creationId xmlns:a16="http://schemas.microsoft.com/office/drawing/2014/main" id="{98A7AB8F-3BC8-42F4-A912-24D06AA93E8B}"/>
            </a:ext>
          </a:extLst>
        </cdr:cNvPr>
        <cdr:cNvSpPr txBox="1"/>
      </cdr:nvSpPr>
      <cdr:spPr>
        <a:xfrm xmlns:a="http://schemas.openxmlformats.org/drawingml/2006/main">
          <a:off x="590549" y="1807634"/>
          <a:ext cx="700618" cy="351367"/>
        </a:xfrm>
        <a:prstGeom xmlns:a="http://schemas.openxmlformats.org/drawingml/2006/main" prst="rect">
          <a:avLst/>
        </a:prstGeom>
        <a:solidFill xmlns:a="http://schemas.openxmlformats.org/drawingml/2006/main">
          <a:schemeClr val="bg2">
            <a:alpha val="30000"/>
          </a:schemeClr>
        </a:solidFill>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800">
              <a:latin typeface="Candara" panose="020E0502030303020204" pitchFamily="34" charset="0"/>
            </a:rPr>
            <a:t>~100Mbps </a:t>
          </a:r>
        </a:p>
        <a:p xmlns:a="http://schemas.openxmlformats.org/drawingml/2006/main">
          <a:pPr algn="l"/>
          <a:r>
            <a:rPr lang="en-US" sz="800">
              <a:latin typeface="Candara" panose="020E0502030303020204" pitchFamily="34" charset="0"/>
            </a:rPr>
            <a:t>typica</a:t>
          </a:r>
          <a:r>
            <a:rPr lang="en-US" sz="800" baseline="0">
              <a:latin typeface="Candara" panose="020E0502030303020204" pitchFamily="34" charset="0"/>
            </a:rPr>
            <a:t>l </a:t>
          </a:r>
          <a:r>
            <a:rPr lang="en-US" sz="800">
              <a:latin typeface="Candara" panose="020E0502030303020204" pitchFamily="34" charset="0"/>
            </a:rPr>
            <a:t>speed</a:t>
          </a:r>
        </a:p>
      </cdr:txBody>
    </cdr:sp>
  </cdr:relSizeAnchor>
  <cdr:relSizeAnchor xmlns:cdr="http://schemas.openxmlformats.org/drawingml/2006/chartDrawing">
    <cdr:from>
      <cdr:x>0.11969</cdr:x>
      <cdr:y>0.34452</cdr:y>
    </cdr:from>
    <cdr:to>
      <cdr:x>0.25394</cdr:x>
      <cdr:y>0.44839</cdr:y>
    </cdr:to>
    <cdr:sp macro="" textlink="">
      <cdr:nvSpPr>
        <cdr:cNvPr id="12" name="TextBox 1">
          <a:extLst xmlns:a="http://schemas.openxmlformats.org/drawingml/2006/main">
            <a:ext uri="{FF2B5EF4-FFF2-40B4-BE49-F238E27FC236}">
              <a16:creationId xmlns:a16="http://schemas.microsoft.com/office/drawing/2014/main" id="{98A7AB8F-3BC8-42F4-A912-24D06AA93E8B}"/>
            </a:ext>
          </a:extLst>
        </cdr:cNvPr>
        <cdr:cNvSpPr txBox="1"/>
      </cdr:nvSpPr>
      <cdr:spPr>
        <a:xfrm xmlns:a="http://schemas.openxmlformats.org/drawingml/2006/main">
          <a:off x="643467" y="1130300"/>
          <a:ext cx="721783" cy="340782"/>
        </a:xfrm>
        <a:prstGeom xmlns:a="http://schemas.openxmlformats.org/drawingml/2006/main" prst="rect">
          <a:avLst/>
        </a:prstGeom>
        <a:solidFill xmlns:a="http://schemas.openxmlformats.org/drawingml/2006/main">
          <a:schemeClr val="bg2">
            <a:alpha val="30000"/>
          </a:schemeClr>
        </a:solidFill>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800">
              <a:latin typeface="Candara" panose="020E0502030303020204" pitchFamily="34" charset="0"/>
            </a:rPr>
            <a:t>~200Mbps </a:t>
          </a:r>
        </a:p>
        <a:p xmlns:a="http://schemas.openxmlformats.org/drawingml/2006/main">
          <a:pPr algn="l"/>
          <a:r>
            <a:rPr lang="en-US" sz="800">
              <a:latin typeface="Candara" panose="020E0502030303020204" pitchFamily="34" charset="0"/>
            </a:rPr>
            <a:t>typica</a:t>
          </a:r>
          <a:r>
            <a:rPr lang="en-US" sz="800" baseline="0">
              <a:latin typeface="Candara" panose="020E0502030303020204" pitchFamily="34" charset="0"/>
            </a:rPr>
            <a:t>l </a:t>
          </a:r>
          <a:r>
            <a:rPr lang="en-US" sz="800">
              <a:latin typeface="Candara" panose="020E0502030303020204" pitchFamily="34" charset="0"/>
            </a:rPr>
            <a:t>speed</a:t>
          </a:r>
        </a:p>
      </cdr:txBody>
    </cdr:sp>
  </cdr:relSizeAnchor>
</c:userShapes>
</file>

<file path=xl/drawings/drawing5.xml><?xml version="1.0" encoding="utf-8"?>
<xdr:wsDr xmlns:xdr="http://schemas.openxmlformats.org/drawingml/2006/spreadsheetDrawing" xmlns:a="http://schemas.openxmlformats.org/drawingml/2006/main">
  <xdr:twoCellAnchor>
    <xdr:from>
      <xdr:col>18</xdr:col>
      <xdr:colOff>16806</xdr:colOff>
      <xdr:row>78</xdr:row>
      <xdr:rowOff>57149</xdr:rowOff>
    </xdr:from>
    <xdr:to>
      <xdr:col>29</xdr:col>
      <xdr:colOff>448234</xdr:colOff>
      <xdr:row>98</xdr:row>
      <xdr:rowOff>179294</xdr:rowOff>
    </xdr:to>
    <xdr:graphicFrame macro="">
      <xdr:nvGraphicFramePr>
        <xdr:cNvPr id="2" name="Chart 1">
          <a:extLst>
            <a:ext uri="{FF2B5EF4-FFF2-40B4-BE49-F238E27FC236}">
              <a16:creationId xmlns:a16="http://schemas.microsoft.com/office/drawing/2014/main" id="{23F2AEA9-28AF-47BF-A998-A507A98A6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35</xdr:row>
      <xdr:rowOff>22412</xdr:rowOff>
    </xdr:from>
    <xdr:to>
      <xdr:col>30</xdr:col>
      <xdr:colOff>102534</xdr:colOff>
      <xdr:row>56</xdr:row>
      <xdr:rowOff>127748</xdr:rowOff>
    </xdr:to>
    <xdr:graphicFrame macro="">
      <xdr:nvGraphicFramePr>
        <xdr:cNvPr id="3" name="Chart 2">
          <a:extLst>
            <a:ext uri="{FF2B5EF4-FFF2-40B4-BE49-F238E27FC236}">
              <a16:creationId xmlns:a16="http://schemas.microsoft.com/office/drawing/2014/main" id="{BB1B8FCD-0D68-4279-8F09-8A9FDC639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560294</xdr:colOff>
      <xdr:row>57</xdr:row>
      <xdr:rowOff>56029</xdr:rowOff>
    </xdr:from>
    <xdr:to>
      <xdr:col>28</xdr:col>
      <xdr:colOff>324347</xdr:colOff>
      <xdr:row>77</xdr:row>
      <xdr:rowOff>26895</xdr:rowOff>
    </xdr:to>
    <xdr:graphicFrame macro="">
      <xdr:nvGraphicFramePr>
        <xdr:cNvPr id="4" name="Chart 3">
          <a:extLst>
            <a:ext uri="{FF2B5EF4-FFF2-40B4-BE49-F238E27FC236}">
              <a16:creationId xmlns:a16="http://schemas.microsoft.com/office/drawing/2014/main" id="{011570DF-705B-47D4-8747-5FFC5FDEA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0.69112</cdr:x>
      <cdr:y>0.4668</cdr:y>
    </cdr:from>
    <cdr:to>
      <cdr:x>0.87986</cdr:x>
      <cdr:y>0.56534</cdr:y>
    </cdr:to>
    <cdr:sp macro="" textlink="">
      <cdr:nvSpPr>
        <cdr:cNvPr id="2" name="TextBox 1">
          <a:extLst xmlns:a="http://schemas.openxmlformats.org/drawingml/2006/main">
            <a:ext uri="{FF2B5EF4-FFF2-40B4-BE49-F238E27FC236}">
              <a16:creationId xmlns:a16="http://schemas.microsoft.com/office/drawing/2014/main" id="{D26E4013-5BA0-4CB7-9BF7-5256F602BC4A}"/>
            </a:ext>
          </a:extLst>
        </cdr:cNvPr>
        <cdr:cNvSpPr txBox="1"/>
      </cdr:nvSpPr>
      <cdr:spPr>
        <a:xfrm xmlns:a="http://schemas.openxmlformats.org/drawingml/2006/main">
          <a:off x="4813300" y="1877358"/>
          <a:ext cx="1314453" cy="39631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aseline="0">
              <a:effectLst/>
              <a:latin typeface="Candara" panose="020E0502030303020204" pitchFamily="34" charset="0"/>
              <a:ea typeface="+mn-ea"/>
              <a:cs typeface="+mn-cs"/>
            </a:rPr>
            <a:t>Revenue loss due </a:t>
          </a:r>
        </a:p>
        <a:p xmlns:a="http://schemas.openxmlformats.org/drawingml/2006/main">
          <a:r>
            <a:rPr lang="en-US" sz="1100" baseline="0">
              <a:effectLst/>
              <a:latin typeface="Candara" panose="020E0502030303020204" pitchFamily="34" charset="0"/>
              <a:ea typeface="+mn-ea"/>
              <a:cs typeface="+mn-cs"/>
            </a:rPr>
            <a:t>to LTE "exhaust"</a:t>
          </a:r>
          <a:endParaRPr lang="en-US" sz="1000">
            <a:effectLst/>
            <a:latin typeface="Candara" panose="020E0502030303020204" pitchFamily="34" charset="0"/>
          </a:endParaRPr>
        </a:p>
      </cdr:txBody>
    </cdr:sp>
  </cdr:relSizeAnchor>
  <cdr:relSizeAnchor xmlns:cdr="http://schemas.openxmlformats.org/drawingml/2006/chartDrawing">
    <cdr:from>
      <cdr:x>0.71681</cdr:x>
      <cdr:y>0.56534</cdr:y>
    </cdr:from>
    <cdr:to>
      <cdr:x>0.72969</cdr:x>
      <cdr:y>0.6545</cdr:y>
    </cdr:to>
    <cdr:cxnSp macro="">
      <cdr:nvCxnSpPr>
        <cdr:cNvPr id="3" name="Connector: Curved 2">
          <a:extLst xmlns:a="http://schemas.openxmlformats.org/drawingml/2006/main">
            <a:ext uri="{FF2B5EF4-FFF2-40B4-BE49-F238E27FC236}">
              <a16:creationId xmlns:a16="http://schemas.microsoft.com/office/drawing/2014/main" id="{559F86FB-8F81-4EC0-BAD2-3F51D08E4CA7}"/>
            </a:ext>
          </a:extLst>
        </cdr:cNvPr>
        <cdr:cNvCxnSpPr/>
      </cdr:nvCxnSpPr>
      <cdr:spPr>
        <a:xfrm xmlns:a="http://schemas.openxmlformats.org/drawingml/2006/main" rot="5400000">
          <a:off x="4857753" y="2408144"/>
          <a:ext cx="358587" cy="89648"/>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0.79083</cdr:x>
      <cdr:y>0.56813</cdr:y>
    </cdr:from>
    <cdr:to>
      <cdr:x>0.80215</cdr:x>
      <cdr:y>0.66462</cdr:y>
    </cdr:to>
    <cdr:cxnSp macro="">
      <cdr:nvCxnSpPr>
        <cdr:cNvPr id="8" name="Connector: Curved 7">
          <a:extLst xmlns:a="http://schemas.openxmlformats.org/drawingml/2006/main">
            <a:ext uri="{FF2B5EF4-FFF2-40B4-BE49-F238E27FC236}">
              <a16:creationId xmlns:a16="http://schemas.microsoft.com/office/drawing/2014/main" id="{D06EE255-B569-45A2-AED5-34478FC1B67A}"/>
            </a:ext>
          </a:extLst>
        </cdr:cNvPr>
        <cdr:cNvCxnSpPr/>
      </cdr:nvCxnSpPr>
      <cdr:spPr>
        <a:xfrm xmlns:a="http://schemas.openxmlformats.org/drawingml/2006/main" rot="16200000" flipH="1">
          <a:off x="5353054" y="2439524"/>
          <a:ext cx="388092" cy="78812"/>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0.84554</cdr:x>
      <cdr:y>0.57091</cdr:y>
    </cdr:from>
    <cdr:to>
      <cdr:x>0.88737</cdr:x>
      <cdr:y>0.67958</cdr:y>
    </cdr:to>
    <cdr:cxnSp macro="">
      <cdr:nvCxnSpPr>
        <cdr:cNvPr id="10" name="Connector: Curved 9">
          <a:extLst xmlns:a="http://schemas.openxmlformats.org/drawingml/2006/main">
            <a:ext uri="{FF2B5EF4-FFF2-40B4-BE49-F238E27FC236}">
              <a16:creationId xmlns:a16="http://schemas.microsoft.com/office/drawing/2014/main" id="{D06EE255-B569-45A2-AED5-34478FC1B67A}"/>
            </a:ext>
          </a:extLst>
        </cdr:cNvPr>
        <cdr:cNvCxnSpPr/>
      </cdr:nvCxnSpPr>
      <cdr:spPr>
        <a:xfrm xmlns:a="http://schemas.openxmlformats.org/drawingml/2006/main" rot="16200000" flipH="1">
          <a:off x="5815854" y="2368925"/>
          <a:ext cx="437033" cy="291353"/>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0.2406</cdr:x>
      <cdr:y>0.78722</cdr:y>
    </cdr:from>
    <cdr:to>
      <cdr:x>0.42934</cdr:x>
      <cdr:y>0.88576</cdr:y>
    </cdr:to>
    <cdr:sp macro="" textlink="">
      <cdr:nvSpPr>
        <cdr:cNvPr id="13" name="TextBox 1">
          <a:extLst xmlns:a="http://schemas.openxmlformats.org/drawingml/2006/main">
            <a:ext uri="{FF2B5EF4-FFF2-40B4-BE49-F238E27FC236}">
              <a16:creationId xmlns:a16="http://schemas.microsoft.com/office/drawing/2014/main" id="{7664DC13-4DE7-4C6A-83C9-0B35802A115E}"/>
            </a:ext>
          </a:extLst>
        </cdr:cNvPr>
        <cdr:cNvSpPr txBox="1"/>
      </cdr:nvSpPr>
      <cdr:spPr>
        <a:xfrm xmlns:a="http://schemas.openxmlformats.org/drawingml/2006/main">
          <a:off x="1675653" y="3166034"/>
          <a:ext cx="1314453" cy="39631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aseline="0">
              <a:effectLst/>
              <a:latin typeface="Candara" panose="020E0502030303020204" pitchFamily="34" charset="0"/>
              <a:ea typeface="+mn-ea"/>
              <a:cs typeface="+mn-cs"/>
            </a:rPr>
            <a:t>C-band spectrum cost</a:t>
          </a:r>
        </a:p>
        <a:p xmlns:a="http://schemas.openxmlformats.org/drawingml/2006/main">
          <a:r>
            <a:rPr lang="en-US" sz="1100" baseline="0">
              <a:effectLst/>
              <a:latin typeface="Candara" panose="020E0502030303020204" pitchFamily="34" charset="0"/>
              <a:ea typeface="+mn-ea"/>
              <a:cs typeface="+mn-cs"/>
            </a:rPr>
            <a:t>increases Network cost</a:t>
          </a:r>
          <a:endParaRPr lang="en-US" sz="1000">
            <a:effectLst/>
            <a:latin typeface="Candara" panose="020E0502030303020204" pitchFamily="34" charset="0"/>
          </a:endParaRPr>
        </a:p>
      </cdr:txBody>
    </cdr:sp>
  </cdr:relSizeAnchor>
  <cdr:relSizeAnchor xmlns:cdr="http://schemas.openxmlformats.org/drawingml/2006/chartDrawing">
    <cdr:from>
      <cdr:x>0.25986</cdr:x>
      <cdr:y>0.74645</cdr:y>
    </cdr:from>
    <cdr:to>
      <cdr:x>0.27112</cdr:x>
      <cdr:y>0.80217</cdr:y>
    </cdr:to>
    <cdr:cxnSp macro="">
      <cdr:nvCxnSpPr>
        <cdr:cNvPr id="14" name="Connector: Curved 13">
          <a:extLst xmlns:a="http://schemas.openxmlformats.org/drawingml/2006/main">
            <a:ext uri="{FF2B5EF4-FFF2-40B4-BE49-F238E27FC236}">
              <a16:creationId xmlns:a16="http://schemas.microsoft.com/office/drawing/2014/main" id="{73FEAC9A-48ED-4AD4-BCD8-ADB577555F96}"/>
            </a:ext>
          </a:extLst>
        </cdr:cNvPr>
        <cdr:cNvCxnSpPr/>
      </cdr:nvCxnSpPr>
      <cdr:spPr>
        <a:xfrm xmlns:a="http://schemas.openxmlformats.org/drawingml/2006/main" rot="16200000" flipV="1">
          <a:off x="1736919" y="3074900"/>
          <a:ext cx="224113" cy="78438"/>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0.60102</cdr:x>
      <cdr:y>0.80291</cdr:y>
    </cdr:from>
    <cdr:to>
      <cdr:x>0.78976</cdr:x>
      <cdr:y>0.90146</cdr:y>
    </cdr:to>
    <cdr:sp macro="" textlink="">
      <cdr:nvSpPr>
        <cdr:cNvPr id="18" name="TextBox 1">
          <a:extLst xmlns:a="http://schemas.openxmlformats.org/drawingml/2006/main">
            <a:ext uri="{FF2B5EF4-FFF2-40B4-BE49-F238E27FC236}">
              <a16:creationId xmlns:a16="http://schemas.microsoft.com/office/drawing/2014/main" id="{CA807A0A-887D-4F36-9925-3A8D47D6B177}"/>
            </a:ext>
          </a:extLst>
        </cdr:cNvPr>
        <cdr:cNvSpPr txBox="1"/>
      </cdr:nvSpPr>
      <cdr:spPr>
        <a:xfrm xmlns:a="http://schemas.openxmlformats.org/drawingml/2006/main">
          <a:off x="4185770" y="3229154"/>
          <a:ext cx="1314453" cy="39631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aseline="0">
              <a:effectLst/>
              <a:latin typeface="Candara" panose="020E0502030303020204" pitchFamily="34" charset="0"/>
              <a:ea typeface="+mn-ea"/>
              <a:cs typeface="+mn-cs"/>
            </a:rPr>
            <a:t>5G investment accelerates</a:t>
          </a:r>
        </a:p>
        <a:p xmlns:a="http://schemas.openxmlformats.org/drawingml/2006/main">
          <a:r>
            <a:rPr lang="en-US" sz="1100" baseline="0">
              <a:effectLst/>
              <a:latin typeface="Candara" panose="020E0502030303020204" pitchFamily="34" charset="0"/>
              <a:ea typeface="+mn-ea"/>
              <a:cs typeface="+mn-cs"/>
            </a:rPr>
            <a:t>to increase network capacity</a:t>
          </a:r>
          <a:endParaRPr lang="en-US" sz="1000">
            <a:effectLst/>
            <a:latin typeface="Candara" panose="020E0502030303020204" pitchFamily="34" charset="0"/>
          </a:endParaRPr>
        </a:p>
      </cdr:txBody>
    </cdr:sp>
  </cdr:relSizeAnchor>
  <cdr:relSizeAnchor xmlns:cdr="http://schemas.openxmlformats.org/drawingml/2006/chartDrawing">
    <cdr:from>
      <cdr:x>0.71199</cdr:x>
      <cdr:y>0.75936</cdr:y>
    </cdr:from>
    <cdr:to>
      <cdr:x>0.72325</cdr:x>
      <cdr:y>0.81508</cdr:y>
    </cdr:to>
    <cdr:cxnSp macro="">
      <cdr:nvCxnSpPr>
        <cdr:cNvPr id="19" name="Connector: Curved 18">
          <a:extLst xmlns:a="http://schemas.openxmlformats.org/drawingml/2006/main">
            <a:ext uri="{FF2B5EF4-FFF2-40B4-BE49-F238E27FC236}">
              <a16:creationId xmlns:a16="http://schemas.microsoft.com/office/drawing/2014/main" id="{FC5F06FF-7E0C-479F-82DE-3EFDF87909D6}"/>
            </a:ext>
          </a:extLst>
        </cdr:cNvPr>
        <cdr:cNvCxnSpPr/>
      </cdr:nvCxnSpPr>
      <cdr:spPr>
        <a:xfrm xmlns:a="http://schemas.openxmlformats.org/drawingml/2006/main" rot="16200000" flipV="1">
          <a:off x="4885771" y="3126815"/>
          <a:ext cx="224113" cy="78438"/>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0.23757</cdr:x>
      <cdr:y>0.0985</cdr:y>
    </cdr:from>
    <cdr:to>
      <cdr:x>0.44631</cdr:x>
      <cdr:y>0.18706</cdr:y>
    </cdr:to>
    <cdr:sp macro="" textlink="">
      <cdr:nvSpPr>
        <cdr:cNvPr id="2" name="TextBox 1">
          <a:extLst xmlns:a="http://schemas.openxmlformats.org/drawingml/2006/main">
            <a:ext uri="{FF2B5EF4-FFF2-40B4-BE49-F238E27FC236}">
              <a16:creationId xmlns:a16="http://schemas.microsoft.com/office/drawing/2014/main" id="{4C038BB9-0C8C-4CED-8D0B-5BA76B948418}"/>
            </a:ext>
          </a:extLst>
        </cdr:cNvPr>
        <cdr:cNvSpPr txBox="1"/>
      </cdr:nvSpPr>
      <cdr:spPr>
        <a:xfrm xmlns:a="http://schemas.openxmlformats.org/drawingml/2006/main">
          <a:off x="1496001" y="379053"/>
          <a:ext cx="1314453" cy="340788"/>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aseline="0">
              <a:effectLst/>
              <a:latin typeface="Candara" panose="020E0502030303020204" pitchFamily="34" charset="0"/>
              <a:ea typeface="+mn-ea"/>
              <a:cs typeface="+mn-cs"/>
            </a:rPr>
            <a:t>Spectrum cost for </a:t>
          </a:r>
        </a:p>
        <a:p xmlns:a="http://schemas.openxmlformats.org/drawingml/2006/main">
          <a:r>
            <a:rPr lang="en-US" sz="1100" baseline="0">
              <a:effectLst/>
              <a:latin typeface="Candara" panose="020E0502030303020204" pitchFamily="34" charset="0"/>
              <a:ea typeface="+mn-ea"/>
              <a:cs typeface="+mn-cs"/>
            </a:rPr>
            <a:t>C-band included</a:t>
          </a:r>
          <a:endParaRPr lang="en-US" sz="1000">
            <a:effectLst/>
            <a:latin typeface="Candara" panose="020E0502030303020204" pitchFamily="34" charset="0"/>
          </a:endParaRPr>
        </a:p>
      </cdr:txBody>
    </cdr:sp>
  </cdr:relSizeAnchor>
  <cdr:relSizeAnchor xmlns:cdr="http://schemas.openxmlformats.org/drawingml/2006/chartDrawing">
    <cdr:from>
      <cdr:x>0.24736</cdr:x>
      <cdr:y>0.20676</cdr:y>
    </cdr:from>
    <cdr:to>
      <cdr:x>0.2954</cdr:x>
      <cdr:y>0.39895</cdr:y>
    </cdr:to>
    <cdr:cxnSp macro="">
      <cdr:nvCxnSpPr>
        <cdr:cNvPr id="8" name="Connector: Curved 7">
          <a:extLst xmlns:a="http://schemas.openxmlformats.org/drawingml/2006/main">
            <a:ext uri="{FF2B5EF4-FFF2-40B4-BE49-F238E27FC236}">
              <a16:creationId xmlns:a16="http://schemas.microsoft.com/office/drawing/2014/main" id="{D4A5D05D-40CC-4046-83C4-2035056B9679}"/>
            </a:ext>
          </a:extLst>
        </cdr:cNvPr>
        <cdr:cNvCxnSpPr/>
      </cdr:nvCxnSpPr>
      <cdr:spPr>
        <a:xfrm xmlns:a="http://schemas.openxmlformats.org/drawingml/2006/main" rot="5400000">
          <a:off x="1339105" y="1014135"/>
          <a:ext cx="739586" cy="302558"/>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12</xdr:col>
      <xdr:colOff>657225</xdr:colOff>
      <xdr:row>26</xdr:row>
      <xdr:rowOff>71436</xdr:rowOff>
    </xdr:from>
    <xdr:to>
      <xdr:col>22</xdr:col>
      <xdr:colOff>152400</xdr:colOff>
      <xdr:row>48</xdr:row>
      <xdr:rowOff>35719</xdr:rowOff>
    </xdr:to>
    <xdr:graphicFrame macro="">
      <xdr:nvGraphicFramePr>
        <xdr:cNvPr id="2" name="Chart 1">
          <a:extLst>
            <a:ext uri="{FF2B5EF4-FFF2-40B4-BE49-F238E27FC236}">
              <a16:creationId xmlns:a16="http://schemas.microsoft.com/office/drawing/2014/main" id="{43CA8C2B-35C2-4F18-B5F2-F8BF42FDA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656747</xdr:colOff>
      <xdr:row>49</xdr:row>
      <xdr:rowOff>164781</xdr:rowOff>
    </xdr:from>
    <xdr:to>
      <xdr:col>20</xdr:col>
      <xdr:colOff>396715</xdr:colOff>
      <xdr:row>69</xdr:row>
      <xdr:rowOff>71437</xdr:rowOff>
    </xdr:to>
    <xdr:graphicFrame macro="">
      <xdr:nvGraphicFramePr>
        <xdr:cNvPr id="5" name="Chart 4">
          <a:extLst>
            <a:ext uri="{FF2B5EF4-FFF2-40B4-BE49-F238E27FC236}">
              <a16:creationId xmlns:a16="http://schemas.microsoft.com/office/drawing/2014/main" id="{7D6023E3-397A-4B10-BF8A-6E284DCD4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660796</xdr:colOff>
      <xdr:row>4</xdr:row>
      <xdr:rowOff>158353</xdr:rowOff>
    </xdr:from>
    <xdr:to>
      <xdr:col>22</xdr:col>
      <xdr:colOff>59530</xdr:colOff>
      <xdr:row>26</xdr:row>
      <xdr:rowOff>0</xdr:rowOff>
    </xdr:to>
    <xdr:graphicFrame macro="">
      <xdr:nvGraphicFramePr>
        <xdr:cNvPr id="7" name="Chart 6">
          <a:extLst>
            <a:ext uri="{FF2B5EF4-FFF2-40B4-BE49-F238E27FC236}">
              <a16:creationId xmlns:a16="http://schemas.microsoft.com/office/drawing/2014/main" id="{6562E081-92B5-4953-AFA1-CB74BF11F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651035</xdr:colOff>
      <xdr:row>70</xdr:row>
      <xdr:rowOff>111442</xdr:rowOff>
    </xdr:from>
    <xdr:to>
      <xdr:col>20</xdr:col>
      <xdr:colOff>372057</xdr:colOff>
      <xdr:row>90</xdr:row>
      <xdr:rowOff>101918</xdr:rowOff>
    </xdr:to>
    <xdr:graphicFrame macro="">
      <xdr:nvGraphicFramePr>
        <xdr:cNvPr id="8" name="Chart 7">
          <a:extLst>
            <a:ext uri="{FF2B5EF4-FFF2-40B4-BE49-F238E27FC236}">
              <a16:creationId xmlns:a16="http://schemas.microsoft.com/office/drawing/2014/main" id="{3DB5F707-C8F8-439E-AA2A-1F6A9B334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666750</xdr:colOff>
      <xdr:row>91</xdr:row>
      <xdr:rowOff>93822</xdr:rowOff>
    </xdr:from>
    <xdr:to>
      <xdr:col>20</xdr:col>
      <xdr:colOff>443970</xdr:colOff>
      <xdr:row>111</xdr:row>
      <xdr:rowOff>131923</xdr:rowOff>
    </xdr:to>
    <xdr:graphicFrame macro="">
      <xdr:nvGraphicFramePr>
        <xdr:cNvPr id="9" name="Chart 8">
          <a:extLst>
            <a:ext uri="{FF2B5EF4-FFF2-40B4-BE49-F238E27FC236}">
              <a16:creationId xmlns:a16="http://schemas.microsoft.com/office/drawing/2014/main" id="{7B67BAC8-B7AC-48C4-8754-33037911E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0.30686</cdr:x>
      <cdr:y>0.24537</cdr:y>
    </cdr:from>
    <cdr:to>
      <cdr:x>0.5156</cdr:x>
      <cdr:y>0.33393</cdr:y>
    </cdr:to>
    <cdr:sp macro="" textlink="">
      <cdr:nvSpPr>
        <cdr:cNvPr id="2" name="TextBox 1">
          <a:extLst xmlns:a="http://schemas.openxmlformats.org/drawingml/2006/main">
            <a:ext uri="{FF2B5EF4-FFF2-40B4-BE49-F238E27FC236}">
              <a16:creationId xmlns:a16="http://schemas.microsoft.com/office/drawing/2014/main" id="{4C038BB9-0C8C-4CED-8D0B-5BA76B948418}"/>
            </a:ext>
          </a:extLst>
        </cdr:cNvPr>
        <cdr:cNvSpPr txBox="1"/>
      </cdr:nvSpPr>
      <cdr:spPr>
        <a:xfrm xmlns:a="http://schemas.openxmlformats.org/drawingml/2006/main">
          <a:off x="1975610" y="885795"/>
          <a:ext cx="1343879" cy="319699"/>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aseline="0">
              <a:effectLst/>
              <a:latin typeface="Candara" panose="020E0502030303020204" pitchFamily="34" charset="0"/>
              <a:ea typeface="+mn-ea"/>
              <a:cs typeface="+mn-cs"/>
            </a:rPr>
            <a:t>Spectrum cost for </a:t>
          </a:r>
        </a:p>
        <a:p xmlns:a="http://schemas.openxmlformats.org/drawingml/2006/main">
          <a:r>
            <a:rPr lang="en-US" sz="1100" baseline="0">
              <a:effectLst/>
              <a:latin typeface="Candara" panose="020E0502030303020204" pitchFamily="34" charset="0"/>
              <a:ea typeface="+mn-ea"/>
              <a:cs typeface="+mn-cs"/>
            </a:rPr>
            <a:t>C-band included</a:t>
          </a:r>
          <a:endParaRPr lang="en-US" sz="1000">
            <a:effectLst/>
            <a:latin typeface="Candara" panose="020E0502030303020204" pitchFamily="34" charset="0"/>
          </a:endParaRPr>
        </a:p>
      </cdr:txBody>
    </cdr:sp>
  </cdr:relSizeAnchor>
  <cdr:relSizeAnchor xmlns:cdr="http://schemas.openxmlformats.org/drawingml/2006/chartDrawing">
    <cdr:from>
      <cdr:x>0.28695</cdr:x>
      <cdr:y>0.36385</cdr:y>
    </cdr:from>
    <cdr:to>
      <cdr:x>0.33318</cdr:x>
      <cdr:y>0.43311</cdr:y>
    </cdr:to>
    <cdr:cxnSp macro="">
      <cdr:nvCxnSpPr>
        <cdr:cNvPr id="8" name="Connector: Curved 7">
          <a:extLst xmlns:a="http://schemas.openxmlformats.org/drawingml/2006/main">
            <a:ext uri="{FF2B5EF4-FFF2-40B4-BE49-F238E27FC236}">
              <a16:creationId xmlns:a16="http://schemas.microsoft.com/office/drawing/2014/main" id="{D4A5D05D-40CC-4046-83C4-2035056B9679}"/>
            </a:ext>
          </a:extLst>
        </cdr:cNvPr>
        <cdr:cNvCxnSpPr/>
      </cdr:nvCxnSpPr>
      <cdr:spPr>
        <a:xfrm xmlns:a="http://schemas.openxmlformats.org/drawingml/2006/main" rot="10800000" flipV="1">
          <a:off x="1847374" y="1313499"/>
          <a:ext cx="297657" cy="250029"/>
        </a:xfrm>
        <a:prstGeom xmlns:a="http://schemas.openxmlformats.org/drawingml/2006/main" prst="curvedConnector3">
          <a:avLst>
            <a:gd name="adj1" fmla="val 50000"/>
          </a:avLst>
        </a:prstGeom>
        <a:ln xmlns:a="http://schemas.openxmlformats.org/drawingml/2006/main">
          <a:tailEnd type="triangle"/>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tabSelected="1" workbookViewId="0">
      <selection activeCell="J10" sqref="J10"/>
    </sheetView>
  </sheetViews>
  <sheetFormatPr defaultRowHeight="15" x14ac:dyDescent="0.25"/>
  <cols>
    <col min="2" max="2" width="9.42578125" bestFit="1" customWidth="1"/>
  </cols>
  <sheetData>
    <row r="1" spans="1:12" x14ac:dyDescent="0.25">
      <c r="A1" s="3"/>
      <c r="B1" s="3"/>
      <c r="C1" s="3"/>
      <c r="D1" s="3"/>
      <c r="E1" s="3"/>
      <c r="F1" s="3"/>
      <c r="G1" s="3"/>
      <c r="H1" s="3"/>
      <c r="I1" s="3"/>
      <c r="J1" s="3"/>
      <c r="K1" s="3"/>
      <c r="L1" s="3"/>
    </row>
    <row r="2" spans="1:12" x14ac:dyDescent="0.25">
      <c r="A2" s="3"/>
      <c r="B2" s="3"/>
      <c r="C2" s="3"/>
      <c r="D2" s="3"/>
      <c r="E2" s="3"/>
      <c r="F2" s="3"/>
      <c r="G2" s="3"/>
      <c r="H2" s="3"/>
      <c r="I2" s="3"/>
      <c r="J2" s="3"/>
      <c r="K2" s="3"/>
      <c r="L2" s="3"/>
    </row>
    <row r="3" spans="1:12" x14ac:dyDescent="0.25">
      <c r="A3" s="3"/>
      <c r="B3" s="3"/>
      <c r="C3" s="3"/>
      <c r="D3" s="3"/>
      <c r="E3" s="3"/>
      <c r="F3" s="3"/>
      <c r="G3" s="3"/>
      <c r="H3" s="3"/>
      <c r="I3" s="3"/>
      <c r="J3" s="3"/>
      <c r="K3" s="3"/>
      <c r="L3" s="3"/>
    </row>
    <row r="4" spans="1:12" x14ac:dyDescent="0.25">
      <c r="A4" s="3"/>
      <c r="B4" s="3"/>
      <c r="C4" s="3"/>
      <c r="D4" s="3"/>
      <c r="E4" s="3"/>
      <c r="F4" s="3"/>
      <c r="G4" s="3"/>
      <c r="H4" s="3"/>
      <c r="I4" s="3"/>
      <c r="J4" s="3"/>
      <c r="K4" s="3"/>
      <c r="L4" s="3"/>
    </row>
    <row r="5" spans="1:12" x14ac:dyDescent="0.25">
      <c r="A5" s="3"/>
      <c r="B5" s="3"/>
      <c r="C5" s="3"/>
      <c r="D5" s="3"/>
      <c r="E5" s="3"/>
      <c r="F5" s="3"/>
      <c r="G5" s="3"/>
      <c r="H5" s="3"/>
      <c r="I5" s="3"/>
      <c r="J5" s="3"/>
      <c r="K5" s="3"/>
      <c r="L5" s="3"/>
    </row>
    <row r="6" spans="1:12" x14ac:dyDescent="0.25">
      <c r="A6" s="3"/>
      <c r="B6" s="3"/>
      <c r="C6" s="3"/>
      <c r="D6" s="3"/>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22" t="s">
        <v>37</v>
      </c>
      <c r="J9" s="23" t="s">
        <v>305</v>
      </c>
      <c r="K9" s="3"/>
      <c r="L9" s="3"/>
    </row>
    <row r="10" spans="1:12" x14ac:dyDescent="0.25">
      <c r="A10" s="3"/>
      <c r="B10" s="3"/>
      <c r="C10" s="3"/>
      <c r="D10" s="3"/>
      <c r="E10" s="3"/>
      <c r="F10" s="3"/>
      <c r="G10" s="3"/>
      <c r="H10" s="3"/>
      <c r="I10" s="3"/>
      <c r="J10" s="3"/>
      <c r="K10" s="3"/>
      <c r="L10" s="3"/>
    </row>
    <row r="11" spans="1:12" x14ac:dyDescent="0.25">
      <c r="A11" s="3"/>
      <c r="B11" s="49" t="s">
        <v>60</v>
      </c>
      <c r="C11" s="3"/>
      <c r="D11" s="3"/>
      <c r="E11" s="3"/>
      <c r="F11" s="3"/>
      <c r="G11" s="3"/>
      <c r="H11" s="3"/>
      <c r="I11" s="3"/>
      <c r="J11" s="3"/>
      <c r="K11" s="3"/>
      <c r="L11" s="3"/>
    </row>
    <row r="12" spans="1:12" x14ac:dyDescent="0.25">
      <c r="A12" s="3"/>
      <c r="B12" s="49" t="s">
        <v>61</v>
      </c>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24">
        <v>43435</v>
      </c>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t="s">
        <v>38</v>
      </c>
      <c r="C16" s="3"/>
      <c r="D16" s="3"/>
      <c r="E16" s="3"/>
      <c r="F16" s="3"/>
      <c r="G16" s="3"/>
      <c r="H16" s="3"/>
      <c r="I16" s="3"/>
      <c r="J16" s="3"/>
      <c r="K16" s="3"/>
      <c r="L16" s="3"/>
    </row>
    <row r="17" spans="1:12" x14ac:dyDescent="0.25">
      <c r="A17" s="3"/>
      <c r="B17" s="3" t="s">
        <v>39</v>
      </c>
      <c r="C17" s="3"/>
      <c r="D17" s="3"/>
      <c r="E17" s="3"/>
      <c r="F17" s="3"/>
      <c r="G17" s="3"/>
      <c r="H17" s="3"/>
      <c r="I17" s="3"/>
      <c r="J17" s="3"/>
      <c r="K17" s="3"/>
      <c r="L17" s="3"/>
    </row>
    <row r="18" spans="1:12" x14ac:dyDescent="0.25">
      <c r="A18" s="3"/>
      <c r="B18" s="25" t="s">
        <v>40</v>
      </c>
      <c r="C18" s="3"/>
      <c r="D18" s="3"/>
      <c r="E18" s="3"/>
      <c r="F18" s="3"/>
      <c r="G18" s="3"/>
      <c r="H18" s="3"/>
      <c r="I18" s="3"/>
      <c r="J18" s="3"/>
      <c r="K18" s="3"/>
      <c r="L18" s="3"/>
    </row>
    <row r="19" spans="1:12" x14ac:dyDescent="0.25">
      <c r="A19" s="3"/>
      <c r="B19" s="25"/>
      <c r="C19" s="3"/>
      <c r="D19" s="3"/>
      <c r="E19" s="3"/>
      <c r="F19" s="3"/>
      <c r="G19" s="3"/>
      <c r="H19" s="3"/>
      <c r="I19" s="3"/>
      <c r="J19" s="3"/>
      <c r="K19" s="3"/>
      <c r="L19" s="3"/>
    </row>
    <row r="20" spans="1:12" x14ac:dyDescent="0.25">
      <c r="A20" s="3"/>
      <c r="B20" s="49" t="s">
        <v>62</v>
      </c>
      <c r="C20" s="3"/>
      <c r="D20" s="3"/>
      <c r="E20" s="3"/>
      <c r="F20" s="3"/>
      <c r="G20" s="3"/>
      <c r="H20" s="3"/>
      <c r="I20" s="3"/>
      <c r="J20" s="3"/>
      <c r="K20" s="3"/>
      <c r="L20" s="3"/>
    </row>
    <row r="21" spans="1:12" x14ac:dyDescent="0.25">
      <c r="A21" s="3"/>
      <c r="B21" s="3" t="s">
        <v>39</v>
      </c>
      <c r="C21" s="3"/>
      <c r="D21" s="3"/>
      <c r="E21" s="3"/>
      <c r="F21" s="3"/>
      <c r="G21" s="3"/>
      <c r="H21" s="3"/>
      <c r="I21" s="3"/>
      <c r="J21" s="3"/>
      <c r="K21" s="3"/>
      <c r="L21" s="3"/>
    </row>
    <row r="22" spans="1:12" x14ac:dyDescent="0.25">
      <c r="A22" s="3"/>
      <c r="B22" s="50" t="s">
        <v>63</v>
      </c>
      <c r="C22" s="3"/>
      <c r="D22" s="3"/>
      <c r="E22" s="3"/>
      <c r="F22" s="3"/>
      <c r="G22" s="3"/>
      <c r="H22" s="3"/>
      <c r="I22" s="3"/>
      <c r="J22" s="3"/>
      <c r="K22" s="3"/>
      <c r="L22" s="3"/>
    </row>
    <row r="23" spans="1:12" x14ac:dyDescent="0.25">
      <c r="A23" s="3"/>
      <c r="B23" s="3"/>
      <c r="C23" s="3"/>
      <c r="D23" s="3"/>
      <c r="E23" s="3"/>
      <c r="F23" s="3"/>
      <c r="G23" s="3"/>
      <c r="H23" s="3"/>
      <c r="I23" s="3"/>
      <c r="J23" s="3"/>
      <c r="K23" s="3"/>
      <c r="L23" s="3"/>
    </row>
    <row r="24" spans="1:12" ht="82.5" customHeight="1" x14ac:dyDescent="0.25">
      <c r="A24" s="3"/>
      <c r="B24" s="424" t="s">
        <v>64</v>
      </c>
      <c r="C24" s="424"/>
      <c r="D24" s="424"/>
      <c r="E24" s="424"/>
      <c r="F24" s="424"/>
      <c r="G24" s="424"/>
      <c r="H24" s="424"/>
      <c r="I24" s="3"/>
      <c r="J24" s="3"/>
      <c r="K24" s="3"/>
      <c r="L24" s="3"/>
    </row>
  </sheetData>
  <mergeCells count="1">
    <mergeCell ref="B24:H24"/>
  </mergeCells>
  <hyperlinks>
    <hyperlink ref="B22" r:id="rId1" xr:uid="{00000000-0004-0000-0000-000000000000}"/>
    <hyperlink ref="B18" r:id="rId2" xr:uid="{00000000-0004-0000-0000-000001000000}"/>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88"/>
  <sheetViews>
    <sheetView zoomScale="90" zoomScaleNormal="90" workbookViewId="0">
      <selection activeCell="A3" sqref="A3"/>
    </sheetView>
  </sheetViews>
  <sheetFormatPr defaultColWidth="8.85546875" defaultRowHeight="15" x14ac:dyDescent="0.25"/>
  <cols>
    <col min="1" max="2" width="8.85546875" style="318"/>
    <col min="3" max="3" width="24.7109375" style="318" customWidth="1"/>
    <col min="4" max="4" width="14" style="318" bestFit="1" customWidth="1"/>
    <col min="5" max="5" width="11.7109375" style="318" customWidth="1"/>
    <col min="6" max="6" width="8.85546875" style="318"/>
    <col min="7" max="7" width="31.28515625" style="318" customWidth="1"/>
    <col min="8" max="8" width="18.7109375" style="318" bestFit="1" customWidth="1"/>
    <col min="9" max="16" width="15.7109375" style="318" bestFit="1" customWidth="1"/>
    <col min="17" max="16384" width="8.85546875" style="318"/>
  </cols>
  <sheetData>
    <row r="1" spans="1:16" x14ac:dyDescent="0.25">
      <c r="A1" s="317" t="s">
        <v>301</v>
      </c>
    </row>
    <row r="2" spans="1:16" x14ac:dyDescent="0.25">
      <c r="A2" s="318" t="s">
        <v>112</v>
      </c>
    </row>
    <row r="3" spans="1:16" x14ac:dyDescent="0.25">
      <c r="B3" s="318" t="s">
        <v>156</v>
      </c>
      <c r="H3" s="396"/>
      <c r="I3" s="396"/>
      <c r="J3" s="396"/>
      <c r="K3" s="396"/>
      <c r="L3" s="396"/>
      <c r="M3" s="396"/>
      <c r="N3" s="396"/>
      <c r="O3" s="396"/>
      <c r="P3" s="396"/>
    </row>
    <row r="4" spans="1:16" x14ac:dyDescent="0.25">
      <c r="C4" s="318" t="s">
        <v>157</v>
      </c>
      <c r="D4" s="319">
        <f>'4.  New TMo OVERALL'!C4*0.2</f>
        <v>17000</v>
      </c>
      <c r="E4" s="318" t="s">
        <v>145</v>
      </c>
      <c r="H4" s="396"/>
      <c r="I4" s="396"/>
      <c r="J4" s="396"/>
      <c r="K4" s="396"/>
      <c r="L4" s="396"/>
      <c r="M4" s="396"/>
      <c r="N4" s="396"/>
      <c r="O4" s="396"/>
      <c r="P4" s="396"/>
    </row>
    <row r="5" spans="1:16" x14ac:dyDescent="0.25">
      <c r="C5" s="318" t="s">
        <v>144</v>
      </c>
      <c r="D5" s="320">
        <f>'4.  New TMo OVERALL'!C5*0.4</f>
        <v>20000</v>
      </c>
      <c r="E5" s="318" t="s">
        <v>145</v>
      </c>
      <c r="H5" s="397"/>
      <c r="I5" s="397"/>
      <c r="J5" s="397"/>
      <c r="K5" s="397"/>
      <c r="L5" s="397"/>
      <c r="M5" s="397"/>
      <c r="N5" s="397"/>
      <c r="O5" s="397"/>
      <c r="P5" s="397"/>
    </row>
    <row r="6" spans="1:16" x14ac:dyDescent="0.25">
      <c r="C6" s="318" t="s">
        <v>249</v>
      </c>
      <c r="D6" s="319">
        <v>77220000</v>
      </c>
      <c r="E6" s="318" t="s">
        <v>250</v>
      </c>
      <c r="H6" s="397"/>
      <c r="I6" s="397"/>
      <c r="J6" s="397"/>
      <c r="K6" s="397"/>
      <c r="L6" s="397"/>
      <c r="M6" s="397"/>
      <c r="N6" s="397"/>
      <c r="O6" s="397"/>
      <c r="P6" s="397"/>
    </row>
    <row r="7" spans="1:16" x14ac:dyDescent="0.25">
      <c r="C7" s="318" t="s">
        <v>303</v>
      </c>
      <c r="D7" s="321">
        <v>0.15</v>
      </c>
      <c r="E7" s="318" t="s">
        <v>251</v>
      </c>
    </row>
    <row r="8" spans="1:16" ht="15.75" thickBot="1" x14ac:dyDescent="0.3">
      <c r="H8" s="322">
        <v>2019</v>
      </c>
      <c r="I8" s="322">
        <v>2020</v>
      </c>
      <c r="J8" s="322">
        <v>2021</v>
      </c>
      <c r="K8" s="322">
        <v>2022</v>
      </c>
      <c r="L8" s="322">
        <v>2023</v>
      </c>
      <c r="M8" s="322">
        <v>2024</v>
      </c>
      <c r="N8" s="322">
        <v>2025</v>
      </c>
      <c r="O8" s="322">
        <v>2026</v>
      </c>
      <c r="P8" s="322">
        <v>2027</v>
      </c>
    </row>
    <row r="9" spans="1:16" s="317" customFormat="1" x14ac:dyDescent="0.25">
      <c r="A9" s="323"/>
      <c r="B9" s="324" t="s">
        <v>142</v>
      </c>
      <c r="C9" s="325"/>
      <c r="D9" s="325"/>
      <c r="E9" s="326"/>
      <c r="G9" s="327" t="s">
        <v>88</v>
      </c>
      <c r="H9" s="328" t="s">
        <v>8</v>
      </c>
      <c r="I9" s="328" t="s">
        <v>0</v>
      </c>
      <c r="J9" s="328" t="s">
        <v>1</v>
      </c>
      <c r="K9" s="328" t="s">
        <v>2</v>
      </c>
      <c r="L9" s="328" t="s">
        <v>3</v>
      </c>
      <c r="M9" s="328" t="s">
        <v>4</v>
      </c>
      <c r="N9" s="328" t="s">
        <v>5</v>
      </c>
      <c r="O9" s="328" t="s">
        <v>6</v>
      </c>
      <c r="P9" s="329" t="s">
        <v>7</v>
      </c>
    </row>
    <row r="10" spans="1:16" x14ac:dyDescent="0.25">
      <c r="A10" s="330"/>
      <c r="B10" s="331"/>
      <c r="C10" s="332" t="s">
        <v>154</v>
      </c>
      <c r="D10" s="336">
        <v>30</v>
      </c>
      <c r="E10" s="334" t="s">
        <v>68</v>
      </c>
      <c r="G10" s="335" t="s">
        <v>15</v>
      </c>
      <c r="H10" s="306">
        <f>'3.  USA Dense Urban'!H10*1.4</f>
        <v>21</v>
      </c>
      <c r="I10" s="398">
        <f>'3.  USA Dense Urban'!I10*1.35</f>
        <v>28.35</v>
      </c>
      <c r="J10" s="398">
        <f>'3.  USA Dense Urban'!J10*1.3</f>
        <v>38.22</v>
      </c>
      <c r="K10" s="398">
        <f>'3.  USA Dense Urban'!K10*1.25</f>
        <v>55.124999999999993</v>
      </c>
      <c r="L10" s="398">
        <f>'3.  USA Dense Urban'!L10*1.2</f>
        <v>79.379999999999981</v>
      </c>
      <c r="M10" s="398">
        <f>'3.  USA Dense Urban'!M10*1.15</f>
        <v>106.50149999999998</v>
      </c>
      <c r="N10" s="398">
        <f>'3.  USA Dense Urban'!N10*1.1</f>
        <v>137.52584999999999</v>
      </c>
      <c r="O10" s="398">
        <f>'3.  USA Dense Urban'!O10*1.05</f>
        <v>170.65707749999999</v>
      </c>
      <c r="P10" s="307">
        <f>'3.  USA Dense Urban'!P10*1</f>
        <v>203.16318749999996</v>
      </c>
    </row>
    <row r="11" spans="1:16" x14ac:dyDescent="0.25">
      <c r="A11" s="330"/>
      <c r="B11" s="331"/>
      <c r="C11" s="332" t="s">
        <v>67</v>
      </c>
      <c r="D11" s="336">
        <v>2</v>
      </c>
      <c r="E11" s="334" t="s">
        <v>69</v>
      </c>
      <c r="G11" s="331" t="s">
        <v>115</v>
      </c>
      <c r="H11" s="308">
        <v>0.3</v>
      </c>
      <c r="I11" s="308">
        <v>0.3</v>
      </c>
      <c r="J11" s="308">
        <v>0.3</v>
      </c>
      <c r="K11" s="308">
        <v>0.3</v>
      </c>
      <c r="L11" s="308">
        <v>0.3</v>
      </c>
      <c r="M11" s="308">
        <v>0.3</v>
      </c>
      <c r="N11" s="308">
        <v>0.3</v>
      </c>
      <c r="O11" s="308">
        <v>0.3</v>
      </c>
      <c r="P11" s="309">
        <v>0.3</v>
      </c>
    </row>
    <row r="12" spans="1:16" ht="15.75" thickBot="1" x14ac:dyDescent="0.3">
      <c r="A12" s="330"/>
      <c r="B12" s="337"/>
      <c r="C12" s="338" t="s">
        <v>126</v>
      </c>
      <c r="D12" s="339">
        <f>D10*D11*60*60*24*30*3*D7/8/1000</f>
        <v>8748</v>
      </c>
      <c r="E12" s="340"/>
      <c r="G12" s="341" t="s">
        <v>116</v>
      </c>
      <c r="H12" s="310">
        <f>H11*$D6</f>
        <v>23166000</v>
      </c>
      <c r="I12" s="310">
        <f>I11*$D6*1.02</f>
        <v>23629320</v>
      </c>
      <c r="J12" s="310">
        <f>J11*$D6*1.04</f>
        <v>24092640</v>
      </c>
      <c r="K12" s="310">
        <f>K11*$D6*1.06</f>
        <v>24555960</v>
      </c>
      <c r="L12" s="310">
        <f>L11*$D6*1.08</f>
        <v>25019280</v>
      </c>
      <c r="M12" s="310">
        <f>M11*$D6*1.1</f>
        <v>25482600.000000004</v>
      </c>
      <c r="N12" s="310">
        <f>N11*$D6*1.12</f>
        <v>25945920.000000004</v>
      </c>
      <c r="O12" s="310">
        <f>O11*$D6*1.14</f>
        <v>26409239.999999996</v>
      </c>
      <c r="P12" s="311">
        <f>P11*$D6*1.16</f>
        <v>26872560</v>
      </c>
    </row>
    <row r="13" spans="1:16" ht="15.75" thickBot="1" x14ac:dyDescent="0.3">
      <c r="A13" s="330"/>
      <c r="B13" s="342" t="s">
        <v>143</v>
      </c>
      <c r="C13" s="323"/>
      <c r="D13" s="323"/>
      <c r="E13" s="343"/>
      <c r="G13" s="344" t="s">
        <v>117</v>
      </c>
      <c r="H13" s="312">
        <f>H12*H10</f>
        <v>486486000</v>
      </c>
      <c r="I13" s="312">
        <f t="shared" ref="I13:P13" si="0">I12*I10</f>
        <v>669891222</v>
      </c>
      <c r="J13" s="312">
        <f t="shared" si="0"/>
        <v>920820700.79999995</v>
      </c>
      <c r="K13" s="312">
        <f t="shared" si="0"/>
        <v>1353647294.9999998</v>
      </c>
      <c r="L13" s="312">
        <f t="shared" si="0"/>
        <v>1986030446.3999996</v>
      </c>
      <c r="M13" s="312">
        <f t="shared" si="0"/>
        <v>2713935123.8999996</v>
      </c>
      <c r="N13" s="312">
        <f t="shared" si="0"/>
        <v>3568234702.0320001</v>
      </c>
      <c r="O13" s="312">
        <f t="shared" si="0"/>
        <v>4506923717.3960991</v>
      </c>
      <c r="P13" s="313">
        <f t="shared" si="0"/>
        <v>5459514945.8849993</v>
      </c>
    </row>
    <row r="14" spans="1:16" x14ac:dyDescent="0.25">
      <c r="A14" s="330"/>
      <c r="B14" s="331"/>
      <c r="C14" s="332" t="s">
        <v>66</v>
      </c>
      <c r="D14" s="336">
        <v>20</v>
      </c>
      <c r="E14" s="334" t="s">
        <v>68</v>
      </c>
      <c r="G14" s="317"/>
      <c r="H14" s="314"/>
      <c r="I14" s="314"/>
      <c r="J14" s="314"/>
      <c r="K14" s="314"/>
      <c r="L14" s="314"/>
      <c r="M14" s="314"/>
      <c r="N14" s="314"/>
      <c r="O14" s="314"/>
      <c r="P14" s="314"/>
    </row>
    <row r="15" spans="1:16" s="317" customFormat="1" x14ac:dyDescent="0.25">
      <c r="A15" s="323"/>
      <c r="B15" s="331"/>
      <c r="C15" s="332" t="s">
        <v>67</v>
      </c>
      <c r="D15" s="336">
        <v>2</v>
      </c>
      <c r="E15" s="334" t="s">
        <v>69</v>
      </c>
      <c r="F15" s="318"/>
      <c r="G15" s="345" t="s">
        <v>123</v>
      </c>
      <c r="H15" s="315"/>
      <c r="I15" s="315"/>
      <c r="J15" s="315"/>
      <c r="K15" s="315"/>
      <c r="L15" s="315"/>
      <c r="M15" s="315"/>
      <c r="N15" s="315"/>
      <c r="O15" s="315"/>
      <c r="P15" s="315"/>
    </row>
    <row r="16" spans="1:16" ht="15.75" thickBot="1" x14ac:dyDescent="0.3">
      <c r="A16" s="330"/>
      <c r="B16" s="331"/>
      <c r="C16" s="332" t="s">
        <v>126</v>
      </c>
      <c r="D16" s="333">
        <f>D14*D15*60*60*24*30*3*D7/8/1000</f>
        <v>5832</v>
      </c>
      <c r="E16" s="334"/>
      <c r="G16" s="345" t="s">
        <v>128</v>
      </c>
      <c r="H16" s="316">
        <v>0.9</v>
      </c>
      <c r="I16" s="316">
        <f>I17</f>
        <v>1</v>
      </c>
      <c r="J16" s="316">
        <f t="shared" ref="J16:P16" si="1">J17</f>
        <v>1.01</v>
      </c>
      <c r="K16" s="316">
        <f t="shared" si="1"/>
        <v>1.02</v>
      </c>
      <c r="L16" s="316">
        <f t="shared" si="1"/>
        <v>1.03</v>
      </c>
      <c r="M16" s="316">
        <f t="shared" si="1"/>
        <v>1.04</v>
      </c>
      <c r="N16" s="316">
        <f t="shared" si="1"/>
        <v>1.05</v>
      </c>
      <c r="O16" s="316">
        <f t="shared" si="1"/>
        <v>1.06</v>
      </c>
      <c r="P16" s="316">
        <f t="shared" si="1"/>
        <v>1.07</v>
      </c>
    </row>
    <row r="17" spans="1:18" x14ac:dyDescent="0.25">
      <c r="A17" s="330"/>
      <c r="B17" s="324" t="s">
        <v>147</v>
      </c>
      <c r="C17" s="325"/>
      <c r="D17" s="325"/>
      <c r="E17" s="326"/>
      <c r="G17" s="345" t="s">
        <v>121</v>
      </c>
      <c r="H17" s="316">
        <v>0.99</v>
      </c>
      <c r="I17" s="316">
        <v>1</v>
      </c>
      <c r="J17" s="316">
        <v>1.01</v>
      </c>
      <c r="K17" s="316">
        <v>1.02</v>
      </c>
      <c r="L17" s="316">
        <v>1.03</v>
      </c>
      <c r="M17" s="316">
        <v>1.04</v>
      </c>
      <c r="N17" s="316">
        <v>1.05</v>
      </c>
      <c r="O17" s="316">
        <v>1.06</v>
      </c>
      <c r="P17" s="316">
        <v>1.07</v>
      </c>
    </row>
    <row r="18" spans="1:18" x14ac:dyDescent="0.25">
      <c r="A18" s="330"/>
      <c r="B18" s="331"/>
      <c r="C18" s="332" t="s">
        <v>161</v>
      </c>
      <c r="D18" s="336">
        <v>100</v>
      </c>
      <c r="E18" s="334" t="s">
        <v>68</v>
      </c>
      <c r="G18" s="345" t="s">
        <v>122</v>
      </c>
      <c r="H18" s="316">
        <v>0.99</v>
      </c>
      <c r="I18" s="316">
        <v>1</v>
      </c>
      <c r="J18" s="316">
        <v>1.01</v>
      </c>
      <c r="K18" s="316">
        <v>1.02</v>
      </c>
      <c r="L18" s="316">
        <v>1.03</v>
      </c>
      <c r="M18" s="316">
        <v>1.04</v>
      </c>
      <c r="N18" s="316">
        <v>1.05</v>
      </c>
      <c r="O18" s="316">
        <v>1.06</v>
      </c>
      <c r="P18" s="316">
        <v>1.07</v>
      </c>
    </row>
    <row r="19" spans="1:18" x14ac:dyDescent="0.25">
      <c r="A19" s="330"/>
      <c r="B19" s="331"/>
      <c r="C19" s="332" t="s">
        <v>67</v>
      </c>
      <c r="D19" s="336">
        <v>2</v>
      </c>
      <c r="E19" s="334" t="s">
        <v>69</v>
      </c>
      <c r="G19" s="345" t="s">
        <v>120</v>
      </c>
      <c r="H19" s="316">
        <v>0.5</v>
      </c>
      <c r="I19" s="316">
        <v>0.5</v>
      </c>
      <c r="J19" s="316"/>
      <c r="K19" s="316"/>
      <c r="L19" s="316"/>
      <c r="M19" s="316"/>
      <c r="N19" s="316"/>
      <c r="O19" s="316"/>
      <c r="P19" s="316"/>
    </row>
    <row r="20" spans="1:18" ht="15.75" thickBot="1" x14ac:dyDescent="0.3">
      <c r="A20" s="330"/>
      <c r="B20" s="337"/>
      <c r="C20" s="338" t="s">
        <v>126</v>
      </c>
      <c r="D20" s="339">
        <f>D18*D19*60*60*24*30*3*D7/8/1000</f>
        <v>29160</v>
      </c>
      <c r="E20" s="340"/>
      <c r="G20" s="345" t="s">
        <v>131</v>
      </c>
      <c r="H20" s="316">
        <v>0</v>
      </c>
      <c r="I20" s="316">
        <v>0.2</v>
      </c>
      <c r="J20" s="316">
        <v>0.9</v>
      </c>
      <c r="K20" s="316">
        <v>0.85</v>
      </c>
      <c r="L20" s="316">
        <v>0.65</v>
      </c>
      <c r="M20" s="316">
        <v>0.55000000000000004</v>
      </c>
      <c r="N20" s="316">
        <v>0.45</v>
      </c>
      <c r="O20" s="316">
        <v>0.35</v>
      </c>
      <c r="P20" s="316">
        <v>0.25</v>
      </c>
      <c r="R20" s="354"/>
    </row>
    <row r="21" spans="1:18" s="317" customFormat="1" x14ac:dyDescent="0.25">
      <c r="A21" s="323"/>
      <c r="B21" s="342" t="s">
        <v>138</v>
      </c>
      <c r="C21" s="323"/>
      <c r="D21" s="323"/>
      <c r="E21" s="343"/>
      <c r="F21" s="318"/>
      <c r="G21" s="345" t="s">
        <v>130</v>
      </c>
      <c r="H21" s="316">
        <v>0</v>
      </c>
      <c r="I21" s="316">
        <v>0.1</v>
      </c>
      <c r="J21" s="316">
        <v>0.1</v>
      </c>
      <c r="K21" s="316">
        <v>0.2</v>
      </c>
      <c r="L21" s="316">
        <v>0.4</v>
      </c>
      <c r="M21" s="316">
        <v>0.5</v>
      </c>
      <c r="N21" s="316">
        <v>0.6</v>
      </c>
      <c r="O21" s="316">
        <v>0.7</v>
      </c>
      <c r="P21" s="316">
        <v>0.8</v>
      </c>
      <c r="Q21" s="318"/>
      <c r="R21" s="354"/>
    </row>
    <row r="22" spans="1:18" x14ac:dyDescent="0.25">
      <c r="A22" s="330"/>
      <c r="B22" s="331"/>
      <c r="C22" s="332" t="s">
        <v>74</v>
      </c>
      <c r="D22" s="336">
        <v>140</v>
      </c>
      <c r="E22" s="334" t="s">
        <v>68</v>
      </c>
      <c r="G22" s="345" t="s">
        <v>132</v>
      </c>
      <c r="H22" s="316">
        <v>0</v>
      </c>
      <c r="I22" s="316">
        <v>0.05</v>
      </c>
      <c r="J22" s="316">
        <v>0.1</v>
      </c>
      <c r="K22" s="316">
        <v>0.2</v>
      </c>
      <c r="L22" s="316">
        <v>0.3</v>
      </c>
      <c r="M22" s="316">
        <v>0.3</v>
      </c>
      <c r="N22" s="316">
        <v>0.3</v>
      </c>
      <c r="O22" s="316">
        <v>0.3</v>
      </c>
      <c r="P22" s="316">
        <v>0.3</v>
      </c>
      <c r="R22" s="354"/>
    </row>
    <row r="23" spans="1:18" x14ac:dyDescent="0.25">
      <c r="A23" s="330"/>
      <c r="B23" s="331"/>
      <c r="C23" s="332" t="s">
        <v>67</v>
      </c>
      <c r="D23" s="336">
        <v>2</v>
      </c>
      <c r="E23" s="334" t="s">
        <v>69</v>
      </c>
      <c r="G23" s="345" t="s">
        <v>133</v>
      </c>
      <c r="H23" s="316">
        <v>0</v>
      </c>
      <c r="I23" s="316">
        <v>0</v>
      </c>
      <c r="J23" s="316">
        <v>0</v>
      </c>
      <c r="K23" s="316">
        <v>0</v>
      </c>
      <c r="L23" s="316">
        <v>0.1</v>
      </c>
      <c r="M23" s="316">
        <v>0.3</v>
      </c>
      <c r="N23" s="316">
        <v>0.6</v>
      </c>
      <c r="O23" s="316">
        <v>0.9</v>
      </c>
      <c r="P23" s="316">
        <v>1</v>
      </c>
      <c r="R23" s="354"/>
    </row>
    <row r="24" spans="1:18" ht="15.75" thickBot="1" x14ac:dyDescent="0.3">
      <c r="A24" s="330"/>
      <c r="B24" s="331"/>
      <c r="C24" s="332" t="s">
        <v>126</v>
      </c>
      <c r="D24" s="339">
        <f>D22*D23*60*60*24*30*3*D7/8/1000</f>
        <v>40824</v>
      </c>
      <c r="E24" s="334"/>
      <c r="G24" s="345" t="s">
        <v>152</v>
      </c>
      <c r="H24" s="316">
        <v>0.3</v>
      </c>
      <c r="I24" s="316">
        <v>0</v>
      </c>
      <c r="J24" s="316">
        <v>0</v>
      </c>
      <c r="K24" s="316">
        <v>0</v>
      </c>
      <c r="L24" s="316">
        <v>0</v>
      </c>
      <c r="M24" s="316">
        <v>0</v>
      </c>
      <c r="N24" s="316">
        <v>0</v>
      </c>
      <c r="O24" s="316">
        <v>0</v>
      </c>
      <c r="P24" s="316">
        <v>0</v>
      </c>
      <c r="R24" s="354"/>
    </row>
    <row r="25" spans="1:18" x14ac:dyDescent="0.25">
      <c r="A25" s="330"/>
      <c r="B25" s="324" t="s">
        <v>137</v>
      </c>
      <c r="C25" s="325"/>
      <c r="D25" s="325"/>
      <c r="E25" s="326"/>
      <c r="G25" s="345" t="s">
        <v>153</v>
      </c>
      <c r="H25" s="316">
        <v>0</v>
      </c>
      <c r="I25" s="316">
        <v>0.1</v>
      </c>
      <c r="J25" s="316">
        <v>0.2</v>
      </c>
      <c r="K25" s="316">
        <v>0.3</v>
      </c>
      <c r="L25" s="316">
        <v>0.4</v>
      </c>
      <c r="M25" s="316">
        <v>0.5</v>
      </c>
      <c r="N25" s="316">
        <v>0.6</v>
      </c>
      <c r="O25" s="316">
        <v>0.75</v>
      </c>
      <c r="P25" s="316">
        <v>1</v>
      </c>
      <c r="R25" s="354"/>
    </row>
    <row r="26" spans="1:18" x14ac:dyDescent="0.25">
      <c r="A26" s="330"/>
      <c r="B26" s="331"/>
      <c r="C26" s="332" t="s">
        <v>74</v>
      </c>
      <c r="D26" s="336">
        <v>140</v>
      </c>
      <c r="E26" s="334" t="s">
        <v>68</v>
      </c>
      <c r="G26" s="345" t="s">
        <v>119</v>
      </c>
      <c r="H26" s="316">
        <v>0.01</v>
      </c>
      <c r="I26" s="316">
        <v>0.01</v>
      </c>
      <c r="J26" s="316">
        <v>0.01</v>
      </c>
      <c r="K26" s="316">
        <v>0.01</v>
      </c>
      <c r="L26" s="316">
        <v>0.02</v>
      </c>
      <c r="M26" s="316">
        <v>0.03</v>
      </c>
      <c r="N26" s="316">
        <v>0.03</v>
      </c>
      <c r="O26" s="316">
        <v>0.04</v>
      </c>
      <c r="P26" s="316">
        <v>0.05</v>
      </c>
      <c r="R26" s="354"/>
    </row>
    <row r="27" spans="1:18" ht="15.75" thickBot="1" x14ac:dyDescent="0.3">
      <c r="A27" s="330"/>
      <c r="B27" s="331"/>
      <c r="C27" s="332" t="s">
        <v>67</v>
      </c>
      <c r="D27" s="336">
        <v>2</v>
      </c>
      <c r="E27" s="334" t="s">
        <v>69</v>
      </c>
      <c r="R27" s="354"/>
    </row>
    <row r="28" spans="1:18" ht="15.75" thickBot="1" x14ac:dyDescent="0.3">
      <c r="A28" s="330"/>
      <c r="B28" s="337"/>
      <c r="C28" s="338" t="s">
        <v>126</v>
      </c>
      <c r="D28" s="339">
        <f>D26*D27*60*60*24*30*3*D7/8/1000</f>
        <v>40824</v>
      </c>
      <c r="E28" s="340"/>
      <c r="G28" s="347" t="s">
        <v>87</v>
      </c>
      <c r="H28" s="348" t="s">
        <v>8</v>
      </c>
      <c r="I28" s="348" t="s">
        <v>0</v>
      </c>
      <c r="J28" s="348" t="s">
        <v>1</v>
      </c>
      <c r="K28" s="348" t="s">
        <v>2</v>
      </c>
      <c r="L28" s="348" t="s">
        <v>3</v>
      </c>
      <c r="M28" s="348" t="s">
        <v>4</v>
      </c>
      <c r="N28" s="348" t="s">
        <v>5</v>
      </c>
      <c r="O28" s="348" t="s">
        <v>6</v>
      </c>
      <c r="P28" s="349" t="s">
        <v>7</v>
      </c>
    </row>
    <row r="29" spans="1:18" x14ac:dyDescent="0.25">
      <c r="A29" s="330"/>
      <c r="B29" s="324" t="s">
        <v>136</v>
      </c>
      <c r="C29" s="325"/>
      <c r="D29" s="325"/>
      <c r="E29" s="326"/>
      <c r="G29" s="350" t="s">
        <v>128</v>
      </c>
      <c r="H29" s="351">
        <f t="shared" ref="H29:P29" si="2">H16*$D12*$D4</f>
        <v>133844400</v>
      </c>
      <c r="I29" s="351">
        <f t="shared" si="2"/>
        <v>148716000</v>
      </c>
      <c r="J29" s="351">
        <f t="shared" si="2"/>
        <v>150203160</v>
      </c>
      <c r="K29" s="351">
        <f t="shared" si="2"/>
        <v>151690320.00000003</v>
      </c>
      <c r="L29" s="351">
        <f t="shared" si="2"/>
        <v>153177480</v>
      </c>
      <c r="M29" s="351">
        <f t="shared" si="2"/>
        <v>154664640</v>
      </c>
      <c r="N29" s="351">
        <f t="shared" si="2"/>
        <v>156151800</v>
      </c>
      <c r="O29" s="351">
        <f t="shared" si="2"/>
        <v>157638960.00000003</v>
      </c>
      <c r="P29" s="352">
        <f t="shared" si="2"/>
        <v>159126120</v>
      </c>
    </row>
    <row r="30" spans="1:18" x14ac:dyDescent="0.25">
      <c r="A30" s="330"/>
      <c r="B30" s="331"/>
      <c r="C30" s="332" t="s">
        <v>74</v>
      </c>
      <c r="D30" s="336">
        <v>140</v>
      </c>
      <c r="E30" s="334" t="s">
        <v>68</v>
      </c>
      <c r="G30" s="350" t="s">
        <v>121</v>
      </c>
      <c r="H30" s="351">
        <f t="shared" ref="H30:P30" si="3">H17*$D16*$D4</f>
        <v>98152560</v>
      </c>
      <c r="I30" s="351">
        <f t="shared" si="3"/>
        <v>99144000</v>
      </c>
      <c r="J30" s="351">
        <f t="shared" si="3"/>
        <v>100135440</v>
      </c>
      <c r="K30" s="351">
        <f t="shared" si="3"/>
        <v>101126880</v>
      </c>
      <c r="L30" s="351">
        <f t="shared" si="3"/>
        <v>102118320</v>
      </c>
      <c r="M30" s="351">
        <f t="shared" si="3"/>
        <v>103109760.00000001</v>
      </c>
      <c r="N30" s="351">
        <f t="shared" si="3"/>
        <v>104101200</v>
      </c>
      <c r="O30" s="351">
        <f t="shared" si="3"/>
        <v>105092640</v>
      </c>
      <c r="P30" s="352">
        <f t="shared" si="3"/>
        <v>106084080.00000001</v>
      </c>
      <c r="Q30" s="330"/>
    </row>
    <row r="31" spans="1:18" x14ac:dyDescent="0.25">
      <c r="A31" s="330"/>
      <c r="B31" s="331"/>
      <c r="C31" s="332" t="s">
        <v>67</v>
      </c>
      <c r="D31" s="336">
        <v>6</v>
      </c>
      <c r="E31" s="334" t="s">
        <v>69</v>
      </c>
      <c r="G31" s="350" t="s">
        <v>122</v>
      </c>
      <c r="H31" s="351">
        <f t="shared" ref="H31:P31" si="4">H18*$D20*$D4</f>
        <v>490762800</v>
      </c>
      <c r="I31" s="351">
        <f t="shared" si="4"/>
        <v>495720000</v>
      </c>
      <c r="J31" s="351">
        <f t="shared" si="4"/>
        <v>500677200</v>
      </c>
      <c r="K31" s="351">
        <f t="shared" si="4"/>
        <v>505634400</v>
      </c>
      <c r="L31" s="351">
        <f t="shared" si="4"/>
        <v>510591600</v>
      </c>
      <c r="M31" s="351">
        <f t="shared" si="4"/>
        <v>515548800</v>
      </c>
      <c r="N31" s="351">
        <f t="shared" si="4"/>
        <v>520506000</v>
      </c>
      <c r="O31" s="351">
        <f t="shared" si="4"/>
        <v>525463200.00000006</v>
      </c>
      <c r="P31" s="352">
        <f t="shared" si="4"/>
        <v>530420400</v>
      </c>
      <c r="Q31" s="330"/>
    </row>
    <row r="32" spans="1:18" ht="15.75" thickBot="1" x14ac:dyDescent="0.3">
      <c r="A32" s="330"/>
      <c r="B32" s="337"/>
      <c r="C32" s="338" t="s">
        <v>126</v>
      </c>
      <c r="D32" s="339">
        <f>D30*D31*60*60*24*30*3*D7/8/1000</f>
        <v>122472</v>
      </c>
      <c r="E32" s="340"/>
      <c r="G32" s="350" t="s">
        <v>120</v>
      </c>
      <c r="H32" s="351">
        <f t="shared" ref="H32:P32" si="5">H19*$D24*$D4</f>
        <v>347004000</v>
      </c>
      <c r="I32" s="351">
        <f t="shared" si="5"/>
        <v>347004000</v>
      </c>
      <c r="J32" s="351">
        <f t="shared" si="5"/>
        <v>0</v>
      </c>
      <c r="K32" s="351">
        <f t="shared" si="5"/>
        <v>0</v>
      </c>
      <c r="L32" s="351">
        <f t="shared" si="5"/>
        <v>0</v>
      </c>
      <c r="M32" s="351">
        <f t="shared" si="5"/>
        <v>0</v>
      </c>
      <c r="N32" s="351">
        <f t="shared" si="5"/>
        <v>0</v>
      </c>
      <c r="O32" s="351">
        <f t="shared" si="5"/>
        <v>0</v>
      </c>
      <c r="P32" s="352">
        <f t="shared" si="5"/>
        <v>0</v>
      </c>
    </row>
    <row r="33" spans="1:18" x14ac:dyDescent="0.25">
      <c r="A33" s="330"/>
      <c r="B33" s="324" t="s">
        <v>135</v>
      </c>
      <c r="C33" s="355"/>
      <c r="D33" s="399">
        <f>D32/1.3</f>
        <v>94209.230769230766</v>
      </c>
      <c r="E33" s="357"/>
      <c r="G33" s="350" t="s">
        <v>124</v>
      </c>
      <c r="H33" s="351">
        <f t="shared" ref="H33:P33" si="6">+H20*$D28*$D4</f>
        <v>0</v>
      </c>
      <c r="I33" s="351">
        <f t="shared" si="6"/>
        <v>138801600</v>
      </c>
      <c r="J33" s="351">
        <f t="shared" si="6"/>
        <v>624607200</v>
      </c>
      <c r="K33" s="351">
        <f t="shared" si="6"/>
        <v>589906800</v>
      </c>
      <c r="L33" s="351">
        <f t="shared" si="6"/>
        <v>451105200.00000006</v>
      </c>
      <c r="M33" s="351">
        <f t="shared" si="6"/>
        <v>381704400</v>
      </c>
      <c r="N33" s="351">
        <f t="shared" si="6"/>
        <v>312303600</v>
      </c>
      <c r="O33" s="351">
        <f t="shared" si="6"/>
        <v>242902800</v>
      </c>
      <c r="P33" s="352">
        <f t="shared" si="6"/>
        <v>173502000</v>
      </c>
    </row>
    <row r="34" spans="1:18" x14ac:dyDescent="0.25">
      <c r="A34" s="330"/>
      <c r="B34" s="331"/>
      <c r="C34" s="332" t="s">
        <v>74</v>
      </c>
      <c r="D34" s="336">
        <v>40</v>
      </c>
      <c r="E34" s="334" t="s">
        <v>68</v>
      </c>
      <c r="G34" s="350" t="s">
        <v>118</v>
      </c>
      <c r="H34" s="351">
        <f t="shared" ref="H34:P34" si="7">+H21*$D32*$D4</f>
        <v>0</v>
      </c>
      <c r="I34" s="351">
        <f t="shared" si="7"/>
        <v>208202400</v>
      </c>
      <c r="J34" s="351">
        <f t="shared" si="7"/>
        <v>208202400</v>
      </c>
      <c r="K34" s="351">
        <f t="shared" si="7"/>
        <v>416404800</v>
      </c>
      <c r="L34" s="351">
        <f t="shared" si="7"/>
        <v>832809600</v>
      </c>
      <c r="M34" s="351">
        <f t="shared" si="7"/>
        <v>1041012000</v>
      </c>
      <c r="N34" s="351">
        <f t="shared" si="7"/>
        <v>1249214400</v>
      </c>
      <c r="O34" s="351">
        <f t="shared" si="7"/>
        <v>1457416800</v>
      </c>
      <c r="P34" s="352">
        <f t="shared" si="7"/>
        <v>1665619200</v>
      </c>
    </row>
    <row r="35" spans="1:18" x14ac:dyDescent="0.25">
      <c r="A35" s="330"/>
      <c r="B35" s="331"/>
      <c r="C35" s="332" t="s">
        <v>67</v>
      </c>
      <c r="D35" s="336">
        <v>5.7</v>
      </c>
      <c r="E35" s="334" t="s">
        <v>69</v>
      </c>
      <c r="G35" s="350" t="s">
        <v>132</v>
      </c>
      <c r="H35" s="351">
        <f t="shared" ref="H35:P35" si="8">+H22*$D36*($D4+$D5)</f>
        <v>0</v>
      </c>
      <c r="I35" s="351">
        <f t="shared" si="8"/>
        <v>61498440.000000007</v>
      </c>
      <c r="J35" s="351">
        <f t="shared" si="8"/>
        <v>122996880.00000001</v>
      </c>
      <c r="K35" s="351">
        <f t="shared" si="8"/>
        <v>245993760.00000003</v>
      </c>
      <c r="L35" s="351">
        <f t="shared" si="8"/>
        <v>368990640</v>
      </c>
      <c r="M35" s="351">
        <f t="shared" si="8"/>
        <v>368990640</v>
      </c>
      <c r="N35" s="351">
        <f t="shared" si="8"/>
        <v>368990640</v>
      </c>
      <c r="O35" s="351">
        <f t="shared" si="8"/>
        <v>368990640</v>
      </c>
      <c r="P35" s="352">
        <f t="shared" si="8"/>
        <v>368990640</v>
      </c>
    </row>
    <row r="36" spans="1:18" ht="15.75" thickBot="1" x14ac:dyDescent="0.3">
      <c r="A36" s="330"/>
      <c r="B36" s="337"/>
      <c r="C36" s="338" t="s">
        <v>126</v>
      </c>
      <c r="D36" s="389">
        <f>D34*D35*60*60*24*30*3*D7/8/1000</f>
        <v>33242.400000000001</v>
      </c>
      <c r="E36" s="340"/>
      <c r="G36" s="350" t="s">
        <v>133</v>
      </c>
      <c r="H36" s="351">
        <f t="shared" ref="H36:P36" si="9">+H23*$D40*$D4</f>
        <v>0</v>
      </c>
      <c r="I36" s="351">
        <f t="shared" si="9"/>
        <v>0</v>
      </c>
      <c r="J36" s="351">
        <f t="shared" si="9"/>
        <v>0</v>
      </c>
      <c r="K36" s="351">
        <f t="shared" si="9"/>
        <v>0</v>
      </c>
      <c r="L36" s="351">
        <f t="shared" si="9"/>
        <v>141280200</v>
      </c>
      <c r="M36" s="351">
        <f t="shared" si="9"/>
        <v>423840600</v>
      </c>
      <c r="N36" s="351">
        <f t="shared" si="9"/>
        <v>847681200</v>
      </c>
      <c r="O36" s="351">
        <f t="shared" si="9"/>
        <v>1271521800.0000002</v>
      </c>
      <c r="P36" s="352">
        <f t="shared" si="9"/>
        <v>1412802000</v>
      </c>
    </row>
    <row r="37" spans="1:18" x14ac:dyDescent="0.25">
      <c r="A37" s="330"/>
      <c r="B37" s="342" t="s">
        <v>134</v>
      </c>
      <c r="C37" s="332"/>
      <c r="D37" s="333"/>
      <c r="E37" s="334"/>
      <c r="G37" s="350" t="s">
        <v>149</v>
      </c>
      <c r="H37" s="351">
        <f t="shared" ref="H37:P37" si="10">H24*$D$44*$D$5</f>
        <v>209952000</v>
      </c>
      <c r="I37" s="351">
        <f t="shared" si="10"/>
        <v>0</v>
      </c>
      <c r="J37" s="351">
        <f t="shared" si="10"/>
        <v>0</v>
      </c>
      <c r="K37" s="351">
        <f t="shared" si="10"/>
        <v>0</v>
      </c>
      <c r="L37" s="351">
        <f t="shared" si="10"/>
        <v>0</v>
      </c>
      <c r="M37" s="351">
        <f t="shared" si="10"/>
        <v>0</v>
      </c>
      <c r="N37" s="351">
        <f t="shared" si="10"/>
        <v>0</v>
      </c>
      <c r="O37" s="351">
        <f t="shared" si="10"/>
        <v>0</v>
      </c>
      <c r="P37" s="352">
        <f t="shared" si="10"/>
        <v>0</v>
      </c>
    </row>
    <row r="38" spans="1:18" x14ac:dyDescent="0.25">
      <c r="A38" s="330"/>
      <c r="B38" s="331"/>
      <c r="C38" s="332" t="s">
        <v>74</v>
      </c>
      <c r="D38" s="336">
        <v>100</v>
      </c>
      <c r="E38" s="334" t="s">
        <v>68</v>
      </c>
      <c r="G38" s="350" t="s">
        <v>150</v>
      </c>
      <c r="H38" s="351">
        <f t="shared" ref="H38:P38" si="11">H25*$D5*$D48</f>
        <v>0</v>
      </c>
      <c r="I38" s="351">
        <f t="shared" si="11"/>
        <v>163296000</v>
      </c>
      <c r="J38" s="351">
        <f t="shared" si="11"/>
        <v>326592000</v>
      </c>
      <c r="K38" s="351">
        <f t="shared" si="11"/>
        <v>489888000</v>
      </c>
      <c r="L38" s="351">
        <f t="shared" si="11"/>
        <v>653184000</v>
      </c>
      <c r="M38" s="351">
        <f t="shared" si="11"/>
        <v>816480000</v>
      </c>
      <c r="N38" s="351">
        <f t="shared" si="11"/>
        <v>979776000</v>
      </c>
      <c r="O38" s="351">
        <f t="shared" si="11"/>
        <v>1224720000</v>
      </c>
      <c r="P38" s="352">
        <f t="shared" si="11"/>
        <v>1632960000</v>
      </c>
    </row>
    <row r="39" spans="1:18" x14ac:dyDescent="0.25">
      <c r="A39" s="330"/>
      <c r="B39" s="331"/>
      <c r="C39" s="332" t="s">
        <v>67</v>
      </c>
      <c r="D39" s="336">
        <v>5.7</v>
      </c>
      <c r="E39" s="334" t="s">
        <v>69</v>
      </c>
      <c r="G39" s="358" t="s">
        <v>139</v>
      </c>
      <c r="H39" s="359">
        <f t="shared" ref="H39:P39" si="12">SUM(H29:H38)</f>
        <v>1279715760</v>
      </c>
      <c r="I39" s="359">
        <f t="shared" si="12"/>
        <v>1662382440</v>
      </c>
      <c r="J39" s="359">
        <f t="shared" si="12"/>
        <v>2033414280</v>
      </c>
      <c r="K39" s="359">
        <f t="shared" si="12"/>
        <v>2500644960</v>
      </c>
      <c r="L39" s="359">
        <f t="shared" si="12"/>
        <v>3213257040</v>
      </c>
      <c r="M39" s="359">
        <f t="shared" si="12"/>
        <v>3805350840</v>
      </c>
      <c r="N39" s="359">
        <f t="shared" si="12"/>
        <v>4538724840</v>
      </c>
      <c r="O39" s="359">
        <f t="shared" si="12"/>
        <v>5353746840</v>
      </c>
      <c r="P39" s="360">
        <f t="shared" si="12"/>
        <v>6049504440</v>
      </c>
    </row>
    <row r="40" spans="1:18" ht="15.75" thickBot="1" x14ac:dyDescent="0.3">
      <c r="A40" s="330"/>
      <c r="B40" s="337"/>
      <c r="C40" s="338" t="s">
        <v>126</v>
      </c>
      <c r="D40" s="339">
        <f>D38*D39*60*60*24*30*3*D7/8/1000</f>
        <v>83106</v>
      </c>
      <c r="E40" s="340"/>
      <c r="G40" s="350" t="s">
        <v>140</v>
      </c>
      <c r="H40" s="361">
        <f t="shared" ref="H40:P40" si="13">+H26*$D52*$D5</f>
        <v>49207500</v>
      </c>
      <c r="I40" s="361">
        <f t="shared" si="13"/>
        <v>49207500</v>
      </c>
      <c r="J40" s="361">
        <f t="shared" si="13"/>
        <v>49207500</v>
      </c>
      <c r="K40" s="361">
        <f t="shared" si="13"/>
        <v>49207500</v>
      </c>
      <c r="L40" s="361">
        <f t="shared" si="13"/>
        <v>98415000</v>
      </c>
      <c r="M40" s="361">
        <f t="shared" si="13"/>
        <v>147622500</v>
      </c>
      <c r="N40" s="361">
        <f t="shared" si="13"/>
        <v>147622500</v>
      </c>
      <c r="O40" s="361">
        <f t="shared" si="13"/>
        <v>196830000</v>
      </c>
      <c r="P40" s="362">
        <f t="shared" si="13"/>
        <v>246037500</v>
      </c>
    </row>
    <row r="41" spans="1:18" ht="15.75" thickBot="1" x14ac:dyDescent="0.3">
      <c r="A41" s="330"/>
      <c r="B41" s="342" t="s">
        <v>148</v>
      </c>
      <c r="C41" s="332"/>
      <c r="D41" s="333"/>
      <c r="E41" s="334"/>
      <c r="G41" s="363" t="s">
        <v>125</v>
      </c>
      <c r="H41" s="364">
        <f>+H39+H40</f>
        <v>1328923260</v>
      </c>
      <c r="I41" s="364">
        <f t="shared" ref="I41:P41" si="14">+I39+I40</f>
        <v>1711589940</v>
      </c>
      <c r="J41" s="364">
        <f t="shared" si="14"/>
        <v>2082621780</v>
      </c>
      <c r="K41" s="364">
        <f t="shared" si="14"/>
        <v>2549852460</v>
      </c>
      <c r="L41" s="364">
        <f t="shared" si="14"/>
        <v>3311672040</v>
      </c>
      <c r="M41" s="364">
        <f t="shared" si="14"/>
        <v>3952973340</v>
      </c>
      <c r="N41" s="364">
        <f t="shared" si="14"/>
        <v>4686347340</v>
      </c>
      <c r="O41" s="364">
        <f t="shared" si="14"/>
        <v>5550576840</v>
      </c>
      <c r="P41" s="365">
        <f t="shared" si="14"/>
        <v>6295541940</v>
      </c>
    </row>
    <row r="42" spans="1:18" ht="15.75" thickBot="1" x14ac:dyDescent="0.3">
      <c r="A42" s="330"/>
      <c r="B42" s="331"/>
      <c r="C42" s="332" t="s">
        <v>74</v>
      </c>
      <c r="D42" s="336">
        <f>60+60</f>
        <v>120</v>
      </c>
      <c r="E42" s="334" t="s">
        <v>68</v>
      </c>
      <c r="G42" s="366"/>
      <c r="H42" s="367"/>
      <c r="I42" s="367"/>
      <c r="J42" s="367"/>
      <c r="K42" s="367"/>
      <c r="L42" s="367"/>
      <c r="M42" s="367"/>
      <c r="N42" s="367"/>
      <c r="O42" s="367"/>
      <c r="P42" s="367"/>
    </row>
    <row r="43" spans="1:18" x14ac:dyDescent="0.25">
      <c r="A43" s="330"/>
      <c r="B43" s="331"/>
      <c r="C43" s="332" t="s">
        <v>67</v>
      </c>
      <c r="D43" s="336">
        <v>2</v>
      </c>
      <c r="E43" s="334" t="s">
        <v>69</v>
      </c>
      <c r="G43" s="347" t="s">
        <v>91</v>
      </c>
      <c r="H43" s="348" t="s">
        <v>8</v>
      </c>
      <c r="I43" s="348" t="s">
        <v>0</v>
      </c>
      <c r="J43" s="348" t="s">
        <v>1</v>
      </c>
      <c r="K43" s="348" t="s">
        <v>2</v>
      </c>
      <c r="L43" s="348" t="s">
        <v>3</v>
      </c>
      <c r="M43" s="348" t="s">
        <v>4</v>
      </c>
      <c r="N43" s="348" t="s">
        <v>5</v>
      </c>
      <c r="O43" s="348" t="s">
        <v>6</v>
      </c>
      <c r="P43" s="349" t="s">
        <v>7</v>
      </c>
    </row>
    <row r="44" spans="1:18" ht="15" customHeight="1" thickBot="1" x14ac:dyDescent="0.3">
      <c r="A44" s="330"/>
      <c r="B44" s="331"/>
      <c r="C44" s="338" t="s">
        <v>126</v>
      </c>
      <c r="D44" s="339">
        <f>D42*D43*60*60*24*30*3*D7/8/1000</f>
        <v>34992</v>
      </c>
      <c r="E44" s="340"/>
      <c r="G44" s="368" t="s">
        <v>19</v>
      </c>
      <c r="H44" s="287"/>
      <c r="I44" s="288"/>
      <c r="J44" s="288"/>
      <c r="K44" s="288"/>
      <c r="L44" s="288"/>
      <c r="M44" s="288"/>
      <c r="N44" s="288"/>
      <c r="O44" s="288"/>
      <c r="P44" s="289"/>
      <c r="Q44" s="354"/>
      <c r="R44" s="354"/>
    </row>
    <row r="45" spans="1:18" x14ac:dyDescent="0.25">
      <c r="A45" s="330"/>
      <c r="B45" s="324" t="s">
        <v>151</v>
      </c>
      <c r="C45" s="355"/>
      <c r="D45" s="356"/>
      <c r="E45" s="357"/>
      <c r="G45" s="369" t="s">
        <v>252</v>
      </c>
      <c r="H45" s="287">
        <v>926640000</v>
      </c>
      <c r="I45" s="287">
        <v>9266400000</v>
      </c>
      <c r="J45" s="288"/>
      <c r="K45" s="288"/>
      <c r="L45" s="288"/>
      <c r="M45" s="288"/>
      <c r="N45" s="288"/>
      <c r="O45" s="288"/>
      <c r="P45" s="289"/>
      <c r="Q45" s="354"/>
      <c r="R45" s="354"/>
    </row>
    <row r="46" spans="1:18" x14ac:dyDescent="0.25">
      <c r="A46" s="330"/>
      <c r="B46" s="331"/>
      <c r="C46" s="332" t="s">
        <v>74</v>
      </c>
      <c r="D46" s="333">
        <f>D22+D34+D38</f>
        <v>280</v>
      </c>
      <c r="E46" s="334" t="s">
        <v>68</v>
      </c>
      <c r="G46" s="369" t="s">
        <v>253</v>
      </c>
      <c r="H46" s="287">
        <v>205212736.77811551</v>
      </c>
      <c r="I46" s="288"/>
      <c r="J46" s="288"/>
      <c r="K46" s="288"/>
      <c r="L46" s="288"/>
      <c r="M46" s="288"/>
      <c r="N46" s="288"/>
      <c r="O46" s="288"/>
      <c r="P46" s="289"/>
      <c r="Q46" s="354"/>
      <c r="R46" s="354"/>
    </row>
    <row r="47" spans="1:18" x14ac:dyDescent="0.25">
      <c r="A47" s="330"/>
      <c r="B47" s="331"/>
      <c r="C47" s="332" t="s">
        <v>67</v>
      </c>
      <c r="D47" s="336">
        <v>2</v>
      </c>
      <c r="E47" s="334" t="s">
        <v>69</v>
      </c>
      <c r="G47" s="368" t="s">
        <v>48</v>
      </c>
      <c r="H47" s="288"/>
      <c r="I47" s="290"/>
      <c r="J47" s="288"/>
      <c r="K47" s="288"/>
      <c r="L47" s="288"/>
      <c r="M47" s="288"/>
      <c r="N47" s="288"/>
      <c r="O47" s="288"/>
      <c r="P47" s="289"/>
      <c r="Q47" s="354"/>
      <c r="R47" s="354"/>
    </row>
    <row r="48" spans="1:18" ht="15.75" thickBot="1" x14ac:dyDescent="0.3">
      <c r="A48" s="330"/>
      <c r="B48" s="337"/>
      <c r="C48" s="338" t="s">
        <v>126</v>
      </c>
      <c r="D48" s="339">
        <f>D46*D47*60*60*24*30*3*D7/8/1000</f>
        <v>81648</v>
      </c>
      <c r="E48" s="340"/>
      <c r="G48" s="370" t="s">
        <v>128</v>
      </c>
      <c r="H48" s="287">
        <f>+(H16-60%)*$D4*('Cost per Cell'!$K6+'Cost per Cell'!$K7)</f>
        <v>306000000.00000006</v>
      </c>
      <c r="I48" s="287">
        <f>+(I16-H16)*$D4*('Cost per Cell'!$K6+'Cost per Cell'!$K7)</f>
        <v>101999999.99999997</v>
      </c>
      <c r="J48" s="287">
        <f>+(J16-I16)*$D4*('Cost per Cell'!$K6+'Cost per Cell'!$K7)</f>
        <v>10200000.000000009</v>
      </c>
      <c r="K48" s="287">
        <f>+(K16-J16)*$D4*('Cost per Cell'!$K6+'Cost per Cell'!$K7)</f>
        <v>10200000.000000009</v>
      </c>
      <c r="L48" s="287">
        <f>+(L16-K16)*$D4*('Cost per Cell'!$K6+'Cost per Cell'!$K7)</f>
        <v>10200000.000000009</v>
      </c>
      <c r="M48" s="287">
        <f>+(M16-L16)*$D4*('Cost per Cell'!$K6+'Cost per Cell'!$K7)</f>
        <v>10200000.000000009</v>
      </c>
      <c r="N48" s="287">
        <f>+(N16-M16)*$D4*('Cost per Cell'!$K6+'Cost per Cell'!$K7)</f>
        <v>10200000.000000009</v>
      </c>
      <c r="O48" s="287">
        <f>+(O16-N16)*$D4*('Cost per Cell'!$K6+'Cost per Cell'!$K7)</f>
        <v>10200000.000000009</v>
      </c>
      <c r="P48" s="291">
        <f>+(P16-O16)*$D4*('Cost per Cell'!$K6+'Cost per Cell'!$K7)</f>
        <v>10200000.000000009</v>
      </c>
      <c r="Q48" s="354"/>
      <c r="R48" s="354"/>
    </row>
    <row r="49" spans="1:20" x14ac:dyDescent="0.25">
      <c r="A49" s="330"/>
      <c r="B49" s="324" t="s">
        <v>114</v>
      </c>
      <c r="C49" s="325"/>
      <c r="D49" s="325"/>
      <c r="E49" s="326"/>
      <c r="G49" s="370" t="s">
        <v>121</v>
      </c>
      <c r="H49" s="287">
        <f>+(H17-95%)*$D4*('Cost per Cell'!$M6+'Cost per Cell'!$M7)</f>
        <v>30600000.000000026</v>
      </c>
      <c r="I49" s="287">
        <f>+(I17-H17)*$D4*('Cost per Cell'!$M6+'Cost per Cell'!$M7)</f>
        <v>7650000.0000000065</v>
      </c>
      <c r="J49" s="287">
        <f>+(J17-I17)*$D4*('Cost per Cell'!$M6+'Cost per Cell'!$M7)</f>
        <v>7650000.0000000065</v>
      </c>
      <c r="K49" s="287">
        <f>+(K17-J17)*$D4*('Cost per Cell'!$M6+'Cost per Cell'!$M7)</f>
        <v>7650000.0000000065</v>
      </c>
      <c r="L49" s="287">
        <f>+(L17-K17)*$D4*('Cost per Cell'!$M6+'Cost per Cell'!$M7)</f>
        <v>7650000.0000000065</v>
      </c>
      <c r="M49" s="287">
        <f>+(M17-L17)*$D4*('Cost per Cell'!$M6+'Cost per Cell'!$M7)</f>
        <v>7650000.0000000065</v>
      </c>
      <c r="N49" s="287">
        <f>+(N17-M17)*$D4*('Cost per Cell'!$M6+'Cost per Cell'!$M7)</f>
        <v>7650000.0000000065</v>
      </c>
      <c r="O49" s="287">
        <f>+(O17-N17)*$D4*('Cost per Cell'!$M6+'Cost per Cell'!$M7)</f>
        <v>7650000.0000000065</v>
      </c>
      <c r="P49" s="291">
        <f>+(P17-O17)*$D4*('Cost per Cell'!$M6+'Cost per Cell'!$M7)</f>
        <v>7650000.0000000065</v>
      </c>
      <c r="Q49" s="354"/>
      <c r="R49" s="354"/>
    </row>
    <row r="50" spans="1:20" x14ac:dyDescent="0.25">
      <c r="A50" s="330"/>
      <c r="B50" s="331"/>
      <c r="C50" s="332" t="s">
        <v>74</v>
      </c>
      <c r="D50" s="336">
        <f>200+70</f>
        <v>270</v>
      </c>
      <c r="E50" s="334" t="s">
        <v>68</v>
      </c>
      <c r="G50" s="370" t="s">
        <v>122</v>
      </c>
      <c r="H50" s="287">
        <f>+(H18-90%)*$D4*('Cost per Cell'!$M6+'Cost per Cell'!$M7)</f>
        <v>68849999.999999985</v>
      </c>
      <c r="I50" s="287">
        <f>+(I18-H18)*$D4*('Cost per Cell'!$M6+'Cost per Cell'!$M7)</f>
        <v>7650000.0000000065</v>
      </c>
      <c r="J50" s="287">
        <f>+(J18-I18)*$D4*('Cost per Cell'!$M6+'Cost per Cell'!$M7)</f>
        <v>7650000.0000000065</v>
      </c>
      <c r="K50" s="287">
        <f>+(K18-J18)*$D4*('Cost per Cell'!$M6+'Cost per Cell'!$M7)</f>
        <v>7650000.0000000065</v>
      </c>
      <c r="L50" s="287">
        <f>+(L18-K18)*$D4*('Cost per Cell'!$M6+'Cost per Cell'!$M7)</f>
        <v>7650000.0000000065</v>
      </c>
      <c r="M50" s="287">
        <f>+(M18-L18)*$D4*('Cost per Cell'!$M6+'Cost per Cell'!$M7)</f>
        <v>7650000.0000000065</v>
      </c>
      <c r="N50" s="287">
        <f>+(N18-M18)*$D4*('Cost per Cell'!$M6+'Cost per Cell'!$M7)</f>
        <v>7650000.0000000065</v>
      </c>
      <c r="O50" s="287">
        <f>+(O18-N18)*$D4*('Cost per Cell'!$M6+'Cost per Cell'!$M7)</f>
        <v>7650000.0000000065</v>
      </c>
      <c r="P50" s="291">
        <f>+(P18-O18)*$D4*('Cost per Cell'!$M6+'Cost per Cell'!$M7)</f>
        <v>7650000.0000000065</v>
      </c>
    </row>
    <row r="51" spans="1:20" x14ac:dyDescent="0.25">
      <c r="A51" s="330"/>
      <c r="B51" s="331"/>
      <c r="C51" s="332" t="s">
        <v>67</v>
      </c>
      <c r="D51" s="366">
        <f>5000/800</f>
        <v>6.25</v>
      </c>
      <c r="E51" s="334" t="s">
        <v>69</v>
      </c>
      <c r="G51" s="370" t="s">
        <v>120</v>
      </c>
      <c r="H51" s="287">
        <f>IF((H19-50%)&gt;0,(H19-50%),0)*$D4*('Cost per Cell'!$M6+'Cost per Cell'!$M7)</f>
        <v>0</v>
      </c>
      <c r="I51" s="287">
        <f>IF((I19-H19)&gt;0,(I19-H19),0)*$D4*('Cost per Cell'!$M6+'Cost per Cell'!$M7)</f>
        <v>0</v>
      </c>
      <c r="J51" s="287">
        <f>IF((J19-I19)&gt;0,(J19-I19),0)*$D4*('Cost per Cell'!$M6+'Cost per Cell'!$M7)</f>
        <v>0</v>
      </c>
      <c r="K51" s="287">
        <f>IF((K19-J19)&gt;0,(K19-J19),0)*$D4*('Cost per Cell'!$M6+'Cost per Cell'!$M7)</f>
        <v>0</v>
      </c>
      <c r="L51" s="287">
        <f>IF((L19-K19)&gt;0,(L19-K19),0)*$D4*('Cost per Cell'!$M6+'Cost per Cell'!$M7)</f>
        <v>0</v>
      </c>
      <c r="M51" s="287">
        <f>IF((M19-L19)&gt;0,(M19-L19),0)*$D4*('Cost per Cell'!$M6+'Cost per Cell'!$M7)</f>
        <v>0</v>
      </c>
      <c r="N51" s="287">
        <f>IF((N19-M19)&gt;0,(N19-M19),0)*$D4*('Cost per Cell'!$M6+'Cost per Cell'!$M7)</f>
        <v>0</v>
      </c>
      <c r="O51" s="287">
        <f>IF((O19-N19)&gt;0,(O19-N19),0)*$D4*('Cost per Cell'!$M6+'Cost per Cell'!$M7)</f>
        <v>0</v>
      </c>
      <c r="P51" s="291">
        <f>IF((P19-O19)&gt;0,(P19-O19),0)*$D4*('Cost per Cell'!$M6+'Cost per Cell'!$M7)</f>
        <v>0</v>
      </c>
      <c r="Q51" s="354"/>
      <c r="R51" s="354"/>
    </row>
    <row r="52" spans="1:20" ht="15.75" thickBot="1" x14ac:dyDescent="0.3">
      <c r="A52" s="330"/>
      <c r="B52" s="337"/>
      <c r="C52" s="338" t="s">
        <v>126</v>
      </c>
      <c r="D52" s="339">
        <f>D50*D51*60*60*24*30*3*D7/8/1000</f>
        <v>246037.5</v>
      </c>
      <c r="E52" s="340"/>
      <c r="G52" s="370" t="s">
        <v>124</v>
      </c>
      <c r="H52" s="287"/>
      <c r="I52" s="287">
        <f>IF((I20-H20)&gt;0,(I20-H20),0)*$D4*('Cost per Cell'!$M6+'Cost per Cell'!$M7)</f>
        <v>153000000</v>
      </c>
      <c r="J52" s="287">
        <f>IF((J20-I20)&gt;0,(J20-I20),0)*$D4*('Cost per Cell'!$M6+'Cost per Cell'!$M7)</f>
        <v>535500000</v>
      </c>
      <c r="K52" s="287">
        <f>IF((K20-J20)&gt;0,(K20-J20),0)*$D4*('Cost per Cell'!$M6+'Cost per Cell'!$M7)</f>
        <v>0</v>
      </c>
      <c r="L52" s="287">
        <f>IF((L20-K20)&gt;0,(L20-K20),0)*$D4*('Cost per Cell'!$M6+'Cost per Cell'!$M7)</f>
        <v>0</v>
      </c>
      <c r="M52" s="287">
        <f>IF((M20-L20)&gt;0,(M20-L20),0)*$D4*('Cost per Cell'!$M6+'Cost per Cell'!$M7)</f>
        <v>0</v>
      </c>
      <c r="N52" s="287">
        <f>IF((N20-M20)&gt;0,(N20-M20),0)*$D4*('Cost per Cell'!$M6+'Cost per Cell'!$M7)</f>
        <v>0</v>
      </c>
      <c r="O52" s="287">
        <f>IF((O20-N20)&gt;0,(O20-N20),0)*$D4*('Cost per Cell'!$M6+'Cost per Cell'!$M7)</f>
        <v>0</v>
      </c>
      <c r="P52" s="291">
        <f>IF((P20-O20)&gt;0,(P20-O20),0)*$D4*('Cost per Cell'!$M6+'Cost per Cell'!$M7)</f>
        <v>0</v>
      </c>
      <c r="Q52" s="354"/>
      <c r="R52" s="354"/>
    </row>
    <row r="53" spans="1:20" x14ac:dyDescent="0.25">
      <c r="B53" s="330"/>
      <c r="C53" s="330"/>
      <c r="D53" s="394">
        <f>D52/2</f>
        <v>123018.75</v>
      </c>
      <c r="E53" s="330"/>
      <c r="G53" s="370" t="s">
        <v>118</v>
      </c>
      <c r="H53" s="287"/>
      <c r="I53" s="287">
        <f>IF((I21-H21)&gt;0,(I21-H21),0)*$D4*('Cost per Cell'!$C6+'Cost per Cell'!$C7)</f>
        <v>136000000</v>
      </c>
      <c r="J53" s="287">
        <f>IF((J21-I21)&gt;0,(J21-I21),0)*$D4*('Cost per Cell'!$C6+'Cost per Cell'!$C7)</f>
        <v>0</v>
      </c>
      <c r="K53" s="287">
        <f>IF((K21-J21)&gt;0,(K21-J21),0)*$D4*('Cost per Cell'!$C6+'Cost per Cell'!$C7)</f>
        <v>136000000</v>
      </c>
      <c r="L53" s="287">
        <f>IF((L21-K21)&gt;0,(L21-K21),0)*$D4*('Cost per Cell'!$C6+'Cost per Cell'!$C7)</f>
        <v>272000000</v>
      </c>
      <c r="M53" s="287">
        <f>IF((M21-L21)&gt;0,(M21-L21),0)*$D4*('Cost per Cell'!$C6+'Cost per Cell'!$C7)</f>
        <v>135999999.99999997</v>
      </c>
      <c r="N53" s="287">
        <f>IF((N21-M21)&gt;0,(N21-M21),0)*$D4*('Cost per Cell'!$C6+'Cost per Cell'!$C7)</f>
        <v>135999999.99999997</v>
      </c>
      <c r="O53" s="287">
        <f>IF((O21-N21)&gt;0,(O21-N21),0)*$D4*('Cost per Cell'!$C6+'Cost per Cell'!$C7)</f>
        <v>135999999.99999997</v>
      </c>
      <c r="P53" s="291">
        <f>IF((P21-O21)&gt;0,(P21-O21),0)*$D4*('Cost per Cell'!$C6+'Cost per Cell'!$C7)</f>
        <v>136000000.00000012</v>
      </c>
    </row>
    <row r="54" spans="1:20" x14ac:dyDescent="0.25">
      <c r="B54" s="330"/>
      <c r="C54" s="330"/>
      <c r="D54" s="330"/>
      <c r="E54" s="330"/>
      <c r="G54" s="370" t="s">
        <v>132</v>
      </c>
      <c r="H54" s="287"/>
      <c r="I54" s="287">
        <f>IF((I22-H22)&gt;0,(I22-H22),0)*$D4*('Cost per Cell'!$G6+'Cost per Cell'!$G7)</f>
        <v>59500000</v>
      </c>
      <c r="J54" s="287">
        <f>IF((J22-I22)&gt;0,(J22-I22),0)*$D4*('Cost per Cell'!$G6+'Cost per Cell'!$G7)</f>
        <v>59500000</v>
      </c>
      <c r="K54" s="287">
        <f>IF((K22-J22)&gt;0,(K22-J22),0)*$D4*('Cost per Cell'!$G6+'Cost per Cell'!$G7)</f>
        <v>119000000</v>
      </c>
      <c r="L54" s="287">
        <f>IF((L22-K22)&gt;0,(L22-K22),0)*$D4*('Cost per Cell'!$G6+'Cost per Cell'!$G7)</f>
        <v>118999999.99999997</v>
      </c>
      <c r="M54" s="287">
        <f>IF((M22-L22)&gt;0,(M22-L22),0)*$D4*('Cost per Cell'!$G6+'Cost per Cell'!$G7)</f>
        <v>0</v>
      </c>
      <c r="N54" s="287">
        <f>IF((N22-M22)&gt;0,(N22-M22),0)*$D4*('Cost per Cell'!$G6+'Cost per Cell'!$G7)</f>
        <v>0</v>
      </c>
      <c r="O54" s="287">
        <f>IF((O22-N22)&gt;0,(O22-N22),0)*$D4*('Cost per Cell'!$G6+'Cost per Cell'!$G7)</f>
        <v>0</v>
      </c>
      <c r="P54" s="291">
        <f>IF((P22-O22)&gt;0,(P22-O22),0)*$D4*('Cost per Cell'!$G6+'Cost per Cell'!$G7)</f>
        <v>0</v>
      </c>
    </row>
    <row r="55" spans="1:20" x14ac:dyDescent="0.25">
      <c r="B55" s="330"/>
      <c r="C55" s="375"/>
      <c r="D55" s="375"/>
      <c r="E55" s="330"/>
      <c r="G55" s="370" t="s">
        <v>133</v>
      </c>
      <c r="H55" s="287"/>
      <c r="I55" s="287">
        <f>IF((I23-H23)&gt;0,(I23-H23),0)*$D4*('Cost per Cell'!$E6+'Cost per Cell'!$E7)</f>
        <v>0</v>
      </c>
      <c r="J55" s="287">
        <f>IF((J23-I23)&gt;0,(J23-I23),0)*$D4*('Cost per Cell'!$E6+'Cost per Cell'!$E7)</f>
        <v>0</v>
      </c>
      <c r="K55" s="287">
        <f>IF((K23-J23)&gt;0,(K23-J23),0)*$D4*('Cost per Cell'!$E6+'Cost per Cell'!$E7)</f>
        <v>0</v>
      </c>
      <c r="L55" s="287">
        <f>IF((L23-K23)&gt;0,(L23-K23),0)*$D4*('Cost per Cell'!$E6+'Cost per Cell'!$E7)</f>
        <v>119000000</v>
      </c>
      <c r="M55" s="287">
        <f>IF((M23-L23)&gt;0,(M23-L23),0)*$D4*('Cost per Cell'!$E6+'Cost per Cell'!$E7)</f>
        <v>237999999.99999997</v>
      </c>
      <c r="N55" s="287">
        <f>IF((N23-M23)&gt;0,(N23-M23),0)*$D4*('Cost per Cell'!$E6+'Cost per Cell'!$E7)</f>
        <v>357000000</v>
      </c>
      <c r="O55" s="287">
        <f>IF((O23-N23)&gt;0,(O23-N23),0)*$D4*('Cost per Cell'!$E6+'Cost per Cell'!$E7)</f>
        <v>357000000.00000006</v>
      </c>
      <c r="P55" s="291">
        <f>IF((P23-O23)&gt;0,(P23-O23),0)*$D4*('Cost per Cell'!$E6+'Cost per Cell'!$E7)</f>
        <v>118999999.99999997</v>
      </c>
    </row>
    <row r="56" spans="1:20" x14ac:dyDescent="0.25">
      <c r="B56" s="330"/>
      <c r="C56" s="375"/>
      <c r="D56" s="373"/>
      <c r="E56" s="330"/>
      <c r="G56" s="371" t="s">
        <v>255</v>
      </c>
      <c r="H56" s="287">
        <f>IF((H24-20%)&gt;0, (H24-10%),0)*$D5*('Cost per Cell'!$O6+'Cost per Cell'!$O7)</f>
        <v>27999999.999999996</v>
      </c>
      <c r="I56" s="287">
        <f>IF((I24-H24)&gt;0, (I24-H24),0)*$D5*('Cost per Cell'!$O6+'Cost per Cell'!$O7)</f>
        <v>0</v>
      </c>
      <c r="J56" s="287">
        <f>IF((J24-I24)&gt;0, (J24-I24),0)*$D5*('Cost per Cell'!$O6+'Cost per Cell'!$O7)</f>
        <v>0</v>
      </c>
      <c r="K56" s="287">
        <f>IF((K24-J24)&gt;0, (K24-J24),0)*$D5*('Cost per Cell'!$O6+'Cost per Cell'!$O7)</f>
        <v>0</v>
      </c>
      <c r="L56" s="287">
        <f>IF((L24-K24)&gt;0, (L24-K24),0)*$D5*('Cost per Cell'!$O6+'Cost per Cell'!$O7)</f>
        <v>0</v>
      </c>
      <c r="M56" s="287">
        <f>IF((M24-L24)&gt;0, (M24-L24),0)*$D5*('Cost per Cell'!$O6+'Cost per Cell'!$O7)</f>
        <v>0</v>
      </c>
      <c r="N56" s="287">
        <f>IF((N24-M24)&gt;0, (N24-M24),0)*$D5*('Cost per Cell'!$O6+'Cost per Cell'!$O7)</f>
        <v>0</v>
      </c>
      <c r="O56" s="287">
        <f>IF((O24-N24)&gt;0, (O24-N24),0)*$D5*('Cost per Cell'!$O6+'Cost per Cell'!$O7)</f>
        <v>0</v>
      </c>
      <c r="P56" s="291">
        <f>IF((P24-O24)&gt;0, (P24-O24),0)*$D5*('Cost per Cell'!$O6+'Cost per Cell'!$O7)</f>
        <v>0</v>
      </c>
    </row>
    <row r="57" spans="1:20" x14ac:dyDescent="0.25">
      <c r="B57" s="330"/>
      <c r="C57" s="375"/>
      <c r="D57" s="373"/>
      <c r="E57" s="330"/>
      <c r="G57" s="371" t="s">
        <v>256</v>
      </c>
      <c r="H57" s="287">
        <f>IF((H25-0%)&gt;0, (H25-0%),0)*$D5*('Cost per Cell'!$O6+'Cost per Cell'!$O7)</f>
        <v>0</v>
      </c>
      <c r="I57" s="287">
        <f>IF((I25-H25)&gt;0, (I25-H25),0)*$D5*('Cost per Cell'!$O6+'Cost per Cell'!$O7)</f>
        <v>14000000</v>
      </c>
      <c r="J57" s="287">
        <f>IF((J25-I25)&gt;0, (J25-I25),0)*$D5*('Cost per Cell'!$O6+'Cost per Cell'!$O7)</f>
        <v>14000000</v>
      </c>
      <c r="K57" s="287">
        <f>IF((K25-J25)&gt;0, (K25-J25),0)*$D5*('Cost per Cell'!$O6+'Cost per Cell'!$O7)</f>
        <v>13999999.999999996</v>
      </c>
      <c r="L57" s="287">
        <f>IF((L25-K25)&gt;0, (L25-K25),0)*$D5*('Cost per Cell'!$O6+'Cost per Cell'!$O7)</f>
        <v>14000000.000000006</v>
      </c>
      <c r="M57" s="287">
        <f>IF((M25-L25)&gt;0, (M25-L25),0)*$D5*('Cost per Cell'!$O6+'Cost per Cell'!$O7)</f>
        <v>13999999.999999996</v>
      </c>
      <c r="N57" s="287">
        <f>IF((N25-M25)&gt;0, (N25-M25),0)*$D5*('Cost per Cell'!$O6+'Cost per Cell'!$O7)</f>
        <v>13999999.999999996</v>
      </c>
      <c r="O57" s="287">
        <f>IF((O25-N25)&gt;0, (O25-N25),0)*$D5*('Cost per Cell'!$O6+'Cost per Cell'!$O7)</f>
        <v>21000000.000000004</v>
      </c>
      <c r="P57" s="291">
        <f>IF((P25-O25)&gt;0, (P25-O25),0)*$D5*('Cost per Cell'!$O6+'Cost per Cell'!$O7)</f>
        <v>35000000</v>
      </c>
      <c r="T57" s="374"/>
    </row>
    <row r="58" spans="1:20" x14ac:dyDescent="0.25">
      <c r="B58" s="330"/>
      <c r="C58" s="375"/>
      <c r="D58" s="375"/>
      <c r="E58" s="330"/>
      <c r="G58" s="369" t="s">
        <v>129</v>
      </c>
      <c r="H58" s="287">
        <f>IF((H26-0%)&gt;0, (H26-0%),0)*$D5*('Cost per Cell'!$I6+'Cost per Cell'!$I7)</f>
        <v>22000000</v>
      </c>
      <c r="I58" s="287">
        <f>IF((I26-H26)&gt;0, (I26-H26),0)*$D5*('Cost per Cell'!$I6+'Cost per Cell'!$I7)</f>
        <v>0</v>
      </c>
      <c r="J58" s="287">
        <f>IF((J26-I26)&gt;0, (J26-I26),0)*$D5*('Cost per Cell'!$I6+'Cost per Cell'!$I7)</f>
        <v>0</v>
      </c>
      <c r="K58" s="287">
        <f>IF((K26-J26)&gt;0, (K26-J26),0)*$D5*('Cost per Cell'!$I6+'Cost per Cell'!$I7)</f>
        <v>0</v>
      </c>
      <c r="L58" s="287">
        <f>IF((L26-K26)&gt;0, (L26-K26),0)*$D5*('Cost per Cell'!$I6+'Cost per Cell'!$I7)</f>
        <v>22000000</v>
      </c>
      <c r="M58" s="287">
        <f>IF((M26-L26)&gt;0, (M26-L26),0)*$D5*('Cost per Cell'!$I6+'Cost per Cell'!$I7)</f>
        <v>21999999.999999996</v>
      </c>
      <c r="N58" s="287">
        <f>IF((N26-M26)&gt;0, (N26-M26),0)*$D5*('Cost per Cell'!$I6+'Cost per Cell'!$I7)</f>
        <v>0</v>
      </c>
      <c r="O58" s="287">
        <f>IF((O26-N26)&gt;0, (O26-N26),0)*$D5*('Cost per Cell'!$I6+'Cost per Cell'!$I7)</f>
        <v>22000000.000000004</v>
      </c>
      <c r="P58" s="291">
        <f>IF((P26-O26)&gt;0, (P26-O26),0)*$D5*('Cost per Cell'!$I6+'Cost per Cell'!$I7)</f>
        <v>22000000.000000004</v>
      </c>
      <c r="Q58" s="354"/>
      <c r="R58" s="354"/>
    </row>
    <row r="59" spans="1:20" x14ac:dyDescent="0.25">
      <c r="B59" s="330"/>
      <c r="C59" s="330"/>
      <c r="D59" s="330"/>
      <c r="E59" s="330"/>
      <c r="G59" s="368" t="s">
        <v>47</v>
      </c>
      <c r="H59" s="288"/>
      <c r="I59" s="288"/>
      <c r="J59" s="288"/>
      <c r="K59" s="288"/>
      <c r="L59" s="288"/>
      <c r="M59" s="288"/>
      <c r="N59" s="288"/>
      <c r="O59" s="288"/>
      <c r="P59" s="289"/>
      <c r="Q59" s="354"/>
      <c r="R59" s="354"/>
    </row>
    <row r="60" spans="1:20" x14ac:dyDescent="0.25">
      <c r="B60" s="330"/>
      <c r="C60" s="330"/>
      <c r="D60" s="330"/>
      <c r="E60" s="330"/>
      <c r="G60" s="370" t="s">
        <v>128</v>
      </c>
      <c r="H60" s="292">
        <f>$D4*H16*SUM('Cost per Cell'!$K11:$K14)*12</f>
        <v>626076000</v>
      </c>
      <c r="I60" s="292">
        <f>$D4*I16*SUM('Cost per Cell'!$K11:$K14)*12</f>
        <v>695640000</v>
      </c>
      <c r="J60" s="292">
        <f>$D4*J16*SUM('Cost per Cell'!$K11:$K14)*12</f>
        <v>702596400</v>
      </c>
      <c r="K60" s="292">
        <f>$D4*K16*SUM('Cost per Cell'!$K11:$K14)*12</f>
        <v>709552800</v>
      </c>
      <c r="L60" s="292">
        <f>$D4*L16*SUM('Cost per Cell'!$K11:$K14)*12</f>
        <v>716509200</v>
      </c>
      <c r="M60" s="292">
        <f>$D4*M16*SUM('Cost per Cell'!$K11:$K14)*12</f>
        <v>723465600</v>
      </c>
      <c r="N60" s="292">
        <f>$D4*N16*SUM('Cost per Cell'!$K11:$K14)*12</f>
        <v>730422000</v>
      </c>
      <c r="O60" s="292">
        <f>$D4*O16*SUM('Cost per Cell'!$K11:$K14)*12</f>
        <v>737378400</v>
      </c>
      <c r="P60" s="293">
        <f>$D4*P16*SUM('Cost per Cell'!$K11:$K14)*12</f>
        <v>744334800</v>
      </c>
      <c r="Q60" s="354"/>
      <c r="R60" s="354"/>
      <c r="S60" s="374"/>
    </row>
    <row r="61" spans="1:20" x14ac:dyDescent="0.25">
      <c r="G61" s="370" t="s">
        <v>121</v>
      </c>
      <c r="H61" s="292">
        <f>$D4*H17*SUM('Cost per Cell'!$M11:$M14)*12</f>
        <v>688683600</v>
      </c>
      <c r="I61" s="292">
        <f>$D4*I17*SUM('Cost per Cell'!$M11:$M14)*12</f>
        <v>695640000</v>
      </c>
      <c r="J61" s="292">
        <f>$D4*J17*SUM('Cost per Cell'!$M11:$M14)*12</f>
        <v>702596400</v>
      </c>
      <c r="K61" s="292">
        <f>$D4*K17*SUM('Cost per Cell'!$M11:$M14)*12</f>
        <v>709552800</v>
      </c>
      <c r="L61" s="292">
        <f>$D4*L17*SUM('Cost per Cell'!$M11:$M14)*12</f>
        <v>716509200</v>
      </c>
      <c r="M61" s="292">
        <f>$D4*M17*SUM('Cost per Cell'!$M11:$M14)*12</f>
        <v>723465600</v>
      </c>
      <c r="N61" s="292">
        <f>$D4*N17*SUM('Cost per Cell'!$M11:$M14)*12</f>
        <v>730422000</v>
      </c>
      <c r="O61" s="292">
        <f>$D4*O17*SUM('Cost per Cell'!$M11:$M14)*12</f>
        <v>737378400</v>
      </c>
      <c r="P61" s="293">
        <f>$D4*P17*SUM('Cost per Cell'!$M11:$M14)*12</f>
        <v>744334800</v>
      </c>
      <c r="Q61" s="374"/>
      <c r="R61" s="374"/>
    </row>
    <row r="62" spans="1:20" x14ac:dyDescent="0.25">
      <c r="G62" s="370" t="s">
        <v>122</v>
      </c>
      <c r="H62" s="292">
        <f>$D4*H18*SUM('Cost per Cell'!$M11:$M14)*12</f>
        <v>688683600</v>
      </c>
      <c r="I62" s="292">
        <f>$D4*I18*SUM('Cost per Cell'!$M11:$M14)*12</f>
        <v>695640000</v>
      </c>
      <c r="J62" s="292">
        <f>$D4*J18*SUM('Cost per Cell'!$M11:$M14)*12</f>
        <v>702596400</v>
      </c>
      <c r="K62" s="292">
        <f>$D4*K18*SUM('Cost per Cell'!$M11:$M14)*12</f>
        <v>709552800</v>
      </c>
      <c r="L62" s="292">
        <f>$D4*L18*SUM('Cost per Cell'!$M11:$M14)*12</f>
        <v>716509200</v>
      </c>
      <c r="M62" s="292">
        <f>$D4*M18*SUM('Cost per Cell'!$M11:$M14)*12</f>
        <v>723465600</v>
      </c>
      <c r="N62" s="292">
        <f>$D4*N18*SUM('Cost per Cell'!$M11:$M14)*12</f>
        <v>730422000</v>
      </c>
      <c r="O62" s="292">
        <f>$D4*O18*SUM('Cost per Cell'!$M11:$M14)*12</f>
        <v>737378400</v>
      </c>
      <c r="P62" s="293">
        <f>$D4*P18*SUM('Cost per Cell'!$M11:$M14)*12</f>
        <v>744334800</v>
      </c>
      <c r="Q62" s="354"/>
      <c r="R62" s="354"/>
    </row>
    <row r="63" spans="1:20" x14ac:dyDescent="0.25">
      <c r="G63" s="370" t="s">
        <v>120</v>
      </c>
      <c r="H63" s="292">
        <f>$D4*H19*SUM('Cost per Cell'!$M11:$M14)*12</f>
        <v>347820000</v>
      </c>
      <c r="I63" s="292">
        <f>$D4*I19*SUM('Cost per Cell'!$M11:$M14)*12</f>
        <v>347820000</v>
      </c>
      <c r="J63" s="292">
        <f>$D4*J19*SUM('Cost per Cell'!$M11:$M14)*12</f>
        <v>0</v>
      </c>
      <c r="K63" s="292">
        <f>$D4*K19*SUM('Cost per Cell'!$M11:$M14)*12</f>
        <v>0</v>
      </c>
      <c r="L63" s="292">
        <f>$D4*L19*SUM('Cost per Cell'!$M11:$M14)*12</f>
        <v>0</v>
      </c>
      <c r="M63" s="292">
        <f>$D4*M19*SUM('Cost per Cell'!$M11:$M14)*12</f>
        <v>0</v>
      </c>
      <c r="N63" s="292">
        <f>$D4*N19*SUM('Cost per Cell'!$M11:$M14)*12</f>
        <v>0</v>
      </c>
      <c r="O63" s="292">
        <f>$D4*O19*SUM('Cost per Cell'!$M11:$M14)*12</f>
        <v>0</v>
      </c>
      <c r="P63" s="293">
        <f>$D4*P19*SUM('Cost per Cell'!$M11:$M14)*12</f>
        <v>0</v>
      </c>
    </row>
    <row r="64" spans="1:20" x14ac:dyDescent="0.25">
      <c r="G64" s="370" t="s">
        <v>124</v>
      </c>
      <c r="H64" s="292">
        <f>$D4*H20*SUM('Cost per Cell'!$M11:$M14)*12</f>
        <v>0</v>
      </c>
      <c r="I64" s="292">
        <f>$D4*I20*SUM('Cost per Cell'!$M11:$M14)*12</f>
        <v>139128000</v>
      </c>
      <c r="J64" s="292">
        <f>$D4*J20*SUM('Cost per Cell'!$M11:$M14)*12</f>
        <v>626076000</v>
      </c>
      <c r="K64" s="292">
        <f>$D4*K20*SUM('Cost per Cell'!$M11:$M14)*12</f>
        <v>591294000</v>
      </c>
      <c r="L64" s="292">
        <f>$D4*L20*SUM('Cost per Cell'!$M11:$M14)*12</f>
        <v>452166000</v>
      </c>
      <c r="M64" s="292">
        <f>$D4*M20*SUM('Cost per Cell'!$M11:$M14)*12</f>
        <v>382602000</v>
      </c>
      <c r="N64" s="292">
        <f>$D4*N20*SUM('Cost per Cell'!$M11:$M14)*12</f>
        <v>313038000</v>
      </c>
      <c r="O64" s="292">
        <f>$D4*O20*SUM('Cost per Cell'!$M11:$M14)*12</f>
        <v>243474000</v>
      </c>
      <c r="P64" s="293">
        <f>$D4*P20*SUM('Cost per Cell'!$M11:$M14)*12</f>
        <v>173910000</v>
      </c>
      <c r="Q64" s="354"/>
      <c r="R64" s="354"/>
    </row>
    <row r="65" spans="7:18" x14ac:dyDescent="0.25">
      <c r="G65" s="370" t="s">
        <v>118</v>
      </c>
      <c r="H65" s="292">
        <f>$D4*H21*SUM('Cost per Cell'!$C11:$C14)*12</f>
        <v>0</v>
      </c>
      <c r="I65" s="292">
        <f>$D4*I21*SUM('Cost per Cell'!$C11:$C14)*12</f>
        <v>70206600</v>
      </c>
      <c r="J65" s="292">
        <f>$D4*J21*SUM('Cost per Cell'!$C11:$C14)*12</f>
        <v>70206600</v>
      </c>
      <c r="K65" s="292">
        <f>$D4*K21*SUM('Cost per Cell'!$C11:$C14)*12</f>
        <v>140413200</v>
      </c>
      <c r="L65" s="292">
        <f>$D4*L21*SUM('Cost per Cell'!$C11:$C14)*12</f>
        <v>280826400</v>
      </c>
      <c r="M65" s="292">
        <f>$D4*M21*SUM('Cost per Cell'!$C11:$C14)*12</f>
        <v>351033000</v>
      </c>
      <c r="N65" s="292">
        <f>$D4*N21*SUM('Cost per Cell'!$C11:$C14)*12</f>
        <v>421239600</v>
      </c>
      <c r="O65" s="292">
        <f>$D4*O21*SUM('Cost per Cell'!$C11:$C14)*12</f>
        <v>491446200</v>
      </c>
      <c r="P65" s="293">
        <f>$D4*P21*SUM('Cost per Cell'!$C11:$C14)*12</f>
        <v>561652800</v>
      </c>
      <c r="Q65" s="354"/>
      <c r="R65" s="354"/>
    </row>
    <row r="66" spans="7:18" x14ac:dyDescent="0.25">
      <c r="G66" s="370" t="s">
        <v>132</v>
      </c>
      <c r="H66" s="292">
        <f>$D4*H22*SUM('Cost per Cell'!$G11:$G14)*12</f>
        <v>0</v>
      </c>
      <c r="I66" s="292">
        <f>$D4*I22*SUM('Cost per Cell'!$G11:$G14)*12</f>
        <v>33364200</v>
      </c>
      <c r="J66" s="292">
        <f>$D4*J22*SUM('Cost per Cell'!$G11:$G14)*12</f>
        <v>66728400</v>
      </c>
      <c r="K66" s="292">
        <f>$D4*K22*SUM('Cost per Cell'!$G11:$G14)*12</f>
        <v>133456800</v>
      </c>
      <c r="L66" s="292">
        <f>$D4*L22*SUM('Cost per Cell'!$G11:$G14)*12</f>
        <v>200185200</v>
      </c>
      <c r="M66" s="292">
        <f>$D4*M22*SUM('Cost per Cell'!$G11:$G14)*12</f>
        <v>200185200</v>
      </c>
      <c r="N66" s="292">
        <f>$D4*N22*SUM('Cost per Cell'!$G11:$G14)*12</f>
        <v>200185200</v>
      </c>
      <c r="O66" s="292">
        <f>$D4*O22*SUM('Cost per Cell'!$G11:$G14)*12</f>
        <v>200185200</v>
      </c>
      <c r="P66" s="293">
        <f>$D4*P22*SUM('Cost per Cell'!$G11:$G14)*12</f>
        <v>200185200</v>
      </c>
    </row>
    <row r="67" spans="7:18" x14ac:dyDescent="0.25">
      <c r="G67" s="370" t="s">
        <v>133</v>
      </c>
      <c r="H67" s="292">
        <f>$D4*H23*SUM('Cost per Cell'!$E11:$E14)*12</f>
        <v>0</v>
      </c>
      <c r="I67" s="292">
        <f>$D4*I23*SUM('Cost per Cell'!$E11:$E14)*12</f>
        <v>0</v>
      </c>
      <c r="J67" s="292">
        <f>$D4*J23*SUM('Cost per Cell'!$E11:$E14)*12</f>
        <v>0</v>
      </c>
      <c r="K67" s="292">
        <f>$D4*K23*SUM('Cost per Cell'!$E11:$E14)*12</f>
        <v>0</v>
      </c>
      <c r="L67" s="292">
        <f>$D4*L23*SUM('Cost per Cell'!$E11:$E14)*12</f>
        <v>69870000</v>
      </c>
      <c r="M67" s="292">
        <f>$D4*M23*SUM('Cost per Cell'!$E11:$E14)*12</f>
        <v>209610000</v>
      </c>
      <c r="N67" s="292">
        <f>$D4*N23*SUM('Cost per Cell'!$E11:$E14)*12</f>
        <v>419220000</v>
      </c>
      <c r="O67" s="292">
        <f>$D4*O23*SUM('Cost per Cell'!$E11:$E14)*12</f>
        <v>628830000</v>
      </c>
      <c r="P67" s="293">
        <f>$D4*P23*SUM('Cost per Cell'!$E11:$E14)*12</f>
        <v>698700000</v>
      </c>
    </row>
    <row r="68" spans="7:18" x14ac:dyDescent="0.25">
      <c r="G68" s="371" t="s">
        <v>255</v>
      </c>
      <c r="H68" s="292">
        <f>$D5*H24*SUM('Cost per Cell'!$O11:$O14)*12</f>
        <v>36979200</v>
      </c>
      <c r="I68" s="292">
        <f>$D5*I24*SUM('Cost per Cell'!$O11:$O14)*12</f>
        <v>0</v>
      </c>
      <c r="J68" s="292">
        <f>$D5*J24*SUM('Cost per Cell'!$O11:$O14)*12</f>
        <v>0</v>
      </c>
      <c r="K68" s="292">
        <f>$D5*K24*SUM('Cost per Cell'!$O11:$O14)*12</f>
        <v>0</v>
      </c>
      <c r="L68" s="292">
        <f>$D5*L24*SUM('Cost per Cell'!$O11:$O14)*12</f>
        <v>0</v>
      </c>
      <c r="M68" s="292">
        <f>$D5*M24*SUM('Cost per Cell'!$O11:$O14)*12</f>
        <v>0</v>
      </c>
      <c r="N68" s="292">
        <f>$D5*N24*SUM('Cost per Cell'!$O11:$O14)*12</f>
        <v>0</v>
      </c>
      <c r="O68" s="292">
        <f>$D5*O24*SUM('Cost per Cell'!$O11:$O14)*12</f>
        <v>0</v>
      </c>
      <c r="P68" s="293">
        <f>$D5*P24*SUM('Cost per Cell'!$O11:$O14)*12</f>
        <v>0</v>
      </c>
    </row>
    <row r="69" spans="7:18" x14ac:dyDescent="0.25">
      <c r="G69" s="371" t="s">
        <v>256</v>
      </c>
      <c r="H69" s="292">
        <f>$D5*H25*SUM('Cost per Cell'!$O11:$O14)*12</f>
        <v>0</v>
      </c>
      <c r="I69" s="292">
        <f>$D5*I25*SUM('Cost per Cell'!$O11:$O14)*12</f>
        <v>12326400</v>
      </c>
      <c r="J69" s="292">
        <f>$D5*J25*SUM('Cost per Cell'!$O11:$O14)*12</f>
        <v>24652800</v>
      </c>
      <c r="K69" s="292">
        <f>$D5*K25*SUM('Cost per Cell'!$O11:$O14)*12</f>
        <v>36979200</v>
      </c>
      <c r="L69" s="292">
        <f>$D5*L25*SUM('Cost per Cell'!$O11:$O14)*12</f>
        <v>49305600</v>
      </c>
      <c r="M69" s="292">
        <f>$D5*M25*SUM('Cost per Cell'!$O11:$O14)*12</f>
        <v>61632000</v>
      </c>
      <c r="N69" s="292">
        <f>$D5*N25*SUM('Cost per Cell'!$O11:$O14)*12</f>
        <v>73958400</v>
      </c>
      <c r="O69" s="292">
        <f>$D5*O25*SUM('Cost per Cell'!$O11:$O14)*12</f>
        <v>92448000</v>
      </c>
      <c r="P69" s="293">
        <f>$D5*P25*SUM('Cost per Cell'!$O11:$O14)*12</f>
        <v>123264000</v>
      </c>
      <c r="Q69" s="354"/>
      <c r="R69" s="354"/>
    </row>
    <row r="70" spans="7:18" x14ac:dyDescent="0.25">
      <c r="G70" s="369" t="s">
        <v>129</v>
      </c>
      <c r="H70" s="292">
        <f>$D5*H26*SUM('Cost per Cell'!$I11:$I14)*12</f>
        <v>8220000</v>
      </c>
      <c r="I70" s="292">
        <f>$D5*I26*SUM('Cost per Cell'!$I11:$I14)*12</f>
        <v>8220000</v>
      </c>
      <c r="J70" s="292">
        <f>$D5*J26*SUM('Cost per Cell'!$I11:$I14)*12</f>
        <v>8220000</v>
      </c>
      <c r="K70" s="292">
        <f>$D5*K26*SUM('Cost per Cell'!$I11:$I14)*12</f>
        <v>8220000</v>
      </c>
      <c r="L70" s="292">
        <f>$D5*L26*SUM('Cost per Cell'!$I11:$I14)*12</f>
        <v>16440000</v>
      </c>
      <c r="M70" s="292">
        <f>$D5*M26*SUM('Cost per Cell'!$I11:$I14)*12</f>
        <v>24660000</v>
      </c>
      <c r="N70" s="292">
        <f>$D5*N26*SUM('Cost per Cell'!$I11:$I14)*12</f>
        <v>24660000</v>
      </c>
      <c r="O70" s="292">
        <f>$D5*O26*SUM('Cost per Cell'!$I11:$I14)*12</f>
        <v>32880000</v>
      </c>
      <c r="P70" s="293">
        <f>$D5*P26*SUM('Cost per Cell'!$I11:$I14)*12</f>
        <v>41100000</v>
      </c>
      <c r="Q70" s="354"/>
      <c r="R70" s="354"/>
    </row>
    <row r="71" spans="7:18" ht="15.75" thickBot="1" x14ac:dyDescent="0.3">
      <c r="G71" s="376" t="s">
        <v>12</v>
      </c>
      <c r="H71" s="302">
        <f t="shared" ref="H71:P71" si="15">SUM(H44:H70)</f>
        <v>3983765136.7781153</v>
      </c>
      <c r="I71" s="302">
        <f t="shared" si="15"/>
        <v>12444185200</v>
      </c>
      <c r="J71" s="302">
        <f t="shared" si="15"/>
        <v>3538173000</v>
      </c>
      <c r="K71" s="302">
        <f t="shared" si="15"/>
        <v>3333521600</v>
      </c>
      <c r="L71" s="302">
        <f t="shared" si="15"/>
        <v>3789820800</v>
      </c>
      <c r="M71" s="302">
        <f t="shared" si="15"/>
        <v>3835619000</v>
      </c>
      <c r="N71" s="302">
        <f t="shared" si="15"/>
        <v>4176067200</v>
      </c>
      <c r="O71" s="302">
        <f t="shared" si="15"/>
        <v>4462898600</v>
      </c>
      <c r="P71" s="303">
        <f t="shared" si="15"/>
        <v>4369316400</v>
      </c>
      <c r="Q71" s="354"/>
      <c r="R71" s="354"/>
    </row>
    <row r="72" spans="7:18" x14ac:dyDescent="0.25">
      <c r="G72" s="354"/>
      <c r="H72" s="354"/>
      <c r="I72" s="354"/>
      <c r="J72" s="354"/>
      <c r="K72" s="354"/>
      <c r="L72" s="354"/>
      <c r="M72" s="354"/>
      <c r="N72" s="354"/>
      <c r="O72" s="354"/>
      <c r="P72" s="354"/>
      <c r="Q72" s="354"/>
      <c r="R72" s="354"/>
    </row>
    <row r="73" spans="7:18" ht="15.75" thickBot="1" x14ac:dyDescent="0.3">
      <c r="G73" s="354"/>
      <c r="H73" s="354"/>
      <c r="I73" s="354"/>
      <c r="J73" s="354"/>
      <c r="K73" s="354"/>
      <c r="L73" s="354"/>
      <c r="M73" s="354"/>
      <c r="N73" s="354"/>
      <c r="O73" s="354"/>
      <c r="P73" s="354"/>
      <c r="Q73" s="354"/>
      <c r="R73" s="354"/>
    </row>
    <row r="74" spans="7:18" x14ac:dyDescent="0.25">
      <c r="G74" s="347" t="s">
        <v>100</v>
      </c>
      <c r="H74" s="348" t="s">
        <v>8</v>
      </c>
      <c r="I74" s="348" t="s">
        <v>0</v>
      </c>
      <c r="J74" s="348" t="s">
        <v>1</v>
      </c>
      <c r="K74" s="348" t="s">
        <v>2</v>
      </c>
      <c r="L74" s="348" t="s">
        <v>3</v>
      </c>
      <c r="M74" s="348" t="s">
        <v>4</v>
      </c>
      <c r="N74" s="348" t="s">
        <v>5</v>
      </c>
      <c r="O74" s="348" t="s">
        <v>6</v>
      </c>
      <c r="P74" s="349" t="s">
        <v>7</v>
      </c>
      <c r="Q74" s="354"/>
      <c r="R74" s="354"/>
    </row>
    <row r="75" spans="7:18" x14ac:dyDescent="0.25">
      <c r="G75" s="377" t="s">
        <v>16</v>
      </c>
      <c r="H75" s="378">
        <v>46.5</v>
      </c>
      <c r="I75" s="378">
        <f>H75*1.01</f>
        <v>46.965000000000003</v>
      </c>
      <c r="J75" s="378">
        <f t="shared" ref="J75:P75" si="16">I75*1.01</f>
        <v>47.434650000000005</v>
      </c>
      <c r="K75" s="378">
        <f t="shared" si="16"/>
        <v>47.908996500000008</v>
      </c>
      <c r="L75" s="378">
        <f t="shared" si="16"/>
        <v>48.388086465000008</v>
      </c>
      <c r="M75" s="378">
        <f t="shared" si="16"/>
        <v>48.871967329650005</v>
      </c>
      <c r="N75" s="378">
        <f t="shared" si="16"/>
        <v>49.360687002946506</v>
      </c>
      <c r="O75" s="378">
        <f t="shared" si="16"/>
        <v>49.854293872975973</v>
      </c>
      <c r="P75" s="379">
        <f t="shared" si="16"/>
        <v>50.352836811705735</v>
      </c>
      <c r="Q75" s="354"/>
      <c r="R75" s="354"/>
    </row>
    <row r="76" spans="7:18" ht="15.75" thickBot="1" x14ac:dyDescent="0.3">
      <c r="G76" s="380" t="s">
        <v>104</v>
      </c>
      <c r="H76" s="381">
        <f t="shared" ref="H76:P76" si="17">H12*H75*12</f>
        <v>12926628000</v>
      </c>
      <c r="I76" s="381">
        <f t="shared" si="17"/>
        <v>13317012165.600002</v>
      </c>
      <c r="J76" s="381">
        <f t="shared" si="17"/>
        <v>13713911351.712002</v>
      </c>
      <c r="K76" s="381">
        <f t="shared" si="17"/>
        <v>14117416820.329681</v>
      </c>
      <c r="L76" s="381">
        <f t="shared" si="17"/>
        <v>14527621007.184546</v>
      </c>
      <c r="M76" s="381">
        <f t="shared" si="17"/>
        <v>14944617536.094471</v>
      </c>
      <c r="N76" s="381">
        <f t="shared" si="17"/>
        <v>15368501233.48188</v>
      </c>
      <c r="O76" s="381">
        <f t="shared" si="17"/>
        <v>15799368143.063421</v>
      </c>
      <c r="P76" s="382">
        <f t="shared" si="17"/>
        <v>16237315540.713253</v>
      </c>
      <c r="Q76" s="354"/>
      <c r="R76" s="354"/>
    </row>
    <row r="77" spans="7:18" x14ac:dyDescent="0.25">
      <c r="G77" s="354"/>
      <c r="H77" s="354"/>
      <c r="I77" s="354"/>
      <c r="J77" s="354"/>
      <c r="K77" s="354"/>
      <c r="L77" s="354"/>
      <c r="M77" s="354"/>
      <c r="N77" s="354"/>
      <c r="O77" s="354"/>
      <c r="P77" s="354"/>
      <c r="Q77" s="354"/>
      <c r="R77" s="354"/>
    </row>
    <row r="78" spans="7:18" ht="15.75" thickBot="1" x14ac:dyDescent="0.3">
      <c r="G78" s="354"/>
      <c r="H78" s="354"/>
      <c r="I78" s="354"/>
      <c r="J78" s="354"/>
      <c r="K78" s="354"/>
      <c r="L78" s="354"/>
      <c r="M78" s="354"/>
      <c r="N78" s="354"/>
      <c r="O78" s="354"/>
      <c r="P78" s="354"/>
      <c r="Q78" s="354"/>
      <c r="R78" s="354"/>
    </row>
    <row r="79" spans="7:18" x14ac:dyDescent="0.25">
      <c r="G79" s="347" t="s">
        <v>105</v>
      </c>
      <c r="H79" s="348" t="s">
        <v>8</v>
      </c>
      <c r="I79" s="348" t="s">
        <v>0</v>
      </c>
      <c r="J79" s="348" t="s">
        <v>1</v>
      </c>
      <c r="K79" s="348" t="s">
        <v>2</v>
      </c>
      <c r="L79" s="348" t="s">
        <v>3</v>
      </c>
      <c r="M79" s="348" t="s">
        <v>4</v>
      </c>
      <c r="N79" s="348" t="s">
        <v>5</v>
      </c>
      <c r="O79" s="348" t="s">
        <v>6</v>
      </c>
      <c r="P79" s="349" t="s">
        <v>7</v>
      </c>
      <c r="Q79" s="354"/>
      <c r="R79" s="354"/>
    </row>
    <row r="80" spans="7:18" x14ac:dyDescent="0.25">
      <c r="G80" s="377" t="s">
        <v>107</v>
      </c>
      <c r="H80" s="383">
        <f t="shared" ref="H80:P80" si="18">+H76</f>
        <v>12926628000</v>
      </c>
      <c r="I80" s="383">
        <f t="shared" si="18"/>
        <v>13317012165.600002</v>
      </c>
      <c r="J80" s="383">
        <f t="shared" si="18"/>
        <v>13713911351.712002</v>
      </c>
      <c r="K80" s="383">
        <f t="shared" si="18"/>
        <v>14117416820.329681</v>
      </c>
      <c r="L80" s="383">
        <f t="shared" si="18"/>
        <v>14527621007.184546</v>
      </c>
      <c r="M80" s="383">
        <f t="shared" si="18"/>
        <v>14944617536.094471</v>
      </c>
      <c r="N80" s="383">
        <f t="shared" si="18"/>
        <v>15368501233.48188</v>
      </c>
      <c r="O80" s="383">
        <f t="shared" si="18"/>
        <v>15799368143.063421</v>
      </c>
      <c r="P80" s="384">
        <f t="shared" si="18"/>
        <v>16237315540.713253</v>
      </c>
      <c r="Q80" s="354"/>
      <c r="R80" s="354"/>
    </row>
    <row r="81" spans="7:18" x14ac:dyDescent="0.25">
      <c r="G81" s="377" t="s">
        <v>288</v>
      </c>
      <c r="H81" s="383">
        <f t="shared" ref="H81:P81" si="19">H71</f>
        <v>3983765136.7781153</v>
      </c>
      <c r="I81" s="383">
        <f t="shared" si="19"/>
        <v>12444185200</v>
      </c>
      <c r="J81" s="383">
        <f t="shared" si="19"/>
        <v>3538173000</v>
      </c>
      <c r="K81" s="383">
        <f t="shared" si="19"/>
        <v>3333521600</v>
      </c>
      <c r="L81" s="383">
        <f t="shared" si="19"/>
        <v>3789820800</v>
      </c>
      <c r="M81" s="383">
        <f t="shared" si="19"/>
        <v>3835619000</v>
      </c>
      <c r="N81" s="383">
        <f t="shared" si="19"/>
        <v>4176067200</v>
      </c>
      <c r="O81" s="383">
        <f t="shared" si="19"/>
        <v>4462898600</v>
      </c>
      <c r="P81" s="384">
        <f t="shared" si="19"/>
        <v>4369316400</v>
      </c>
      <c r="Q81" s="354"/>
      <c r="R81" s="354"/>
    </row>
    <row r="82" spans="7:18" x14ac:dyDescent="0.25">
      <c r="G82" s="377" t="s">
        <v>257</v>
      </c>
      <c r="H82" s="383">
        <f>H80*0.25</f>
        <v>3231657000</v>
      </c>
      <c r="I82" s="383">
        <f t="shared" ref="I82:P82" si="20">I80*0.25</f>
        <v>3329253041.4000006</v>
      </c>
      <c r="J82" s="383">
        <f t="shared" si="20"/>
        <v>3428477837.9280005</v>
      </c>
      <c r="K82" s="383">
        <f t="shared" si="20"/>
        <v>3529354205.0824203</v>
      </c>
      <c r="L82" s="383">
        <f t="shared" si="20"/>
        <v>3631905251.7961364</v>
      </c>
      <c r="M82" s="383">
        <f t="shared" si="20"/>
        <v>3736154384.0236177</v>
      </c>
      <c r="N82" s="383">
        <f t="shared" si="20"/>
        <v>3842125308.37047</v>
      </c>
      <c r="O82" s="383">
        <f t="shared" si="20"/>
        <v>3949842035.7658553</v>
      </c>
      <c r="P82" s="384">
        <f t="shared" si="20"/>
        <v>4059328885.1783133</v>
      </c>
      <c r="Q82" s="354"/>
    </row>
    <row r="83" spans="7:18" ht="15.75" thickBot="1" x14ac:dyDescent="0.3">
      <c r="G83" s="380" t="s">
        <v>9</v>
      </c>
      <c r="H83" s="381">
        <f t="shared" ref="H83:P83" si="21">H80-H82-H81</f>
        <v>5711205863.2218847</v>
      </c>
      <c r="I83" s="400">
        <f t="shared" si="21"/>
        <v>-2456426075.7999992</v>
      </c>
      <c r="J83" s="381">
        <f t="shared" si="21"/>
        <v>6747260513.7840004</v>
      </c>
      <c r="K83" s="381">
        <f t="shared" si="21"/>
        <v>7254541015.247261</v>
      </c>
      <c r="L83" s="381">
        <f t="shared" si="21"/>
        <v>7105894955.3884087</v>
      </c>
      <c r="M83" s="381">
        <f t="shared" si="21"/>
        <v>7372844152.0708542</v>
      </c>
      <c r="N83" s="381">
        <f t="shared" si="21"/>
        <v>7350308725.1114101</v>
      </c>
      <c r="O83" s="381">
        <f t="shared" si="21"/>
        <v>7386627507.2975655</v>
      </c>
      <c r="P83" s="382">
        <f t="shared" si="21"/>
        <v>7808670255.5349388</v>
      </c>
      <c r="Q83" s="354"/>
      <c r="R83" s="354"/>
    </row>
    <row r="84" spans="7:18" ht="15.75" thickBot="1" x14ac:dyDescent="0.3">
      <c r="G84" s="354"/>
      <c r="H84" s="354"/>
      <c r="I84" s="354"/>
      <c r="J84" s="354"/>
      <c r="K84" s="354"/>
      <c r="L84" s="354"/>
      <c r="M84" s="354"/>
      <c r="N84" s="354"/>
      <c r="O84" s="354"/>
      <c r="P84" s="354"/>
      <c r="Q84" s="354"/>
      <c r="R84" s="354"/>
    </row>
    <row r="85" spans="7:18" x14ac:dyDescent="0.25">
      <c r="G85" s="385" t="s">
        <v>108</v>
      </c>
      <c r="H85" s="386">
        <f>NPV(0.1,H83:P83)</f>
        <v>32289572261.030506</v>
      </c>
      <c r="I85" s="354"/>
      <c r="J85" s="354"/>
      <c r="K85" s="354"/>
      <c r="L85" s="354"/>
      <c r="M85" s="354"/>
      <c r="N85" s="354"/>
      <c r="O85" s="354"/>
      <c r="P85" s="354"/>
      <c r="Q85" s="354"/>
      <c r="R85" s="354"/>
    </row>
    <row r="86" spans="7:18" ht="15.75" thickBot="1" x14ac:dyDescent="0.3">
      <c r="G86" s="387" t="s">
        <v>109</v>
      </c>
      <c r="H86" s="388" t="str">
        <f>IFERROR(IRR(H83:P83,-99%), "N/A")</f>
        <v>N/A</v>
      </c>
      <c r="I86" s="354"/>
      <c r="J86" s="354"/>
      <c r="K86" s="354"/>
      <c r="L86" s="354"/>
      <c r="M86" s="354"/>
      <c r="N86" s="354"/>
      <c r="O86" s="354"/>
      <c r="P86" s="354"/>
      <c r="Q86" s="354"/>
    </row>
    <row r="87" spans="7:18" x14ac:dyDescent="0.25">
      <c r="G87" s="354"/>
      <c r="H87" s="354"/>
      <c r="I87" s="354"/>
      <c r="J87" s="354"/>
      <c r="K87" s="354"/>
      <c r="L87" s="354"/>
      <c r="M87" s="354"/>
      <c r="N87" s="354"/>
      <c r="O87" s="354"/>
      <c r="P87" s="354"/>
      <c r="Q87" s="354"/>
      <c r="R87" s="354"/>
    </row>
    <row r="88" spans="7:18" x14ac:dyDescent="0.25">
      <c r="G88" s="354"/>
      <c r="H88" s="354"/>
      <c r="I88" s="354"/>
      <c r="J88" s="354"/>
      <c r="K88" s="354"/>
      <c r="L88" s="354"/>
      <c r="M88" s="354"/>
      <c r="N88" s="354"/>
      <c r="O88" s="354"/>
      <c r="P88" s="354"/>
      <c r="Q88" s="354"/>
      <c r="R88" s="354"/>
    </row>
  </sheetData>
  <sheetProtection algorithmName="SHA-512" hashValue="iMw+qimnhC0uFtT8KZpYvGfEdfUumkeS/OAYEYfL7rv1bmACzyxib029Sg5rrP0kvhKJB0pUWlUehT7x/gniCw==" saltValue="LiV0kddqkrWRLlwHGlOiTg==" spinCount="100000" sheet="1" objects="1" scenarios="1"/>
  <protectedRanges>
    <protectedRange algorithmName="SHA-512" hashValue="mpsgZMQSUauxKCwKT4+PFhu6jsGgL5J9mB0ikUa1cLVUqoJPbH3OnBS89R6YOZt2lsteEeNjmWiE7qlYWopn0A==" saltValue="5W8ZnhQRxid2AXootBQAPA==" spinCount="100000" sqref="B4:D52" name="Range2"/>
    <protectedRange algorithmName="SHA-512" hashValue="+qDCu442/UKxHsCR3PIfSUiAs30pvMutlWnbQ/KBw0XRxFNFlxqFyoPscTm3lRBNtLJ7mVZv7mx9cS2Cre5FvA==" saltValue="4QgUMW/eZPqoReQHwtx1MQ==" spinCount="100000" sqref="G9:P26" name="Range1"/>
  </protectedRanges>
  <conditionalFormatting sqref="A87:XFD1048576 A86:Q86 S86:XFD86 A1:XFD85">
    <cfRule type="expression" dxfId="4" priority="1">
      <formula>"a1&lt;0"</formula>
    </cfRule>
  </conditionalFormatting>
  <pageMargins left="0.7" right="0.7" top="0.75" bottom="0.75" header="0.3" footer="0.3"/>
  <pageSetup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88"/>
  <sheetViews>
    <sheetView zoomScale="90" zoomScaleNormal="90" workbookViewId="0">
      <selection activeCell="A3" sqref="A3"/>
    </sheetView>
  </sheetViews>
  <sheetFormatPr defaultColWidth="8.85546875" defaultRowHeight="15" x14ac:dyDescent="0.25"/>
  <cols>
    <col min="1" max="2" width="8.85546875" style="318"/>
    <col min="3" max="3" width="25" style="318" customWidth="1"/>
    <col min="4" max="4" width="14" style="318" bestFit="1" customWidth="1"/>
    <col min="5" max="5" width="11.7109375" style="318" customWidth="1"/>
    <col min="6" max="6" width="8.85546875" style="318"/>
    <col min="7" max="7" width="31.28515625" style="318" customWidth="1"/>
    <col min="8" max="8" width="18.7109375" style="318" bestFit="1" customWidth="1"/>
    <col min="9" max="16" width="15.7109375" style="318" bestFit="1" customWidth="1"/>
    <col min="17" max="16384" width="8.85546875" style="318"/>
  </cols>
  <sheetData>
    <row r="1" spans="1:16" x14ac:dyDescent="0.25">
      <c r="A1" s="317" t="s">
        <v>301</v>
      </c>
    </row>
    <row r="2" spans="1:16" x14ac:dyDescent="0.25">
      <c r="A2" s="318" t="s">
        <v>112</v>
      </c>
      <c r="H2" s="396"/>
      <c r="I2" s="396"/>
      <c r="J2" s="396"/>
      <c r="K2" s="396"/>
      <c r="L2" s="396"/>
      <c r="M2" s="396"/>
      <c r="N2" s="396"/>
      <c r="O2" s="396"/>
      <c r="P2" s="396"/>
    </row>
    <row r="3" spans="1:16" x14ac:dyDescent="0.25">
      <c r="B3" s="318" t="s">
        <v>155</v>
      </c>
      <c r="H3" s="396"/>
      <c r="I3" s="396"/>
      <c r="J3" s="396"/>
      <c r="K3" s="396"/>
      <c r="L3" s="396"/>
      <c r="M3" s="396"/>
      <c r="N3" s="396"/>
      <c r="O3" s="396"/>
      <c r="P3" s="396"/>
    </row>
    <row r="4" spans="1:16" x14ac:dyDescent="0.25">
      <c r="C4" s="318" t="s">
        <v>157</v>
      </c>
      <c r="D4" s="319">
        <f>'4.  New TMo OVERALL'!C4*0.25</f>
        <v>21250</v>
      </c>
      <c r="E4" s="318" t="s">
        <v>145</v>
      </c>
      <c r="H4" s="396"/>
      <c r="I4" s="396"/>
      <c r="J4" s="396"/>
      <c r="K4" s="396"/>
      <c r="L4" s="396"/>
      <c r="M4" s="396"/>
      <c r="N4" s="396"/>
      <c r="O4" s="396"/>
      <c r="P4" s="396"/>
    </row>
    <row r="5" spans="1:16" x14ac:dyDescent="0.25">
      <c r="C5" s="318" t="s">
        <v>144</v>
      </c>
      <c r="D5" s="320">
        <f>'4.  New TMo OVERALL'!C5*0.3</f>
        <v>15000</v>
      </c>
      <c r="E5" s="318" t="s">
        <v>145</v>
      </c>
      <c r="H5" s="396"/>
      <c r="I5" s="396"/>
      <c r="J5" s="396"/>
      <c r="K5" s="396"/>
      <c r="L5" s="396"/>
      <c r="M5" s="396"/>
      <c r="N5" s="396"/>
      <c r="O5" s="396"/>
      <c r="P5" s="396"/>
    </row>
    <row r="6" spans="1:16" x14ac:dyDescent="0.25">
      <c r="C6" s="318" t="s">
        <v>249</v>
      </c>
      <c r="D6" s="319">
        <v>86872500</v>
      </c>
      <c r="E6" s="318" t="s">
        <v>250</v>
      </c>
    </row>
    <row r="7" spans="1:16" x14ac:dyDescent="0.25">
      <c r="C7" s="318" t="s">
        <v>303</v>
      </c>
      <c r="D7" s="321">
        <v>0.15</v>
      </c>
      <c r="E7" s="318" t="s">
        <v>251</v>
      </c>
    </row>
    <row r="8" spans="1:16" ht="15.75" thickBot="1" x14ac:dyDescent="0.3">
      <c r="H8" s="322">
        <v>2019</v>
      </c>
      <c r="I8" s="322">
        <v>2020</v>
      </c>
      <c r="J8" s="322">
        <v>2021</v>
      </c>
      <c r="K8" s="322">
        <v>2022</v>
      </c>
      <c r="L8" s="322">
        <v>2023</v>
      </c>
      <c r="M8" s="322">
        <v>2024</v>
      </c>
      <c r="N8" s="322">
        <v>2025</v>
      </c>
      <c r="O8" s="322">
        <v>2026</v>
      </c>
      <c r="P8" s="322">
        <v>2027</v>
      </c>
    </row>
    <row r="9" spans="1:16" s="317" customFormat="1" x14ac:dyDescent="0.25">
      <c r="A9" s="323"/>
      <c r="B9" s="324" t="s">
        <v>142</v>
      </c>
      <c r="C9" s="325"/>
      <c r="D9" s="325"/>
      <c r="E9" s="326"/>
      <c r="G9" s="327" t="s">
        <v>88</v>
      </c>
      <c r="H9" s="328" t="s">
        <v>8</v>
      </c>
      <c r="I9" s="328" t="s">
        <v>0</v>
      </c>
      <c r="J9" s="328" t="s">
        <v>1</v>
      </c>
      <c r="K9" s="328" t="s">
        <v>2</v>
      </c>
      <c r="L9" s="328" t="s">
        <v>3</v>
      </c>
      <c r="M9" s="328" t="s">
        <v>4</v>
      </c>
      <c r="N9" s="328" t="s">
        <v>5</v>
      </c>
      <c r="O9" s="328" t="s">
        <v>6</v>
      </c>
      <c r="P9" s="329" t="s">
        <v>7</v>
      </c>
    </row>
    <row r="10" spans="1:16" x14ac:dyDescent="0.25">
      <c r="A10" s="330"/>
      <c r="B10" s="331"/>
      <c r="C10" s="332" t="s">
        <v>154</v>
      </c>
      <c r="D10" s="336">
        <v>30</v>
      </c>
      <c r="E10" s="334" t="s">
        <v>68</v>
      </c>
      <c r="G10" s="335" t="s">
        <v>15</v>
      </c>
      <c r="H10" s="306">
        <f>'3.  USA Urban'!H10*1.4</f>
        <v>18.2</v>
      </c>
      <c r="I10" s="306">
        <f>'3.  USA Urban'!I10*1.35</f>
        <v>24.57</v>
      </c>
      <c r="J10" s="306">
        <f>'3.  USA Urban'!J10*1.3</f>
        <v>33.123999999999995</v>
      </c>
      <c r="K10" s="306">
        <f>'3.  USA Urban'!K10*1.25</f>
        <v>46.18249999999999</v>
      </c>
      <c r="L10" s="306">
        <f>'3.  USA Urban'!L10*1.2</f>
        <v>64.286039999999986</v>
      </c>
      <c r="M10" s="306">
        <f>'3.  USA Urban'!M10*1.15</f>
        <v>86.250436999999962</v>
      </c>
      <c r="N10" s="306">
        <f>'3.  USA Urban'!N10*1.1</f>
        <v>111.37556429999999</v>
      </c>
      <c r="O10" s="306">
        <f>'3.  USA Urban'!O10*1.05</f>
        <v>138.20695024499997</v>
      </c>
      <c r="P10" s="307">
        <f>'3.  USA Urban'!P10*1</f>
        <v>164.53208362499996</v>
      </c>
    </row>
    <row r="11" spans="1:16" x14ac:dyDescent="0.25">
      <c r="A11" s="330"/>
      <c r="B11" s="331"/>
      <c r="C11" s="332" t="s">
        <v>67</v>
      </c>
      <c r="D11" s="336">
        <v>2</v>
      </c>
      <c r="E11" s="334" t="s">
        <v>69</v>
      </c>
      <c r="G11" s="331" t="s">
        <v>115</v>
      </c>
      <c r="H11" s="308">
        <v>0.3</v>
      </c>
      <c r="I11" s="308">
        <v>0.3</v>
      </c>
      <c r="J11" s="308">
        <v>0.3</v>
      </c>
      <c r="K11" s="308">
        <v>0.3</v>
      </c>
      <c r="L11" s="308">
        <v>0.3</v>
      </c>
      <c r="M11" s="308">
        <v>0.3</v>
      </c>
      <c r="N11" s="308">
        <v>0.3</v>
      </c>
      <c r="O11" s="308">
        <v>0.3</v>
      </c>
      <c r="P11" s="309">
        <v>0.3</v>
      </c>
    </row>
    <row r="12" spans="1:16" ht="15.75" thickBot="1" x14ac:dyDescent="0.3">
      <c r="A12" s="330"/>
      <c r="B12" s="337"/>
      <c r="C12" s="338" t="s">
        <v>126</v>
      </c>
      <c r="D12" s="339">
        <f>D10*D11*60*60*24*30*3*D7/8/1000</f>
        <v>8748</v>
      </c>
      <c r="E12" s="340"/>
      <c r="G12" s="341" t="s">
        <v>116</v>
      </c>
      <c r="H12" s="310">
        <f>H11*$D6</f>
        <v>26061750</v>
      </c>
      <c r="I12" s="310">
        <f>I11*$D6*1.02</f>
        <v>26582985</v>
      </c>
      <c r="J12" s="310">
        <f>J11*$D6*1.04</f>
        <v>27104220</v>
      </c>
      <c r="K12" s="310">
        <f>K11*$D6*1.06</f>
        <v>27625455</v>
      </c>
      <c r="L12" s="310">
        <f>L11*$D6*1.08</f>
        <v>28146690</v>
      </c>
      <c r="M12" s="310">
        <f>M11*$D6*1.1</f>
        <v>28667925.000000004</v>
      </c>
      <c r="N12" s="310">
        <f>N11*$D6*1.12</f>
        <v>29189160.000000004</v>
      </c>
      <c r="O12" s="310">
        <f>O11*$D6*1.14</f>
        <v>29710394.999999996</v>
      </c>
      <c r="P12" s="311">
        <f>P11*$D6*1.16</f>
        <v>30231629.999999996</v>
      </c>
    </row>
    <row r="13" spans="1:16" ht="15.75" thickBot="1" x14ac:dyDescent="0.3">
      <c r="A13" s="330"/>
      <c r="B13" s="342" t="s">
        <v>143</v>
      </c>
      <c r="C13" s="323"/>
      <c r="D13" s="323"/>
      <c r="E13" s="343"/>
      <c r="G13" s="344" t="s">
        <v>117</v>
      </c>
      <c r="H13" s="312">
        <f>H12*H10</f>
        <v>474323850</v>
      </c>
      <c r="I13" s="312">
        <f t="shared" ref="I13:P13" si="0">I12*I10</f>
        <v>653143941.45000005</v>
      </c>
      <c r="J13" s="312">
        <f t="shared" si="0"/>
        <v>897800183.27999985</v>
      </c>
      <c r="K13" s="312">
        <f t="shared" si="0"/>
        <v>1275812575.5374997</v>
      </c>
      <c r="L13" s="312">
        <f t="shared" si="0"/>
        <v>1809439239.2075996</v>
      </c>
      <c r="M13" s="312">
        <f t="shared" si="0"/>
        <v>2472621059.133224</v>
      </c>
      <c r="N13" s="312">
        <f t="shared" si="0"/>
        <v>3250959166.4429884</v>
      </c>
      <c r="O13" s="312">
        <f t="shared" si="0"/>
        <v>4106183083.5242953</v>
      </c>
      <c r="P13" s="313">
        <f t="shared" si="0"/>
        <v>4974073075.280057</v>
      </c>
    </row>
    <row r="14" spans="1:16" x14ac:dyDescent="0.25">
      <c r="A14" s="330"/>
      <c r="B14" s="331"/>
      <c r="C14" s="332" t="s">
        <v>66</v>
      </c>
      <c r="D14" s="336">
        <v>20</v>
      </c>
      <c r="E14" s="334" t="s">
        <v>68</v>
      </c>
      <c r="G14" s="317"/>
      <c r="H14" s="314"/>
      <c r="I14" s="314"/>
      <c r="J14" s="314"/>
      <c r="K14" s="314"/>
      <c r="L14" s="314"/>
      <c r="M14" s="314"/>
      <c r="N14" s="314"/>
      <c r="O14" s="314"/>
      <c r="P14" s="314"/>
    </row>
    <row r="15" spans="1:16" s="317" customFormat="1" x14ac:dyDescent="0.25">
      <c r="A15" s="323"/>
      <c r="B15" s="331"/>
      <c r="C15" s="332" t="s">
        <v>67</v>
      </c>
      <c r="D15" s="336">
        <v>2</v>
      </c>
      <c r="E15" s="334" t="s">
        <v>69</v>
      </c>
      <c r="G15" s="345" t="s">
        <v>123</v>
      </c>
      <c r="H15" s="315"/>
      <c r="I15" s="315"/>
      <c r="J15" s="315"/>
      <c r="K15" s="315"/>
      <c r="L15" s="315"/>
      <c r="M15" s="315"/>
      <c r="N15" s="315"/>
      <c r="O15" s="315"/>
      <c r="P15" s="315"/>
    </row>
    <row r="16" spans="1:16" ht="15.75" thickBot="1" x14ac:dyDescent="0.3">
      <c r="A16" s="330"/>
      <c r="B16" s="331"/>
      <c r="C16" s="332" t="s">
        <v>126</v>
      </c>
      <c r="D16" s="333">
        <f>D14*D15*60*60*24*30*3*D7/8/1000</f>
        <v>5832</v>
      </c>
      <c r="E16" s="334"/>
      <c r="G16" s="345" t="s">
        <v>128</v>
      </c>
      <c r="H16" s="316">
        <v>0.95</v>
      </c>
      <c r="I16" s="316">
        <f>I17</f>
        <v>1</v>
      </c>
      <c r="J16" s="316">
        <f t="shared" ref="J16:P16" si="1">J17</f>
        <v>1.01</v>
      </c>
      <c r="K16" s="316">
        <f t="shared" si="1"/>
        <v>1.02</v>
      </c>
      <c r="L16" s="316">
        <f t="shared" si="1"/>
        <v>1.03</v>
      </c>
      <c r="M16" s="316">
        <f t="shared" si="1"/>
        <v>1.04</v>
      </c>
      <c r="N16" s="316">
        <f t="shared" si="1"/>
        <v>1.05</v>
      </c>
      <c r="O16" s="316">
        <f t="shared" si="1"/>
        <v>1.06</v>
      </c>
      <c r="P16" s="316">
        <f t="shared" si="1"/>
        <v>1.07</v>
      </c>
    </row>
    <row r="17" spans="1:18" x14ac:dyDescent="0.25">
      <c r="A17" s="330"/>
      <c r="B17" s="324" t="s">
        <v>147</v>
      </c>
      <c r="C17" s="325"/>
      <c r="D17" s="325"/>
      <c r="E17" s="326"/>
      <c r="G17" s="345" t="s">
        <v>121</v>
      </c>
      <c r="H17" s="316">
        <v>0.9</v>
      </c>
      <c r="I17" s="316">
        <v>1</v>
      </c>
      <c r="J17" s="316">
        <v>1.01</v>
      </c>
      <c r="K17" s="316">
        <v>1.02</v>
      </c>
      <c r="L17" s="316">
        <v>1.03</v>
      </c>
      <c r="M17" s="316">
        <v>1.04</v>
      </c>
      <c r="N17" s="316">
        <v>1.05</v>
      </c>
      <c r="O17" s="316">
        <v>1.06</v>
      </c>
      <c r="P17" s="316">
        <v>1.07</v>
      </c>
    </row>
    <row r="18" spans="1:18" x14ac:dyDescent="0.25">
      <c r="A18" s="330"/>
      <c r="B18" s="331"/>
      <c r="C18" s="332" t="s">
        <v>161</v>
      </c>
      <c r="D18" s="336">
        <v>100</v>
      </c>
      <c r="E18" s="334" t="s">
        <v>68</v>
      </c>
      <c r="G18" s="345" t="s">
        <v>122</v>
      </c>
      <c r="H18" s="316">
        <v>0.99</v>
      </c>
      <c r="I18" s="316">
        <v>1</v>
      </c>
      <c r="J18" s="316">
        <v>1.01</v>
      </c>
      <c r="K18" s="316">
        <v>1.02</v>
      </c>
      <c r="L18" s="316">
        <v>1.03</v>
      </c>
      <c r="M18" s="316">
        <v>1.04</v>
      </c>
      <c r="N18" s="316">
        <v>1.05</v>
      </c>
      <c r="O18" s="316">
        <v>1.06</v>
      </c>
      <c r="P18" s="316">
        <v>1.07</v>
      </c>
    </row>
    <row r="19" spans="1:18" x14ac:dyDescent="0.25">
      <c r="A19" s="330"/>
      <c r="B19" s="331"/>
      <c r="C19" s="332" t="s">
        <v>67</v>
      </c>
      <c r="D19" s="336">
        <v>2</v>
      </c>
      <c r="E19" s="334" t="s">
        <v>69</v>
      </c>
      <c r="G19" s="345" t="s">
        <v>120</v>
      </c>
      <c r="H19" s="316">
        <v>0.1</v>
      </c>
      <c r="I19" s="316">
        <v>0.15</v>
      </c>
      <c r="J19" s="316"/>
      <c r="K19" s="316"/>
      <c r="L19" s="316"/>
      <c r="M19" s="316"/>
      <c r="N19" s="316"/>
      <c r="O19" s="316"/>
      <c r="P19" s="316"/>
    </row>
    <row r="20" spans="1:18" ht="15.75" thickBot="1" x14ac:dyDescent="0.3">
      <c r="A20" s="330"/>
      <c r="B20" s="337"/>
      <c r="C20" s="338" t="s">
        <v>126</v>
      </c>
      <c r="D20" s="339">
        <f>D18*D19*60*60*24*30*3*D7/8/1000</f>
        <v>29160</v>
      </c>
      <c r="E20" s="340"/>
      <c r="G20" s="345" t="s">
        <v>131</v>
      </c>
      <c r="H20" s="316">
        <v>0</v>
      </c>
      <c r="I20" s="316">
        <v>0</v>
      </c>
      <c r="J20" s="316">
        <v>0.1</v>
      </c>
      <c r="K20" s="316">
        <v>0.3</v>
      </c>
      <c r="L20" s="316">
        <v>0.4</v>
      </c>
      <c r="M20" s="316">
        <v>0.3</v>
      </c>
      <c r="N20" s="316">
        <v>0.15</v>
      </c>
      <c r="O20" s="316">
        <v>0</v>
      </c>
      <c r="P20" s="316">
        <v>0</v>
      </c>
      <c r="R20" s="354"/>
    </row>
    <row r="21" spans="1:18" s="317" customFormat="1" x14ac:dyDescent="0.25">
      <c r="A21" s="323"/>
      <c r="B21" s="342" t="s">
        <v>138</v>
      </c>
      <c r="C21" s="323"/>
      <c r="D21" s="323"/>
      <c r="E21" s="343"/>
      <c r="F21" s="318"/>
      <c r="G21" s="345" t="s">
        <v>130</v>
      </c>
      <c r="H21" s="316">
        <v>0</v>
      </c>
      <c r="I21" s="316">
        <v>0</v>
      </c>
      <c r="J21" s="316">
        <v>0.1</v>
      </c>
      <c r="K21" s="316">
        <v>0.2</v>
      </c>
      <c r="L21" s="316">
        <v>0.3</v>
      </c>
      <c r="M21" s="316">
        <v>0.5</v>
      </c>
      <c r="N21" s="316">
        <v>0.6</v>
      </c>
      <c r="O21" s="316">
        <v>0.7</v>
      </c>
      <c r="P21" s="316">
        <v>0.8</v>
      </c>
      <c r="Q21" s="318"/>
      <c r="R21" s="354"/>
    </row>
    <row r="22" spans="1:18" x14ac:dyDescent="0.25">
      <c r="A22" s="330"/>
      <c r="B22" s="331"/>
      <c r="C22" s="332" t="s">
        <v>74</v>
      </c>
      <c r="D22" s="336">
        <v>140</v>
      </c>
      <c r="E22" s="334" t="s">
        <v>68</v>
      </c>
      <c r="G22" s="345" t="s">
        <v>132</v>
      </c>
      <c r="H22" s="316">
        <v>0</v>
      </c>
      <c r="I22" s="316">
        <v>0</v>
      </c>
      <c r="J22" s="316">
        <v>0.1</v>
      </c>
      <c r="K22" s="316">
        <v>0.2</v>
      </c>
      <c r="L22" s="316">
        <v>0.3</v>
      </c>
      <c r="M22" s="316">
        <v>0.3</v>
      </c>
      <c r="N22" s="316">
        <v>0.3</v>
      </c>
      <c r="O22" s="316">
        <v>0.3</v>
      </c>
      <c r="P22" s="316">
        <v>0.3</v>
      </c>
      <c r="R22" s="354"/>
    </row>
    <row r="23" spans="1:18" x14ac:dyDescent="0.25">
      <c r="A23" s="330"/>
      <c r="B23" s="331"/>
      <c r="C23" s="332" t="s">
        <v>67</v>
      </c>
      <c r="D23" s="336">
        <v>2</v>
      </c>
      <c r="E23" s="334" t="s">
        <v>69</v>
      </c>
      <c r="G23" s="345" t="s">
        <v>133</v>
      </c>
      <c r="H23" s="316">
        <v>0</v>
      </c>
      <c r="I23" s="316">
        <v>0</v>
      </c>
      <c r="J23" s="316">
        <v>0</v>
      </c>
      <c r="K23" s="316">
        <v>0</v>
      </c>
      <c r="L23" s="316">
        <v>0.1</v>
      </c>
      <c r="M23" s="316">
        <v>0.3</v>
      </c>
      <c r="N23" s="316">
        <v>0.6</v>
      </c>
      <c r="O23" s="316">
        <v>0.9</v>
      </c>
      <c r="P23" s="316">
        <v>1</v>
      </c>
      <c r="R23" s="354"/>
    </row>
    <row r="24" spans="1:18" ht="15.75" thickBot="1" x14ac:dyDescent="0.3">
      <c r="A24" s="330"/>
      <c r="B24" s="331"/>
      <c r="C24" s="332" t="s">
        <v>126</v>
      </c>
      <c r="D24" s="339">
        <f>D22*D23*60*60*24*30*3*D7/8/1000</f>
        <v>40824</v>
      </c>
      <c r="E24" s="334"/>
      <c r="G24" s="345" t="s">
        <v>152</v>
      </c>
      <c r="H24" s="316">
        <v>0.3</v>
      </c>
      <c r="I24" s="316">
        <v>0</v>
      </c>
      <c r="J24" s="316">
        <v>0</v>
      </c>
      <c r="K24" s="316">
        <v>0</v>
      </c>
      <c r="L24" s="316">
        <v>0</v>
      </c>
      <c r="M24" s="316">
        <v>0</v>
      </c>
      <c r="N24" s="316">
        <v>0</v>
      </c>
      <c r="O24" s="316">
        <v>0</v>
      </c>
      <c r="P24" s="316">
        <v>0</v>
      </c>
      <c r="R24" s="354"/>
    </row>
    <row r="25" spans="1:18" x14ac:dyDescent="0.25">
      <c r="A25" s="330"/>
      <c r="B25" s="324" t="s">
        <v>137</v>
      </c>
      <c r="C25" s="325"/>
      <c r="D25" s="325"/>
      <c r="E25" s="326"/>
      <c r="G25" s="345" t="s">
        <v>153</v>
      </c>
      <c r="H25" s="316">
        <v>0</v>
      </c>
      <c r="I25" s="316">
        <v>0.1</v>
      </c>
      <c r="J25" s="316">
        <v>0.1</v>
      </c>
      <c r="K25" s="316">
        <v>0.2</v>
      </c>
      <c r="L25" s="316">
        <v>0.3</v>
      </c>
      <c r="M25" s="316">
        <v>0.6</v>
      </c>
      <c r="N25" s="316">
        <v>0.9</v>
      </c>
      <c r="O25" s="316">
        <v>1</v>
      </c>
      <c r="P25" s="316">
        <v>1</v>
      </c>
      <c r="Q25" s="396"/>
      <c r="R25" s="354"/>
    </row>
    <row r="26" spans="1:18" x14ac:dyDescent="0.25">
      <c r="A26" s="330"/>
      <c r="B26" s="331"/>
      <c r="C26" s="332" t="s">
        <v>74</v>
      </c>
      <c r="D26" s="336">
        <v>140</v>
      </c>
      <c r="E26" s="334" t="s">
        <v>68</v>
      </c>
      <c r="G26" s="345" t="s">
        <v>119</v>
      </c>
      <c r="H26" s="316">
        <v>0.01</v>
      </c>
      <c r="I26" s="316">
        <v>0.01</v>
      </c>
      <c r="J26" s="316">
        <v>0.01</v>
      </c>
      <c r="K26" s="316">
        <v>0.01</v>
      </c>
      <c r="L26" s="316">
        <v>0.01</v>
      </c>
      <c r="M26" s="316">
        <v>0.02</v>
      </c>
      <c r="N26" s="316">
        <v>0.03</v>
      </c>
      <c r="O26" s="316">
        <v>0.03</v>
      </c>
      <c r="P26" s="316">
        <v>0.03</v>
      </c>
      <c r="R26" s="354"/>
    </row>
    <row r="27" spans="1:18" ht="15.75" thickBot="1" x14ac:dyDescent="0.3">
      <c r="A27" s="330"/>
      <c r="B27" s="331"/>
      <c r="C27" s="332" t="s">
        <v>67</v>
      </c>
      <c r="D27" s="336">
        <v>2</v>
      </c>
      <c r="E27" s="334" t="s">
        <v>69</v>
      </c>
      <c r="R27" s="354"/>
    </row>
    <row r="28" spans="1:18" ht="15.75" thickBot="1" x14ac:dyDescent="0.3">
      <c r="A28" s="330"/>
      <c r="B28" s="337"/>
      <c r="C28" s="338" t="s">
        <v>126</v>
      </c>
      <c r="D28" s="339">
        <f>D26*D27*60*60*24*30*3*D7/8/1000</f>
        <v>40824</v>
      </c>
      <c r="E28" s="340"/>
      <c r="G28" s="347" t="s">
        <v>87</v>
      </c>
      <c r="H28" s="348" t="s">
        <v>8</v>
      </c>
      <c r="I28" s="348" t="s">
        <v>0</v>
      </c>
      <c r="J28" s="348" t="s">
        <v>1</v>
      </c>
      <c r="K28" s="348" t="s">
        <v>2</v>
      </c>
      <c r="L28" s="348" t="s">
        <v>3</v>
      </c>
      <c r="M28" s="348" t="s">
        <v>4</v>
      </c>
      <c r="N28" s="348" t="s">
        <v>5</v>
      </c>
      <c r="O28" s="348" t="s">
        <v>6</v>
      </c>
      <c r="P28" s="349" t="s">
        <v>7</v>
      </c>
    </row>
    <row r="29" spans="1:18" x14ac:dyDescent="0.25">
      <c r="A29" s="330"/>
      <c r="B29" s="324" t="s">
        <v>136</v>
      </c>
      <c r="C29" s="325"/>
      <c r="D29" s="325"/>
      <c r="E29" s="326"/>
      <c r="G29" s="350" t="s">
        <v>128</v>
      </c>
      <c r="H29" s="351">
        <f t="shared" ref="H29:P29" si="2">H16*$D12*$D4</f>
        <v>176600250</v>
      </c>
      <c r="I29" s="351">
        <f t="shared" si="2"/>
        <v>185895000</v>
      </c>
      <c r="J29" s="351">
        <f t="shared" si="2"/>
        <v>187753950</v>
      </c>
      <c r="K29" s="351">
        <f t="shared" si="2"/>
        <v>189612900.00000003</v>
      </c>
      <c r="L29" s="351">
        <f t="shared" si="2"/>
        <v>191471850</v>
      </c>
      <c r="M29" s="351">
        <f t="shared" si="2"/>
        <v>193330800</v>
      </c>
      <c r="N29" s="351">
        <f t="shared" si="2"/>
        <v>195189750</v>
      </c>
      <c r="O29" s="351">
        <f t="shared" si="2"/>
        <v>197048700.00000003</v>
      </c>
      <c r="P29" s="352">
        <f t="shared" si="2"/>
        <v>198907650</v>
      </c>
    </row>
    <row r="30" spans="1:18" x14ac:dyDescent="0.25">
      <c r="A30" s="330"/>
      <c r="B30" s="331"/>
      <c r="C30" s="332" t="s">
        <v>74</v>
      </c>
      <c r="D30" s="336">
        <v>140</v>
      </c>
      <c r="E30" s="334" t="s">
        <v>68</v>
      </c>
      <c r="F30" s="353"/>
      <c r="G30" s="350" t="s">
        <v>121</v>
      </c>
      <c r="H30" s="351">
        <f t="shared" ref="H30:P30" si="3">H17*$D16*$D4</f>
        <v>111537000</v>
      </c>
      <c r="I30" s="351">
        <f t="shared" si="3"/>
        <v>123930000</v>
      </c>
      <c r="J30" s="351">
        <f t="shared" si="3"/>
        <v>125169300</v>
      </c>
      <c r="K30" s="351">
        <f t="shared" si="3"/>
        <v>126408600</v>
      </c>
      <c r="L30" s="351">
        <f t="shared" si="3"/>
        <v>127647900</v>
      </c>
      <c r="M30" s="351">
        <f t="shared" si="3"/>
        <v>128887200.00000001</v>
      </c>
      <c r="N30" s="351">
        <f t="shared" si="3"/>
        <v>130126500.00000001</v>
      </c>
      <c r="O30" s="351">
        <f t="shared" si="3"/>
        <v>131365800</v>
      </c>
      <c r="P30" s="352">
        <f t="shared" si="3"/>
        <v>132605100.00000001</v>
      </c>
      <c r="Q30" s="330"/>
    </row>
    <row r="31" spans="1:18" x14ac:dyDescent="0.25">
      <c r="A31" s="330"/>
      <c r="B31" s="331"/>
      <c r="C31" s="332" t="s">
        <v>67</v>
      </c>
      <c r="D31" s="336">
        <v>6</v>
      </c>
      <c r="E31" s="334" t="s">
        <v>69</v>
      </c>
      <c r="F31" s="353"/>
      <c r="G31" s="350" t="s">
        <v>122</v>
      </c>
      <c r="H31" s="351">
        <f t="shared" ref="H31:P31" si="4">H18*$D20*$D4</f>
        <v>613453500</v>
      </c>
      <c r="I31" s="351">
        <f t="shared" si="4"/>
        <v>619650000</v>
      </c>
      <c r="J31" s="351">
        <f t="shared" si="4"/>
        <v>625846500</v>
      </c>
      <c r="K31" s="351">
        <f t="shared" si="4"/>
        <v>632043000</v>
      </c>
      <c r="L31" s="351">
        <f t="shared" si="4"/>
        <v>638239500</v>
      </c>
      <c r="M31" s="351">
        <f t="shared" si="4"/>
        <v>644436000</v>
      </c>
      <c r="N31" s="351">
        <f t="shared" si="4"/>
        <v>650632500</v>
      </c>
      <c r="O31" s="351">
        <f t="shared" si="4"/>
        <v>656829000</v>
      </c>
      <c r="P31" s="352">
        <f t="shared" si="4"/>
        <v>663025500</v>
      </c>
      <c r="Q31" s="330"/>
    </row>
    <row r="32" spans="1:18" ht="15.75" thickBot="1" x14ac:dyDescent="0.3">
      <c r="A32" s="330"/>
      <c r="B32" s="337"/>
      <c r="C32" s="338" t="s">
        <v>126</v>
      </c>
      <c r="D32" s="339">
        <f>D30*D31*60*60*24*30*3*D7/8/1000</f>
        <v>122472</v>
      </c>
      <c r="E32" s="340"/>
      <c r="G32" s="350" t="s">
        <v>120</v>
      </c>
      <c r="H32" s="351">
        <f t="shared" ref="H32:P32" si="5">H19*$D24*$D4</f>
        <v>86751000</v>
      </c>
      <c r="I32" s="351">
        <f t="shared" si="5"/>
        <v>130126499.99999999</v>
      </c>
      <c r="J32" s="351">
        <f t="shared" si="5"/>
        <v>0</v>
      </c>
      <c r="K32" s="351">
        <f t="shared" si="5"/>
        <v>0</v>
      </c>
      <c r="L32" s="351">
        <f t="shared" si="5"/>
        <v>0</v>
      </c>
      <c r="M32" s="351">
        <f t="shared" si="5"/>
        <v>0</v>
      </c>
      <c r="N32" s="351">
        <f t="shared" si="5"/>
        <v>0</v>
      </c>
      <c r="O32" s="351">
        <f t="shared" si="5"/>
        <v>0</v>
      </c>
      <c r="P32" s="352">
        <f t="shared" si="5"/>
        <v>0</v>
      </c>
    </row>
    <row r="33" spans="1:18" x14ac:dyDescent="0.25">
      <c r="A33" s="330"/>
      <c r="B33" s="324" t="s">
        <v>135</v>
      </c>
      <c r="C33" s="355"/>
      <c r="D33" s="356"/>
      <c r="E33" s="357"/>
      <c r="G33" s="350" t="s">
        <v>124</v>
      </c>
      <c r="H33" s="351">
        <f t="shared" ref="H33:P33" si="6">+H20*$D28*$D4</f>
        <v>0</v>
      </c>
      <c r="I33" s="351">
        <f t="shared" si="6"/>
        <v>0</v>
      </c>
      <c r="J33" s="351">
        <f t="shared" si="6"/>
        <v>86751000</v>
      </c>
      <c r="K33" s="351">
        <f t="shared" si="6"/>
        <v>260252999.99999997</v>
      </c>
      <c r="L33" s="351">
        <f t="shared" si="6"/>
        <v>347004000</v>
      </c>
      <c r="M33" s="351">
        <f t="shared" si="6"/>
        <v>260252999.99999997</v>
      </c>
      <c r="N33" s="351">
        <f t="shared" si="6"/>
        <v>130126499.99999999</v>
      </c>
      <c r="O33" s="351">
        <f t="shared" si="6"/>
        <v>0</v>
      </c>
      <c r="P33" s="352">
        <f t="shared" si="6"/>
        <v>0</v>
      </c>
    </row>
    <row r="34" spans="1:18" x14ac:dyDescent="0.25">
      <c r="A34" s="330"/>
      <c r="B34" s="331"/>
      <c r="C34" s="332" t="s">
        <v>74</v>
      </c>
      <c r="D34" s="336">
        <v>40</v>
      </c>
      <c r="E34" s="334" t="s">
        <v>68</v>
      </c>
      <c r="G34" s="350" t="s">
        <v>118</v>
      </c>
      <c r="H34" s="351">
        <f t="shared" ref="H34:P34" si="7">+H21*$D32*$D4</f>
        <v>0</v>
      </c>
      <c r="I34" s="351">
        <f t="shared" si="7"/>
        <v>0</v>
      </c>
      <c r="J34" s="351">
        <f t="shared" si="7"/>
        <v>260253000.00000003</v>
      </c>
      <c r="K34" s="351">
        <f t="shared" si="7"/>
        <v>520506000.00000006</v>
      </c>
      <c r="L34" s="351">
        <f t="shared" si="7"/>
        <v>780759000</v>
      </c>
      <c r="M34" s="351">
        <f t="shared" si="7"/>
        <v>1301265000</v>
      </c>
      <c r="N34" s="351">
        <f t="shared" si="7"/>
        <v>1561518000</v>
      </c>
      <c r="O34" s="351">
        <f t="shared" si="7"/>
        <v>1821770999.9999998</v>
      </c>
      <c r="P34" s="352">
        <f t="shared" si="7"/>
        <v>2082024000.0000002</v>
      </c>
    </row>
    <row r="35" spans="1:18" x14ac:dyDescent="0.25">
      <c r="A35" s="330"/>
      <c r="B35" s="331"/>
      <c r="C35" s="332" t="s">
        <v>67</v>
      </c>
      <c r="D35" s="336">
        <v>5.7</v>
      </c>
      <c r="E35" s="334" t="s">
        <v>69</v>
      </c>
      <c r="G35" s="350" t="s">
        <v>132</v>
      </c>
      <c r="H35" s="351">
        <f t="shared" ref="H35:P35" si="8">+H22*$D36*($D4+$D5)</f>
        <v>0</v>
      </c>
      <c r="I35" s="351">
        <f t="shared" si="8"/>
        <v>0</v>
      </c>
      <c r="J35" s="351">
        <f t="shared" si="8"/>
        <v>120503700.00000001</v>
      </c>
      <c r="K35" s="351">
        <f t="shared" si="8"/>
        <v>241007400.00000003</v>
      </c>
      <c r="L35" s="351">
        <f t="shared" si="8"/>
        <v>361511100</v>
      </c>
      <c r="M35" s="351">
        <f t="shared" si="8"/>
        <v>361511100</v>
      </c>
      <c r="N35" s="351">
        <f t="shared" si="8"/>
        <v>361511100</v>
      </c>
      <c r="O35" s="351">
        <f t="shared" si="8"/>
        <v>361511100</v>
      </c>
      <c r="P35" s="352">
        <f t="shared" si="8"/>
        <v>361511100</v>
      </c>
    </row>
    <row r="36" spans="1:18" ht="15.75" thickBot="1" x14ac:dyDescent="0.3">
      <c r="A36" s="330"/>
      <c r="B36" s="337"/>
      <c r="C36" s="338" t="s">
        <v>126</v>
      </c>
      <c r="D36" s="389">
        <f>D34*D35*60*60*24*30*3*D7/8/1000</f>
        <v>33242.400000000001</v>
      </c>
      <c r="E36" s="340"/>
      <c r="F36" s="317"/>
      <c r="G36" s="350" t="s">
        <v>133</v>
      </c>
      <c r="H36" s="351">
        <f t="shared" ref="H36:P36" si="9">+H23*$D40*$D4</f>
        <v>0</v>
      </c>
      <c r="I36" s="351">
        <f t="shared" si="9"/>
        <v>0</v>
      </c>
      <c r="J36" s="351">
        <f t="shared" si="9"/>
        <v>0</v>
      </c>
      <c r="K36" s="351">
        <f t="shared" si="9"/>
        <v>0</v>
      </c>
      <c r="L36" s="351">
        <f t="shared" si="9"/>
        <v>176600250</v>
      </c>
      <c r="M36" s="351">
        <f t="shared" si="9"/>
        <v>529800750</v>
      </c>
      <c r="N36" s="351">
        <f t="shared" si="9"/>
        <v>1059601500</v>
      </c>
      <c r="O36" s="351">
        <f t="shared" si="9"/>
        <v>1589402250.0000002</v>
      </c>
      <c r="P36" s="352">
        <f t="shared" si="9"/>
        <v>1766002500</v>
      </c>
    </row>
    <row r="37" spans="1:18" x14ac:dyDescent="0.25">
      <c r="A37" s="330"/>
      <c r="B37" s="342" t="s">
        <v>134</v>
      </c>
      <c r="C37" s="332"/>
      <c r="D37" s="333"/>
      <c r="E37" s="334"/>
      <c r="G37" s="350" t="s">
        <v>149</v>
      </c>
      <c r="H37" s="351">
        <f t="shared" ref="H37:P37" si="10">H24*$D$44*$D$5</f>
        <v>157464000</v>
      </c>
      <c r="I37" s="351">
        <f t="shared" si="10"/>
        <v>0</v>
      </c>
      <c r="J37" s="351">
        <f t="shared" si="10"/>
        <v>0</v>
      </c>
      <c r="K37" s="351">
        <f t="shared" si="10"/>
        <v>0</v>
      </c>
      <c r="L37" s="351">
        <f t="shared" si="10"/>
        <v>0</v>
      </c>
      <c r="M37" s="351">
        <f t="shared" si="10"/>
        <v>0</v>
      </c>
      <c r="N37" s="351">
        <f t="shared" si="10"/>
        <v>0</v>
      </c>
      <c r="O37" s="351">
        <f t="shared" si="10"/>
        <v>0</v>
      </c>
      <c r="P37" s="352">
        <f t="shared" si="10"/>
        <v>0</v>
      </c>
    </row>
    <row r="38" spans="1:18" x14ac:dyDescent="0.25">
      <c r="A38" s="330"/>
      <c r="B38" s="331"/>
      <c r="C38" s="332" t="s">
        <v>74</v>
      </c>
      <c r="D38" s="336">
        <v>100</v>
      </c>
      <c r="E38" s="334" t="s">
        <v>68</v>
      </c>
      <c r="G38" s="350" t="s">
        <v>150</v>
      </c>
      <c r="H38" s="351">
        <f t="shared" ref="H38:P38" si="11">H25*$D5*$D48</f>
        <v>0</v>
      </c>
      <c r="I38" s="351">
        <f t="shared" si="11"/>
        <v>122472000</v>
      </c>
      <c r="J38" s="351">
        <f t="shared" si="11"/>
        <v>122472000</v>
      </c>
      <c r="K38" s="351">
        <f t="shared" si="11"/>
        <v>244944000</v>
      </c>
      <c r="L38" s="351">
        <f t="shared" si="11"/>
        <v>367416000</v>
      </c>
      <c r="M38" s="351">
        <f t="shared" si="11"/>
        <v>734832000</v>
      </c>
      <c r="N38" s="351">
        <f t="shared" si="11"/>
        <v>1102248000</v>
      </c>
      <c r="O38" s="351">
        <f t="shared" si="11"/>
        <v>1224720000</v>
      </c>
      <c r="P38" s="352">
        <f t="shared" si="11"/>
        <v>1224720000</v>
      </c>
    </row>
    <row r="39" spans="1:18" x14ac:dyDescent="0.25">
      <c r="A39" s="330"/>
      <c r="B39" s="331"/>
      <c r="C39" s="332" t="s">
        <v>67</v>
      </c>
      <c r="D39" s="336">
        <v>5.7</v>
      </c>
      <c r="E39" s="334" t="s">
        <v>69</v>
      </c>
      <c r="G39" s="358" t="s">
        <v>139</v>
      </c>
      <c r="H39" s="359">
        <f t="shared" ref="H39:P39" si="12">SUM(H29:H38)</f>
        <v>1145805750</v>
      </c>
      <c r="I39" s="359">
        <f t="shared" si="12"/>
        <v>1182073500</v>
      </c>
      <c r="J39" s="359">
        <f t="shared" si="12"/>
        <v>1528749450</v>
      </c>
      <c r="K39" s="359">
        <f t="shared" si="12"/>
        <v>2214774900</v>
      </c>
      <c r="L39" s="359">
        <f t="shared" si="12"/>
        <v>2990649600</v>
      </c>
      <c r="M39" s="359">
        <f t="shared" si="12"/>
        <v>4154315850</v>
      </c>
      <c r="N39" s="359">
        <f t="shared" si="12"/>
        <v>5190953850</v>
      </c>
      <c r="O39" s="359">
        <f t="shared" si="12"/>
        <v>5982647850</v>
      </c>
      <c r="P39" s="360">
        <f t="shared" si="12"/>
        <v>6428795850</v>
      </c>
    </row>
    <row r="40" spans="1:18" ht="15.75" thickBot="1" x14ac:dyDescent="0.3">
      <c r="A40" s="330"/>
      <c r="B40" s="337"/>
      <c r="C40" s="338" t="s">
        <v>126</v>
      </c>
      <c r="D40" s="339">
        <f>D38*D39*60*60*24*30*3*D7/8/1000</f>
        <v>83106</v>
      </c>
      <c r="E40" s="340"/>
      <c r="G40" s="350" t="s">
        <v>140</v>
      </c>
      <c r="H40" s="361">
        <f t="shared" ref="H40:P40" si="13">+H26*$D52*$D5</f>
        <v>36905625</v>
      </c>
      <c r="I40" s="361">
        <f t="shared" si="13"/>
        <v>36905625</v>
      </c>
      <c r="J40" s="361">
        <f t="shared" si="13"/>
        <v>36905625</v>
      </c>
      <c r="K40" s="361">
        <f t="shared" si="13"/>
        <v>36905625</v>
      </c>
      <c r="L40" s="361">
        <f t="shared" si="13"/>
        <v>36905625</v>
      </c>
      <c r="M40" s="361">
        <f t="shared" si="13"/>
        <v>73811250</v>
      </c>
      <c r="N40" s="361">
        <f t="shared" si="13"/>
        <v>110716875</v>
      </c>
      <c r="O40" s="361">
        <f t="shared" si="13"/>
        <v>110716875</v>
      </c>
      <c r="P40" s="362">
        <f t="shared" si="13"/>
        <v>110716875</v>
      </c>
    </row>
    <row r="41" spans="1:18" ht="15.75" thickBot="1" x14ac:dyDescent="0.3">
      <c r="A41" s="330"/>
      <c r="B41" s="342" t="s">
        <v>148</v>
      </c>
      <c r="C41" s="332"/>
      <c r="D41" s="333"/>
      <c r="E41" s="334"/>
      <c r="G41" s="363" t="s">
        <v>125</v>
      </c>
      <c r="H41" s="364">
        <f>+H39+H40</f>
        <v>1182711375</v>
      </c>
      <c r="I41" s="364">
        <f t="shared" ref="I41:P41" si="14">+I39+I40</f>
        <v>1218979125</v>
      </c>
      <c r="J41" s="364">
        <f t="shared" si="14"/>
        <v>1565655075</v>
      </c>
      <c r="K41" s="364">
        <f t="shared" si="14"/>
        <v>2251680525</v>
      </c>
      <c r="L41" s="364">
        <f t="shared" si="14"/>
        <v>3027555225</v>
      </c>
      <c r="M41" s="364">
        <f t="shared" si="14"/>
        <v>4228127100</v>
      </c>
      <c r="N41" s="364">
        <f t="shared" si="14"/>
        <v>5301670725</v>
      </c>
      <c r="O41" s="364">
        <f t="shared" si="14"/>
        <v>6093364725</v>
      </c>
      <c r="P41" s="365">
        <f t="shared" si="14"/>
        <v>6539512725</v>
      </c>
    </row>
    <row r="42" spans="1:18" ht="15.75" thickBot="1" x14ac:dyDescent="0.3">
      <c r="A42" s="330"/>
      <c r="B42" s="331"/>
      <c r="C42" s="332" t="s">
        <v>74</v>
      </c>
      <c r="D42" s="336">
        <f>60+60</f>
        <v>120</v>
      </c>
      <c r="E42" s="334" t="s">
        <v>68</v>
      </c>
      <c r="G42" s="366"/>
      <c r="H42" s="367"/>
      <c r="I42" s="367"/>
      <c r="J42" s="367"/>
      <c r="K42" s="367"/>
      <c r="L42" s="367"/>
      <c r="M42" s="367"/>
      <c r="N42" s="367"/>
      <c r="O42" s="367"/>
      <c r="P42" s="367"/>
    </row>
    <row r="43" spans="1:18" x14ac:dyDescent="0.25">
      <c r="A43" s="330"/>
      <c r="B43" s="331"/>
      <c r="C43" s="332" t="s">
        <v>67</v>
      </c>
      <c r="D43" s="336">
        <v>2</v>
      </c>
      <c r="E43" s="334" t="s">
        <v>69</v>
      </c>
      <c r="G43" s="347" t="s">
        <v>91</v>
      </c>
      <c r="H43" s="348" t="s">
        <v>8</v>
      </c>
      <c r="I43" s="348" t="s">
        <v>0</v>
      </c>
      <c r="J43" s="348" t="s">
        <v>1</v>
      </c>
      <c r="K43" s="348" t="s">
        <v>2</v>
      </c>
      <c r="L43" s="348" t="s">
        <v>3</v>
      </c>
      <c r="M43" s="348" t="s">
        <v>4</v>
      </c>
      <c r="N43" s="348" t="s">
        <v>5</v>
      </c>
      <c r="O43" s="348" t="s">
        <v>6</v>
      </c>
      <c r="P43" s="349" t="s">
        <v>7</v>
      </c>
    </row>
    <row r="44" spans="1:18" ht="15" customHeight="1" thickBot="1" x14ac:dyDescent="0.3">
      <c r="A44" s="330"/>
      <c r="B44" s="331"/>
      <c r="C44" s="338" t="s">
        <v>126</v>
      </c>
      <c r="D44" s="339">
        <f>D42*D43*60*60*24*30*3*D7/8/1000</f>
        <v>34992</v>
      </c>
      <c r="E44" s="340"/>
      <c r="G44" s="368" t="s">
        <v>19</v>
      </c>
      <c r="H44" s="287"/>
      <c r="I44" s="288"/>
      <c r="J44" s="288"/>
      <c r="K44" s="288"/>
      <c r="L44" s="288"/>
      <c r="M44" s="288"/>
      <c r="N44" s="288"/>
      <c r="O44" s="288"/>
      <c r="P44" s="289"/>
      <c r="Q44" s="354"/>
      <c r="R44" s="354"/>
    </row>
    <row r="45" spans="1:18" x14ac:dyDescent="0.25">
      <c r="A45" s="330"/>
      <c r="B45" s="324" t="s">
        <v>151</v>
      </c>
      <c r="C45" s="355"/>
      <c r="D45" s="356"/>
      <c r="E45" s="357"/>
      <c r="G45" s="369" t="s">
        <v>252</v>
      </c>
      <c r="H45" s="287">
        <v>694980000</v>
      </c>
      <c r="I45" s="287">
        <v>6949800000</v>
      </c>
      <c r="J45" s="288"/>
      <c r="K45" s="288"/>
      <c r="L45" s="288"/>
      <c r="M45" s="288"/>
      <c r="N45" s="288"/>
      <c r="O45" s="288"/>
      <c r="P45" s="289"/>
      <c r="Q45" s="354"/>
      <c r="R45" s="354"/>
    </row>
    <row r="46" spans="1:18" x14ac:dyDescent="0.25">
      <c r="A46" s="330"/>
      <c r="B46" s="331"/>
      <c r="C46" s="332" t="s">
        <v>74</v>
      </c>
      <c r="D46" s="333">
        <f>D22+D34+D38</f>
        <v>280</v>
      </c>
      <c r="E46" s="334" t="s">
        <v>68</v>
      </c>
      <c r="G46" s="369" t="s">
        <v>253</v>
      </c>
      <c r="H46" s="287">
        <v>192386940.72948331</v>
      </c>
      <c r="I46" s="288"/>
      <c r="J46" s="288"/>
      <c r="K46" s="288"/>
      <c r="L46" s="288"/>
      <c r="M46" s="288"/>
      <c r="N46" s="288"/>
      <c r="O46" s="288"/>
      <c r="P46" s="289"/>
      <c r="Q46" s="354"/>
      <c r="R46" s="354"/>
    </row>
    <row r="47" spans="1:18" x14ac:dyDescent="0.25">
      <c r="A47" s="330"/>
      <c r="B47" s="331"/>
      <c r="C47" s="332" t="s">
        <v>67</v>
      </c>
      <c r="D47" s="336">
        <v>2</v>
      </c>
      <c r="E47" s="334" t="s">
        <v>69</v>
      </c>
      <c r="G47" s="368" t="s">
        <v>48</v>
      </c>
      <c r="H47" s="288"/>
      <c r="I47" s="290"/>
      <c r="J47" s="288"/>
      <c r="K47" s="288"/>
      <c r="L47" s="288"/>
      <c r="M47" s="288"/>
      <c r="N47" s="288"/>
      <c r="O47" s="288"/>
      <c r="P47" s="289"/>
      <c r="Q47" s="354"/>
      <c r="R47" s="354"/>
    </row>
    <row r="48" spans="1:18" ht="15.75" thickBot="1" x14ac:dyDescent="0.3">
      <c r="A48" s="330"/>
      <c r="B48" s="337"/>
      <c r="C48" s="338" t="s">
        <v>126</v>
      </c>
      <c r="D48" s="339">
        <f>D46*D47*60*60*24*30*3*D7/8/1000</f>
        <v>81648</v>
      </c>
      <c r="E48" s="340"/>
      <c r="G48" s="370" t="s">
        <v>128</v>
      </c>
      <c r="H48" s="287">
        <f>+(H16-60%)*$D4*('Cost per Cell'!$K6+'Cost per Cell'!$K7)</f>
        <v>446249999.99999994</v>
      </c>
      <c r="I48" s="287">
        <f>+(I16-H16)*$D4*('Cost per Cell'!$K6+'Cost per Cell'!$K7)</f>
        <v>63750000.000000052</v>
      </c>
      <c r="J48" s="287">
        <f>+(J16-I16)*$D4*('Cost per Cell'!$K6+'Cost per Cell'!$K7)</f>
        <v>12750000.000000011</v>
      </c>
      <c r="K48" s="287">
        <f>+(K16-J16)*$D4*('Cost per Cell'!$K6+'Cost per Cell'!$K7)</f>
        <v>12750000.000000011</v>
      </c>
      <c r="L48" s="287">
        <f>+(L16-K16)*$D4*('Cost per Cell'!$K6+'Cost per Cell'!$K7)</f>
        <v>12750000.000000011</v>
      </c>
      <c r="M48" s="287">
        <f>+(M16-L16)*$D4*('Cost per Cell'!$K6+'Cost per Cell'!$K7)</f>
        <v>12750000.000000011</v>
      </c>
      <c r="N48" s="287">
        <f>+(N16-M16)*$D4*('Cost per Cell'!$K6+'Cost per Cell'!$K7)</f>
        <v>12750000.000000011</v>
      </c>
      <c r="O48" s="287">
        <f>+(O16-N16)*$D4*('Cost per Cell'!$K6+'Cost per Cell'!$K7)</f>
        <v>12750000.000000011</v>
      </c>
      <c r="P48" s="291">
        <f>+(P16-O16)*$D4*('Cost per Cell'!$K6+'Cost per Cell'!$K7)</f>
        <v>12750000.000000011</v>
      </c>
      <c r="Q48" s="354"/>
      <c r="R48" s="354"/>
    </row>
    <row r="49" spans="1:20" x14ac:dyDescent="0.25">
      <c r="A49" s="330"/>
      <c r="B49" s="324" t="s">
        <v>114</v>
      </c>
      <c r="C49" s="325"/>
      <c r="D49" s="325"/>
      <c r="E49" s="326"/>
      <c r="G49" s="370" t="s">
        <v>121</v>
      </c>
      <c r="H49" s="287">
        <f>IF((H17-95%)&gt;0, (H17-95%),0)*$D4*('Cost per Cell'!$M6+'Cost per Cell'!$M7)</f>
        <v>0</v>
      </c>
      <c r="I49" s="287">
        <f>+(I17-H17)*$D4*('Cost per Cell'!$M6+'Cost per Cell'!$M7)</f>
        <v>95624999.999999985</v>
      </c>
      <c r="J49" s="287">
        <f>+(J17-I17)*$D4*('Cost per Cell'!$M6+'Cost per Cell'!$M7)</f>
        <v>9562500.0000000093</v>
      </c>
      <c r="K49" s="287">
        <f>+(K17-J17)*$D4*('Cost per Cell'!$M6+'Cost per Cell'!$M7)</f>
        <v>9562500.0000000093</v>
      </c>
      <c r="L49" s="287">
        <f>+(L17-K17)*$D4*('Cost per Cell'!$M6+'Cost per Cell'!$M7)</f>
        <v>9562500.0000000093</v>
      </c>
      <c r="M49" s="287">
        <f>+(M17-L17)*$D4*('Cost per Cell'!$M6+'Cost per Cell'!$M7)</f>
        <v>9562500.0000000093</v>
      </c>
      <c r="N49" s="287">
        <f>+(N17-M17)*$D4*('Cost per Cell'!$M6+'Cost per Cell'!$M7)</f>
        <v>9562500.0000000093</v>
      </c>
      <c r="O49" s="287">
        <f>+(O17-N17)*$D4*('Cost per Cell'!$M6+'Cost per Cell'!$M7)</f>
        <v>9562500.0000000093</v>
      </c>
      <c r="P49" s="291">
        <f>+(P17-O17)*$D4*('Cost per Cell'!$M6+'Cost per Cell'!$M7)</f>
        <v>9562500.0000000093</v>
      </c>
      <c r="Q49" s="354"/>
      <c r="R49" s="354"/>
    </row>
    <row r="50" spans="1:20" x14ac:dyDescent="0.25">
      <c r="A50" s="330"/>
      <c r="B50" s="331"/>
      <c r="C50" s="332" t="s">
        <v>74</v>
      </c>
      <c r="D50" s="336">
        <f>200+70</f>
        <v>270</v>
      </c>
      <c r="E50" s="334" t="s">
        <v>68</v>
      </c>
      <c r="G50" s="370" t="s">
        <v>122</v>
      </c>
      <c r="H50" s="287">
        <f>+(H18-90%)*$D4*('Cost per Cell'!$M6+'Cost per Cell'!$M7)</f>
        <v>86062499.99999997</v>
      </c>
      <c r="I50" s="287">
        <f>+(I18-H18)*$D4*('Cost per Cell'!$M6+'Cost per Cell'!$M7)</f>
        <v>9562500.0000000093</v>
      </c>
      <c r="J50" s="287">
        <f>+(J18-I18)*$D4*('Cost per Cell'!$M6+'Cost per Cell'!$M7)</f>
        <v>9562500.0000000093</v>
      </c>
      <c r="K50" s="287">
        <f>+(K18-J18)*$D4*('Cost per Cell'!$M6+'Cost per Cell'!$M7)</f>
        <v>9562500.0000000093</v>
      </c>
      <c r="L50" s="287">
        <f>+(L18-K18)*$D4*('Cost per Cell'!$M6+'Cost per Cell'!$M7)</f>
        <v>9562500.0000000093</v>
      </c>
      <c r="M50" s="287">
        <f>+(M18-L18)*$D4*('Cost per Cell'!$M6+'Cost per Cell'!$M7)</f>
        <v>9562500.0000000093</v>
      </c>
      <c r="N50" s="287">
        <f>+(N18-M18)*$D4*('Cost per Cell'!$M6+'Cost per Cell'!$M7)</f>
        <v>9562500.0000000093</v>
      </c>
      <c r="O50" s="287">
        <f>+(O18-N18)*$D4*('Cost per Cell'!$M6+'Cost per Cell'!$M7)</f>
        <v>9562500.0000000093</v>
      </c>
      <c r="P50" s="291">
        <f>+(P18-O18)*$D4*('Cost per Cell'!$M6+'Cost per Cell'!$M7)</f>
        <v>9562500.0000000093</v>
      </c>
    </row>
    <row r="51" spans="1:20" x14ac:dyDescent="0.25">
      <c r="A51" s="330"/>
      <c r="B51" s="331"/>
      <c r="C51" s="332" t="s">
        <v>67</v>
      </c>
      <c r="D51" s="366">
        <f>5000/800</f>
        <v>6.25</v>
      </c>
      <c r="E51" s="334" t="s">
        <v>69</v>
      </c>
      <c r="G51" s="370" t="s">
        <v>120</v>
      </c>
      <c r="H51" s="287">
        <f>IF((H19-50%)&gt;0,(H19-50%),0)*$D4*('Cost per Cell'!$M6+'Cost per Cell'!$M7)</f>
        <v>0</v>
      </c>
      <c r="I51" s="287">
        <f>IF((I19-H19)&gt;0,(I19-H19),0)*$D4*('Cost per Cell'!$M6+'Cost per Cell'!$M7)</f>
        <v>47812499.999999993</v>
      </c>
      <c r="J51" s="287">
        <f>IF((J19-I19)&gt;0,(J19-I19),0)*$D4*('Cost per Cell'!$M6+'Cost per Cell'!$M7)</f>
        <v>0</v>
      </c>
      <c r="K51" s="287">
        <f>IF((K19-J19)&gt;0,(K19-J19),0)*$D4*('Cost per Cell'!$M6+'Cost per Cell'!$M7)</f>
        <v>0</v>
      </c>
      <c r="L51" s="287">
        <f>IF((L19-K19)&gt;0,(L19-K19),0)*$D4*('Cost per Cell'!$M6+'Cost per Cell'!$M7)</f>
        <v>0</v>
      </c>
      <c r="M51" s="287">
        <f>IF((M19-L19)&gt;0,(M19-L19),0)*$D4*('Cost per Cell'!$M6+'Cost per Cell'!$M7)</f>
        <v>0</v>
      </c>
      <c r="N51" s="287">
        <f>IF((N19-M19)&gt;0,(N19-M19),0)*$D4*('Cost per Cell'!$M6+'Cost per Cell'!$M7)</f>
        <v>0</v>
      </c>
      <c r="O51" s="287">
        <f>IF((O19-N19)&gt;0,(O19-N19),0)*$D4*('Cost per Cell'!$M6+'Cost per Cell'!$M7)</f>
        <v>0</v>
      </c>
      <c r="P51" s="291">
        <f>IF((P19-O19)&gt;0,(P19-O19),0)*$D4*('Cost per Cell'!$M6+'Cost per Cell'!$M7)</f>
        <v>0</v>
      </c>
      <c r="Q51" s="354"/>
      <c r="R51" s="354"/>
    </row>
    <row r="52" spans="1:20" ht="15.75" thickBot="1" x14ac:dyDescent="0.3">
      <c r="A52" s="330"/>
      <c r="B52" s="337"/>
      <c r="C52" s="338" t="s">
        <v>126</v>
      </c>
      <c r="D52" s="339">
        <f>D50*D51*60*60*24*30*3*D7/8/1000</f>
        <v>246037.5</v>
      </c>
      <c r="E52" s="340"/>
      <c r="G52" s="370" t="s">
        <v>124</v>
      </c>
      <c r="H52" s="287"/>
      <c r="I52" s="287">
        <f>IF((I20-H20)&gt;0,(I20-H20),0)*$D4*('Cost per Cell'!$M6+'Cost per Cell'!$M7)</f>
        <v>0</v>
      </c>
      <c r="J52" s="287">
        <f>IF((J20-I20)&gt;0,(J20-I20),0)*$D4*('Cost per Cell'!$M6+'Cost per Cell'!$M7)</f>
        <v>95625000</v>
      </c>
      <c r="K52" s="287">
        <f>IF((K20-J20)&gt;0,(K20-J20),0)*$D4*('Cost per Cell'!$M6+'Cost per Cell'!$M7)</f>
        <v>191250000</v>
      </c>
      <c r="L52" s="287">
        <f>IF((L20-K20)&gt;0,(L20-K20),0)*$D4*('Cost per Cell'!$M6+'Cost per Cell'!$M7)</f>
        <v>95625000.000000045</v>
      </c>
      <c r="M52" s="287">
        <f>IF((M20-L20)&gt;0,(M20-L20),0)*$D4*('Cost per Cell'!$M6+'Cost per Cell'!$M7)</f>
        <v>0</v>
      </c>
      <c r="N52" s="287">
        <f>IF((N20-M20)&gt;0,(N20-M20),0)*$D4*('Cost per Cell'!$M6+'Cost per Cell'!$M7)</f>
        <v>0</v>
      </c>
      <c r="O52" s="287">
        <f>IF((O20-N20)&gt;0,(O20-N20),0)*$D4*('Cost per Cell'!$M6+'Cost per Cell'!$M7)</f>
        <v>0</v>
      </c>
      <c r="P52" s="291">
        <f>IF((P20-O20)&gt;0,(P20-O20),0)*$D4*('Cost per Cell'!$M6+'Cost per Cell'!$M7)</f>
        <v>0</v>
      </c>
      <c r="Q52" s="354"/>
      <c r="R52" s="354"/>
    </row>
    <row r="53" spans="1:20" x14ac:dyDescent="0.25">
      <c r="B53" s="330"/>
      <c r="C53" s="330"/>
      <c r="D53" s="330"/>
      <c r="E53" s="330"/>
      <c r="G53" s="370" t="s">
        <v>118</v>
      </c>
      <c r="H53" s="287"/>
      <c r="I53" s="287">
        <f>IF((I21-H21)&gt;0,(I21-H21),0)*$D4*('Cost per Cell'!$C6+'Cost per Cell'!$C7)</f>
        <v>0</v>
      </c>
      <c r="J53" s="287">
        <f>IF((J21-I21)&gt;0,(J21-I21),0)*$D4*('Cost per Cell'!$C6+'Cost per Cell'!$C7)</f>
        <v>170000000</v>
      </c>
      <c r="K53" s="287">
        <f>IF((K21-J21)&gt;0,(K21-J21),0)*$D4*('Cost per Cell'!$C6+'Cost per Cell'!$C7)</f>
        <v>170000000</v>
      </c>
      <c r="L53" s="287">
        <f>IF((L21-K21)&gt;0,(L21-K21),0)*$D4*('Cost per Cell'!$C6+'Cost per Cell'!$C7)</f>
        <v>169999999.99999997</v>
      </c>
      <c r="M53" s="287">
        <f>IF((M21-L21)&gt;0,(M21-L21),0)*$D4*('Cost per Cell'!$C6+'Cost per Cell'!$C7)</f>
        <v>340000000</v>
      </c>
      <c r="N53" s="287">
        <f>IF((N21-M21)&gt;0,(N21-M21),0)*$D4*('Cost per Cell'!$C6+'Cost per Cell'!$C7)</f>
        <v>169999999.99999997</v>
      </c>
      <c r="O53" s="287">
        <f>IF((O21-N21)&gt;0,(O21-N21),0)*$D4*('Cost per Cell'!$C6+'Cost per Cell'!$C7)</f>
        <v>169999999.99999997</v>
      </c>
      <c r="P53" s="291">
        <f>IF((P21-O21)&gt;0,(P21-O21),0)*$D4*('Cost per Cell'!$C6+'Cost per Cell'!$C7)</f>
        <v>170000000.00000015</v>
      </c>
    </row>
    <row r="54" spans="1:20" x14ac:dyDescent="0.25">
      <c r="B54" s="330"/>
      <c r="C54" s="330"/>
      <c r="D54" s="330"/>
      <c r="E54" s="330"/>
      <c r="G54" s="370" t="s">
        <v>132</v>
      </c>
      <c r="H54" s="287"/>
      <c r="I54" s="287">
        <f>IF((I22-H22)&gt;0,(I22-H22),0)*$D4*('Cost per Cell'!$G6+'Cost per Cell'!$G7)</f>
        <v>0</v>
      </c>
      <c r="J54" s="287">
        <f>IF((J22-I22)&gt;0,(J22-I22),0)*$D4*('Cost per Cell'!$G6+'Cost per Cell'!$G7)</f>
        <v>148750000</v>
      </c>
      <c r="K54" s="287">
        <f>IF((K22-J22)&gt;0,(K22-J22),0)*$D4*('Cost per Cell'!$G6+'Cost per Cell'!$G7)</f>
        <v>148750000</v>
      </c>
      <c r="L54" s="287">
        <f>IF((L22-K22)&gt;0,(L22-K22),0)*$D4*('Cost per Cell'!$G6+'Cost per Cell'!$G7)</f>
        <v>148749999.99999997</v>
      </c>
      <c r="M54" s="287">
        <f>IF((M22-L22)&gt;0,(M22-L22),0)*$D4*('Cost per Cell'!$G6+'Cost per Cell'!$G7)</f>
        <v>0</v>
      </c>
      <c r="N54" s="287">
        <f>IF((N22-M22)&gt;0,(N22-M22),0)*$D4*('Cost per Cell'!$G6+'Cost per Cell'!$G7)</f>
        <v>0</v>
      </c>
      <c r="O54" s="287">
        <f>IF((O22-N22)&gt;0,(O22-N22),0)*$D4*('Cost per Cell'!$G6+'Cost per Cell'!$G7)</f>
        <v>0</v>
      </c>
      <c r="P54" s="291">
        <f>IF((P22-O22)&gt;0,(P22-O22),0)*$D4*('Cost per Cell'!$G6+'Cost per Cell'!$G7)</f>
        <v>0</v>
      </c>
    </row>
    <row r="55" spans="1:20" x14ac:dyDescent="0.25">
      <c r="B55" s="330"/>
      <c r="C55" s="330"/>
      <c r="D55" s="330"/>
      <c r="E55" s="330"/>
      <c r="G55" s="370" t="s">
        <v>133</v>
      </c>
      <c r="H55" s="287"/>
      <c r="I55" s="287">
        <f>IF((I23-H23)&gt;0,(I23-H23),0)*$D4*('Cost per Cell'!$E6+'Cost per Cell'!$E7)</f>
        <v>0</v>
      </c>
      <c r="J55" s="287">
        <f>IF((J23-I23)&gt;0,(J23-I23),0)*$D4*('Cost per Cell'!$E6+'Cost per Cell'!$E7)</f>
        <v>0</v>
      </c>
      <c r="K55" s="287">
        <f>IF((K23-J23)&gt;0,(K23-J23),0)*$D4*('Cost per Cell'!$E6+'Cost per Cell'!$E7)</f>
        <v>0</v>
      </c>
      <c r="L55" s="287">
        <f>IF((L23-K23)&gt;0,(L23-K23),0)*$D4*('Cost per Cell'!$E6+'Cost per Cell'!$E7)</f>
        <v>148750000</v>
      </c>
      <c r="M55" s="287">
        <f>IF((M23-L23)&gt;0,(M23-L23),0)*$D4*('Cost per Cell'!$E6+'Cost per Cell'!$E7)</f>
        <v>297500000</v>
      </c>
      <c r="N55" s="287">
        <f>IF((N23-M23)&gt;0,(N23-M23),0)*$D4*('Cost per Cell'!$E6+'Cost per Cell'!$E7)</f>
        <v>446250000</v>
      </c>
      <c r="O55" s="287">
        <f>IF((O23-N23)&gt;0,(O23-N23),0)*$D4*('Cost per Cell'!$E6+'Cost per Cell'!$E7)</f>
        <v>446250000.00000006</v>
      </c>
      <c r="P55" s="291">
        <f>IF((P23-O23)&gt;0,(P23-O23),0)*$D4*('Cost per Cell'!$E6+'Cost per Cell'!$E7)</f>
        <v>148749999.99999997</v>
      </c>
    </row>
    <row r="56" spans="1:20" x14ac:dyDescent="0.25">
      <c r="B56" s="330"/>
      <c r="C56" s="330"/>
      <c r="D56" s="330"/>
      <c r="E56" s="330"/>
      <c r="G56" s="371" t="s">
        <v>255</v>
      </c>
      <c r="H56" s="287">
        <f>IF((H24-10%)&gt;0, (H24-10%),0)*$D5*('Cost per Cell'!$O6+'Cost per Cell'!$O7)</f>
        <v>20999999.999999996</v>
      </c>
      <c r="I56" s="287">
        <f>IF((I24-H24)&gt;0, (I24-H24),0)*$D5*('Cost per Cell'!$O6+'Cost per Cell'!$O7)</f>
        <v>0</v>
      </c>
      <c r="J56" s="287">
        <f>IF((J24-I24)&gt;0, (J24-I24),0)*$D5*('Cost per Cell'!$O6+'Cost per Cell'!$O7)</f>
        <v>0</v>
      </c>
      <c r="K56" s="287">
        <f>IF((K24-J24)&gt;0, (K24-J24),0)*$D5*('Cost per Cell'!$O6+'Cost per Cell'!$O7)</f>
        <v>0</v>
      </c>
      <c r="L56" s="287">
        <f>IF((L24-K24)&gt;0, (L24-K24),0)*$D5*('Cost per Cell'!$O6+'Cost per Cell'!$O7)</f>
        <v>0</v>
      </c>
      <c r="M56" s="287">
        <f>IF((M24-L24)&gt;0, (M24-L24),0)*$D5*('Cost per Cell'!$O6+'Cost per Cell'!$O7)</f>
        <v>0</v>
      </c>
      <c r="N56" s="287">
        <f>IF((N24-M24)&gt;0, (N24-M24),0)*$D5*('Cost per Cell'!$O6+'Cost per Cell'!$O7)</f>
        <v>0</v>
      </c>
      <c r="O56" s="287">
        <f>IF((O24-N24)&gt;0, (O24-N24),0)*$D5*('Cost per Cell'!$O6+'Cost per Cell'!$O7)</f>
        <v>0</v>
      </c>
      <c r="P56" s="291">
        <f>IF((P24-O24)&gt;0, (P24-O24),0)*$D5*('Cost per Cell'!$O6+'Cost per Cell'!$O7)</f>
        <v>0</v>
      </c>
    </row>
    <row r="57" spans="1:20" x14ac:dyDescent="0.25">
      <c r="B57" s="330"/>
      <c r="C57" s="330"/>
      <c r="D57" s="330"/>
      <c r="E57" s="330"/>
      <c r="G57" s="371" t="s">
        <v>256</v>
      </c>
      <c r="H57" s="287">
        <f>IF((H25-0%)&gt;0, (H25-0%),0)*$D5*('Cost per Cell'!$O6+'Cost per Cell'!$O7)</f>
        <v>0</v>
      </c>
      <c r="I57" s="287">
        <f>IF((I25-H25)&gt;0, (I25-H25),0)*$D5*('Cost per Cell'!$O6+'Cost per Cell'!$O7)</f>
        <v>10500000</v>
      </c>
      <c r="J57" s="287">
        <f>IF((J25-I25)&gt;0, (J25-I25),0)*$D5*('Cost per Cell'!$O6+'Cost per Cell'!$O7)</f>
        <v>0</v>
      </c>
      <c r="K57" s="287">
        <f>IF((K25-J25)&gt;0, (K25-J25),0)*$D5*('Cost per Cell'!$O6+'Cost per Cell'!$O7)</f>
        <v>10500000</v>
      </c>
      <c r="L57" s="287">
        <f>IF((L25-K25)&gt;0, (L25-K25),0)*$D5*('Cost per Cell'!$O6+'Cost per Cell'!$O7)</f>
        <v>10499999.999999998</v>
      </c>
      <c r="M57" s="287">
        <f>IF((M25-L25)&gt;0, (M25-L25),0)*$D5*('Cost per Cell'!$O6+'Cost per Cell'!$O7)</f>
        <v>31500000</v>
      </c>
      <c r="N57" s="287">
        <f>IF((N25-M25)&gt;0, (N25-M25),0)*$D5*('Cost per Cell'!$O6+'Cost per Cell'!$O7)</f>
        <v>31500000.000000007</v>
      </c>
      <c r="O57" s="287">
        <f>IF((O25-N25)&gt;0, (O25-N25),0)*$D5*('Cost per Cell'!$O6+'Cost per Cell'!$O7)</f>
        <v>10499999.999999998</v>
      </c>
      <c r="P57" s="291">
        <f>IF((P25-O25)&gt;0, (P25-O25),0)*$D5*('Cost per Cell'!$O6+'Cost per Cell'!$O7)</f>
        <v>0</v>
      </c>
      <c r="T57" s="374"/>
    </row>
    <row r="58" spans="1:20" x14ac:dyDescent="0.25">
      <c r="B58" s="330"/>
      <c r="C58" s="330"/>
      <c r="D58" s="330"/>
      <c r="E58" s="330"/>
      <c r="G58" s="369" t="s">
        <v>129</v>
      </c>
      <c r="H58" s="287">
        <f>IF((H26-0%)&gt;0, (H26-0%),0)*$D5*('Cost per Cell'!$I6+'Cost per Cell'!$I7)</f>
        <v>16500000</v>
      </c>
      <c r="I58" s="287">
        <f>IF((I26-H26)&gt;0, (I26-H26),0)*$D5*('Cost per Cell'!$I6+'Cost per Cell'!$I7)</f>
        <v>0</v>
      </c>
      <c r="J58" s="287">
        <f>IF((J26-I26)&gt;0, (J26-I26),0)*$D5*('Cost per Cell'!$I6+'Cost per Cell'!$I7)</f>
        <v>0</v>
      </c>
      <c r="K58" s="287">
        <f>IF((K26-J26)&gt;0, (K26-J26),0)*$D5*('Cost per Cell'!$I6+'Cost per Cell'!$I7)</f>
        <v>0</v>
      </c>
      <c r="L58" s="287">
        <f>IF((L26-K26)&gt;0, (L26-K26),0)*$D5*('Cost per Cell'!$I6+'Cost per Cell'!$I7)</f>
        <v>0</v>
      </c>
      <c r="M58" s="287">
        <f>IF((M26-L26)&gt;0, (M26-L26),0)*$D5*('Cost per Cell'!$I6+'Cost per Cell'!$I7)</f>
        <v>16500000</v>
      </c>
      <c r="N58" s="287">
        <f>IF((N26-M26)&gt;0, (N26-M26),0)*$D5*('Cost per Cell'!$I6+'Cost per Cell'!$I7)</f>
        <v>16499999.999999996</v>
      </c>
      <c r="O58" s="287">
        <f>IF((O26-N26)&gt;0, (O26-N26),0)*$D5*('Cost per Cell'!$I6+'Cost per Cell'!$I7)</f>
        <v>0</v>
      </c>
      <c r="P58" s="291">
        <f>IF((P26-O26)&gt;0, (P26-O26),0)*$D5*('Cost per Cell'!$I6+'Cost per Cell'!$I7)</f>
        <v>0</v>
      </c>
      <c r="Q58" s="354"/>
      <c r="R58" s="354"/>
    </row>
    <row r="59" spans="1:20" x14ac:dyDescent="0.25">
      <c r="B59" s="330"/>
      <c r="C59" s="330"/>
      <c r="D59" s="330"/>
      <c r="E59" s="330"/>
      <c r="G59" s="368" t="s">
        <v>47</v>
      </c>
      <c r="H59" s="288"/>
      <c r="I59" s="288"/>
      <c r="J59" s="288"/>
      <c r="K59" s="288"/>
      <c r="L59" s="288"/>
      <c r="M59" s="288"/>
      <c r="N59" s="288"/>
      <c r="O59" s="288"/>
      <c r="P59" s="289"/>
      <c r="Q59" s="354"/>
      <c r="R59" s="354"/>
    </row>
    <row r="60" spans="1:20" x14ac:dyDescent="0.25">
      <c r="B60" s="330"/>
      <c r="C60" s="330"/>
      <c r="D60" s="330"/>
      <c r="E60" s="330"/>
      <c r="G60" s="370" t="s">
        <v>128</v>
      </c>
      <c r="H60" s="292">
        <f>$D4*H16*SUM('Cost per Cell'!$K11:$K14)*12</f>
        <v>826072500</v>
      </c>
      <c r="I60" s="292">
        <f>$D4*I16*SUM('Cost per Cell'!$K11:$K14)*12</f>
        <v>869550000</v>
      </c>
      <c r="J60" s="292">
        <f>$D4*J16*SUM('Cost per Cell'!$K11:$K14)*12</f>
        <v>878245500</v>
      </c>
      <c r="K60" s="292">
        <f>$D4*K16*SUM('Cost per Cell'!$K11:$K14)*12</f>
        <v>886941000</v>
      </c>
      <c r="L60" s="292">
        <f>$D4*L16*SUM('Cost per Cell'!$K11:$K14)*12</f>
        <v>895636500</v>
      </c>
      <c r="M60" s="292">
        <f>$D4*M16*SUM('Cost per Cell'!$K11:$K14)*12</f>
        <v>904332000</v>
      </c>
      <c r="N60" s="292">
        <f>$D4*N16*SUM('Cost per Cell'!$K11:$K14)*12</f>
        <v>913027500</v>
      </c>
      <c r="O60" s="292">
        <f>$D4*O16*SUM('Cost per Cell'!$K11:$K14)*12</f>
        <v>921723000</v>
      </c>
      <c r="P60" s="293">
        <f>$D4*P16*SUM('Cost per Cell'!$K11:$K14)*12</f>
        <v>930418500</v>
      </c>
      <c r="Q60" s="354"/>
      <c r="R60" s="354"/>
      <c r="S60" s="374"/>
    </row>
    <row r="61" spans="1:20" x14ac:dyDescent="0.25">
      <c r="G61" s="370" t="s">
        <v>121</v>
      </c>
      <c r="H61" s="292">
        <f>$D4*H17*SUM('Cost per Cell'!$M11:$M14)*12</f>
        <v>782595000</v>
      </c>
      <c r="I61" s="292">
        <f>$D4*I17*SUM('Cost per Cell'!$M11:$M14)*12</f>
        <v>869550000</v>
      </c>
      <c r="J61" s="292">
        <f>$D4*J17*SUM('Cost per Cell'!$M11:$M14)*12</f>
        <v>878245500</v>
      </c>
      <c r="K61" s="292">
        <f>$D4*K17*SUM('Cost per Cell'!$M11:$M14)*12</f>
        <v>886941000</v>
      </c>
      <c r="L61" s="292">
        <f>$D4*L17*SUM('Cost per Cell'!$M11:$M14)*12</f>
        <v>895636500</v>
      </c>
      <c r="M61" s="292">
        <f>$D4*M17*SUM('Cost per Cell'!$M11:$M14)*12</f>
        <v>904332000</v>
      </c>
      <c r="N61" s="292">
        <f>$D4*N17*SUM('Cost per Cell'!$M11:$M14)*12</f>
        <v>913027500</v>
      </c>
      <c r="O61" s="292">
        <f>$D4*O17*SUM('Cost per Cell'!$M11:$M14)*12</f>
        <v>921723000</v>
      </c>
      <c r="P61" s="293">
        <f>$D4*P17*SUM('Cost per Cell'!$M11:$M14)*12</f>
        <v>930418500</v>
      </c>
      <c r="Q61" s="374"/>
      <c r="R61" s="374"/>
    </row>
    <row r="62" spans="1:20" x14ac:dyDescent="0.25">
      <c r="G62" s="370" t="s">
        <v>122</v>
      </c>
      <c r="H62" s="292">
        <f>$D4*H18*SUM('Cost per Cell'!$M11:$M14)*12</f>
        <v>860854500</v>
      </c>
      <c r="I62" s="292">
        <f>$D4*I18*SUM('Cost per Cell'!$M11:$M14)*12</f>
        <v>869550000</v>
      </c>
      <c r="J62" s="292">
        <f>$D4*J18*SUM('Cost per Cell'!$M11:$M14)*12</f>
        <v>878245500</v>
      </c>
      <c r="K62" s="292">
        <f>$D4*K18*SUM('Cost per Cell'!$M11:$M14)*12</f>
        <v>886941000</v>
      </c>
      <c r="L62" s="292">
        <f>$D4*L18*SUM('Cost per Cell'!$M11:$M14)*12</f>
        <v>895636500</v>
      </c>
      <c r="M62" s="292">
        <f>$D4*M18*SUM('Cost per Cell'!$M11:$M14)*12</f>
        <v>904332000</v>
      </c>
      <c r="N62" s="292">
        <f>$D4*N18*SUM('Cost per Cell'!$M11:$M14)*12</f>
        <v>913027500</v>
      </c>
      <c r="O62" s="292">
        <f>$D4*O18*SUM('Cost per Cell'!$M11:$M14)*12</f>
        <v>921723000</v>
      </c>
      <c r="P62" s="293">
        <f>$D4*P18*SUM('Cost per Cell'!$M11:$M14)*12</f>
        <v>930418500</v>
      </c>
      <c r="Q62" s="354"/>
      <c r="R62" s="354"/>
    </row>
    <row r="63" spans="1:20" x14ac:dyDescent="0.25">
      <c r="G63" s="370" t="s">
        <v>120</v>
      </c>
      <c r="H63" s="292">
        <f>$D4*H19*SUM('Cost per Cell'!$M11:$M14)*12</f>
        <v>86955000</v>
      </c>
      <c r="I63" s="292">
        <f>$D4*I19*SUM('Cost per Cell'!$M11:$M14)*12</f>
        <v>130432500</v>
      </c>
      <c r="J63" s="292">
        <f>$D4*J19*SUM('Cost per Cell'!$M11:$M14)*12</f>
        <v>0</v>
      </c>
      <c r="K63" s="292">
        <f>$D4*K19*SUM('Cost per Cell'!$M11:$M14)*12</f>
        <v>0</v>
      </c>
      <c r="L63" s="292">
        <f>$D4*L19*SUM('Cost per Cell'!$M11:$M14)*12</f>
        <v>0</v>
      </c>
      <c r="M63" s="292">
        <f>$D4*M19*SUM('Cost per Cell'!$M11:$M14)*12</f>
        <v>0</v>
      </c>
      <c r="N63" s="292">
        <f>$D4*N19*SUM('Cost per Cell'!$M11:$M14)*12</f>
        <v>0</v>
      </c>
      <c r="O63" s="292">
        <f>$D4*O19*SUM('Cost per Cell'!$M11:$M14)*12</f>
        <v>0</v>
      </c>
      <c r="P63" s="293">
        <f>$D4*P19*SUM('Cost per Cell'!$M11:$M14)*12</f>
        <v>0</v>
      </c>
    </row>
    <row r="64" spans="1:20" x14ac:dyDescent="0.25">
      <c r="G64" s="370" t="s">
        <v>124</v>
      </c>
      <c r="H64" s="292">
        <f>$D4*H20*SUM('Cost per Cell'!$M11:$M14)*12</f>
        <v>0</v>
      </c>
      <c r="I64" s="292">
        <f>$D4*I20*SUM('Cost per Cell'!$M11:$M14)*12</f>
        <v>0</v>
      </c>
      <c r="J64" s="292">
        <f>$D4*J20*SUM('Cost per Cell'!$M11:$M14)*12</f>
        <v>86955000</v>
      </c>
      <c r="K64" s="292">
        <f>$D4*K20*SUM('Cost per Cell'!$M11:$M14)*12</f>
        <v>260865000</v>
      </c>
      <c r="L64" s="292">
        <f>$D4*L20*SUM('Cost per Cell'!$M11:$M14)*12</f>
        <v>347820000</v>
      </c>
      <c r="M64" s="292">
        <f>$D4*M20*SUM('Cost per Cell'!$M11:$M14)*12</f>
        <v>260865000</v>
      </c>
      <c r="N64" s="292">
        <f>$D4*N20*SUM('Cost per Cell'!$M11:$M14)*12</f>
        <v>130432500</v>
      </c>
      <c r="O64" s="292">
        <f>$D4*O20*SUM('Cost per Cell'!$M11:$M14)*12</f>
        <v>0</v>
      </c>
      <c r="P64" s="293">
        <f>$D4*P20*SUM('Cost per Cell'!$M11:$M14)*12</f>
        <v>0</v>
      </c>
      <c r="Q64" s="354"/>
      <c r="R64" s="354"/>
    </row>
    <row r="65" spans="7:18" x14ac:dyDescent="0.25">
      <c r="G65" s="370" t="s">
        <v>118</v>
      </c>
      <c r="H65" s="292">
        <f>$D4*H21*SUM('Cost per Cell'!$C11:$C14)*12</f>
        <v>0</v>
      </c>
      <c r="I65" s="292">
        <f>$D4*I21*SUM('Cost per Cell'!$C11:$C14)*12</f>
        <v>0</v>
      </c>
      <c r="J65" s="292">
        <f>$D4*J21*SUM('Cost per Cell'!$C11:$C14)*12</f>
        <v>87758250</v>
      </c>
      <c r="K65" s="292">
        <f>$D4*K21*SUM('Cost per Cell'!$C11:$C14)*12</f>
        <v>175516500</v>
      </c>
      <c r="L65" s="292">
        <f>$D4*L21*SUM('Cost per Cell'!$C11:$C14)*12</f>
        <v>263274750</v>
      </c>
      <c r="M65" s="292">
        <f>$D4*M21*SUM('Cost per Cell'!$C11:$C14)*12</f>
        <v>438791250</v>
      </c>
      <c r="N65" s="292">
        <f>$D4*N21*SUM('Cost per Cell'!$C11:$C14)*12</f>
        <v>526549500</v>
      </c>
      <c r="O65" s="292">
        <f>$D4*O21*SUM('Cost per Cell'!$C11:$C14)*12</f>
        <v>614307749.99999988</v>
      </c>
      <c r="P65" s="293">
        <f>$D4*P21*SUM('Cost per Cell'!$C11:$C14)*12</f>
        <v>702066000</v>
      </c>
      <c r="Q65" s="354"/>
      <c r="R65" s="354"/>
    </row>
    <row r="66" spans="7:18" x14ac:dyDescent="0.25">
      <c r="G66" s="370" t="s">
        <v>132</v>
      </c>
      <c r="H66" s="292">
        <f>$D4*H22*SUM('Cost per Cell'!$G11:$G14)*12</f>
        <v>0</v>
      </c>
      <c r="I66" s="292">
        <f>$D4*I22*SUM('Cost per Cell'!$G11:$G14)*12</f>
        <v>0</v>
      </c>
      <c r="J66" s="292">
        <f>$D4*J22*SUM('Cost per Cell'!$G11:$G14)*12</f>
        <v>83410500</v>
      </c>
      <c r="K66" s="292">
        <f>$D4*K22*SUM('Cost per Cell'!$G11:$G14)*12</f>
        <v>166821000</v>
      </c>
      <c r="L66" s="292">
        <f>$D4*L22*SUM('Cost per Cell'!$G11:$G14)*12</f>
        <v>250231500</v>
      </c>
      <c r="M66" s="292">
        <f>$D4*M22*SUM('Cost per Cell'!$G11:$G14)*12</f>
        <v>250231500</v>
      </c>
      <c r="N66" s="292">
        <f>$D4*N22*SUM('Cost per Cell'!$G11:$G14)*12</f>
        <v>250231500</v>
      </c>
      <c r="O66" s="292">
        <f>$D4*O22*SUM('Cost per Cell'!$G11:$G14)*12</f>
        <v>250231500</v>
      </c>
      <c r="P66" s="293">
        <f>$D4*P22*SUM('Cost per Cell'!$G11:$G14)*12</f>
        <v>250231500</v>
      </c>
    </row>
    <row r="67" spans="7:18" x14ac:dyDescent="0.25">
      <c r="G67" s="370" t="s">
        <v>133</v>
      </c>
      <c r="H67" s="292">
        <f>$D4*H23*SUM('Cost per Cell'!$E11:$E14)*12</f>
        <v>0</v>
      </c>
      <c r="I67" s="292">
        <f>$D4*I23*SUM('Cost per Cell'!$E11:$E14)*12</f>
        <v>0</v>
      </c>
      <c r="J67" s="292">
        <f>$D4*J23*SUM('Cost per Cell'!$E11:$E14)*12</f>
        <v>0</v>
      </c>
      <c r="K67" s="292">
        <f>$D4*K23*SUM('Cost per Cell'!$E11:$E14)*12</f>
        <v>0</v>
      </c>
      <c r="L67" s="292">
        <f>$D4*L23*SUM('Cost per Cell'!$E11:$E14)*12</f>
        <v>87337500</v>
      </c>
      <c r="M67" s="292">
        <f>$D4*M23*SUM('Cost per Cell'!$E11:$E14)*12</f>
        <v>262012500</v>
      </c>
      <c r="N67" s="292">
        <f>$D4*N23*SUM('Cost per Cell'!$E11:$E14)*12</f>
        <v>524025000</v>
      </c>
      <c r="O67" s="292">
        <f>$D4*O23*SUM('Cost per Cell'!$E11:$E14)*12</f>
        <v>786037500</v>
      </c>
      <c r="P67" s="293">
        <f>$D4*P23*SUM('Cost per Cell'!$E11:$E14)*12</f>
        <v>873375000</v>
      </c>
    </row>
    <row r="68" spans="7:18" x14ac:dyDescent="0.25">
      <c r="G68" s="371" t="s">
        <v>255</v>
      </c>
      <c r="H68" s="292">
        <f>$D5*H24*SUM('Cost per Cell'!$O11:$O14)*12</f>
        <v>27734400</v>
      </c>
      <c r="I68" s="292">
        <f>$D5*I24*SUM('Cost per Cell'!$O11:$O14)*12</f>
        <v>0</v>
      </c>
      <c r="J68" s="292">
        <f>$D5*J24*SUM('Cost per Cell'!$O11:$O14)*12</f>
        <v>0</v>
      </c>
      <c r="K68" s="292">
        <f>$D5*K24*SUM('Cost per Cell'!$O11:$O14)*12</f>
        <v>0</v>
      </c>
      <c r="L68" s="292">
        <f>$D5*L24*SUM('Cost per Cell'!$O11:$O14)*12</f>
        <v>0</v>
      </c>
      <c r="M68" s="292">
        <f>$D5*M24*SUM('Cost per Cell'!$O11:$O14)*12</f>
        <v>0</v>
      </c>
      <c r="N68" s="292">
        <f>$D5*N24*SUM('Cost per Cell'!$O11:$O14)*12</f>
        <v>0</v>
      </c>
      <c r="O68" s="292">
        <f>$D5*O24*SUM('Cost per Cell'!$O11:$O14)*12</f>
        <v>0</v>
      </c>
      <c r="P68" s="293">
        <f>$D5*P24*SUM('Cost per Cell'!$O11:$O14)*12</f>
        <v>0</v>
      </c>
    </row>
    <row r="69" spans="7:18" x14ac:dyDescent="0.25">
      <c r="G69" s="371" t="s">
        <v>256</v>
      </c>
      <c r="H69" s="292">
        <f>$D5*H25*SUM('Cost per Cell'!$O11:$O14)*12</f>
        <v>0</v>
      </c>
      <c r="I69" s="292">
        <f>$D5*I25*SUM('Cost per Cell'!$O11:$O14)*12</f>
        <v>9244800</v>
      </c>
      <c r="J69" s="292">
        <f>$D5*J25*SUM('Cost per Cell'!$O11:$O14)*12</f>
        <v>9244800</v>
      </c>
      <c r="K69" s="292">
        <f>$D5*K25*SUM('Cost per Cell'!$O11:$O14)*12</f>
        <v>18489600</v>
      </c>
      <c r="L69" s="292">
        <f>$D5*L25*SUM('Cost per Cell'!$O11:$O14)*12</f>
        <v>27734400</v>
      </c>
      <c r="M69" s="292">
        <f>$D5*M25*SUM('Cost per Cell'!$O11:$O14)*12</f>
        <v>55468800</v>
      </c>
      <c r="N69" s="292">
        <f>$D5*N25*SUM('Cost per Cell'!$O11:$O14)*12</f>
        <v>83203200</v>
      </c>
      <c r="O69" s="292">
        <f>$D5*O25*SUM('Cost per Cell'!$O11:$O14)*12</f>
        <v>92448000</v>
      </c>
      <c r="P69" s="293">
        <f>$D5*P25*SUM('Cost per Cell'!$O11:$O14)*12</f>
        <v>92448000</v>
      </c>
      <c r="Q69" s="354"/>
      <c r="R69" s="354"/>
    </row>
    <row r="70" spans="7:18" x14ac:dyDescent="0.25">
      <c r="G70" s="369" t="s">
        <v>129</v>
      </c>
      <c r="H70" s="292">
        <f>$D5*H26*SUM('Cost per Cell'!$I11:$I14)*12</f>
        <v>6165000</v>
      </c>
      <c r="I70" s="292">
        <f>$D5*I26*SUM('Cost per Cell'!$I11:$I14)*12</f>
        <v>6165000</v>
      </c>
      <c r="J70" s="292">
        <f>$D5*J26*SUM('Cost per Cell'!$I11:$I14)*12</f>
        <v>6165000</v>
      </c>
      <c r="K70" s="292">
        <f>$D5*K26*SUM('Cost per Cell'!$I11:$I14)*12</f>
        <v>6165000</v>
      </c>
      <c r="L70" s="292">
        <f>$D5*L26*SUM('Cost per Cell'!$I11:$I14)*12</f>
        <v>6165000</v>
      </c>
      <c r="M70" s="292">
        <f>$D5*M26*SUM('Cost per Cell'!$I11:$I14)*12</f>
        <v>12330000</v>
      </c>
      <c r="N70" s="292">
        <f>$D5*N26*SUM('Cost per Cell'!$I11:$I14)*12</f>
        <v>18495000</v>
      </c>
      <c r="O70" s="292">
        <f>$D5*O26*SUM('Cost per Cell'!$I11:$I14)*12</f>
        <v>18495000</v>
      </c>
      <c r="P70" s="293">
        <f>$D5*P26*SUM('Cost per Cell'!$I11:$I14)*12</f>
        <v>18495000</v>
      </c>
      <c r="Q70" s="354"/>
      <c r="R70" s="354"/>
    </row>
    <row r="71" spans="7:18" ht="15.75" thickBot="1" x14ac:dyDescent="0.3">
      <c r="G71" s="401" t="s">
        <v>12</v>
      </c>
      <c r="H71" s="402">
        <f t="shared" ref="H71:P71" si="15">SUM(H44:H70)</f>
        <v>4047555840.7294836</v>
      </c>
      <c r="I71" s="402">
        <f t="shared" si="15"/>
        <v>9931542300</v>
      </c>
      <c r="J71" s="402">
        <f t="shared" si="15"/>
        <v>3354520050</v>
      </c>
      <c r="K71" s="402">
        <f t="shared" si="15"/>
        <v>3841055100</v>
      </c>
      <c r="L71" s="402">
        <f t="shared" si="15"/>
        <v>4274972650</v>
      </c>
      <c r="M71" s="402">
        <f t="shared" si="15"/>
        <v>4710070050</v>
      </c>
      <c r="N71" s="402">
        <f t="shared" si="15"/>
        <v>4968144200</v>
      </c>
      <c r="O71" s="402">
        <f t="shared" si="15"/>
        <v>5185313750</v>
      </c>
      <c r="P71" s="403">
        <f t="shared" si="15"/>
        <v>5078496000</v>
      </c>
      <c r="Q71" s="354"/>
      <c r="R71" s="354"/>
    </row>
    <row r="72" spans="7:18" x14ac:dyDescent="0.25">
      <c r="G72" s="354"/>
      <c r="H72" s="354"/>
      <c r="I72" s="354"/>
      <c r="J72" s="354"/>
      <c r="K72" s="354"/>
      <c r="L72" s="354"/>
      <c r="M72" s="354"/>
      <c r="N72" s="354"/>
      <c r="O72" s="354"/>
      <c r="P72" s="354"/>
      <c r="Q72" s="354"/>
      <c r="R72" s="354"/>
    </row>
    <row r="73" spans="7:18" ht="15.75" thickBot="1" x14ac:dyDescent="0.3">
      <c r="G73" s="354"/>
      <c r="H73" s="354"/>
      <c r="I73" s="354"/>
      <c r="J73" s="354"/>
      <c r="K73" s="354"/>
      <c r="L73" s="354"/>
      <c r="M73" s="354"/>
      <c r="N73" s="354"/>
      <c r="O73" s="354"/>
      <c r="P73" s="354"/>
      <c r="Q73" s="354"/>
      <c r="R73" s="354"/>
    </row>
    <row r="74" spans="7:18" x14ac:dyDescent="0.25">
      <c r="G74" s="347" t="s">
        <v>100</v>
      </c>
      <c r="H74" s="348" t="s">
        <v>8</v>
      </c>
      <c r="I74" s="348" t="s">
        <v>0</v>
      </c>
      <c r="J74" s="348" t="s">
        <v>1</v>
      </c>
      <c r="K74" s="348" t="s">
        <v>2</v>
      </c>
      <c r="L74" s="348" t="s">
        <v>3</v>
      </c>
      <c r="M74" s="348" t="s">
        <v>4</v>
      </c>
      <c r="N74" s="348" t="s">
        <v>5</v>
      </c>
      <c r="O74" s="348" t="s">
        <v>6</v>
      </c>
      <c r="P74" s="349" t="s">
        <v>7</v>
      </c>
      <c r="Q74" s="354"/>
      <c r="R74" s="354"/>
    </row>
    <row r="75" spans="7:18" x14ac:dyDescent="0.25">
      <c r="G75" s="377" t="s">
        <v>16</v>
      </c>
      <c r="H75" s="378">
        <v>46.5</v>
      </c>
      <c r="I75" s="378">
        <f>H75*1.01</f>
        <v>46.965000000000003</v>
      </c>
      <c r="J75" s="378">
        <f t="shared" ref="J75:P75" si="16">I75*1.01</f>
        <v>47.434650000000005</v>
      </c>
      <c r="K75" s="378">
        <f t="shared" si="16"/>
        <v>47.908996500000008</v>
      </c>
      <c r="L75" s="378">
        <f t="shared" si="16"/>
        <v>48.388086465000008</v>
      </c>
      <c r="M75" s="378">
        <f t="shared" si="16"/>
        <v>48.871967329650005</v>
      </c>
      <c r="N75" s="378">
        <f t="shared" si="16"/>
        <v>49.360687002946506</v>
      </c>
      <c r="O75" s="378">
        <f t="shared" si="16"/>
        <v>49.854293872975973</v>
      </c>
      <c r="P75" s="379">
        <f t="shared" si="16"/>
        <v>50.352836811705735</v>
      </c>
      <c r="Q75" s="354"/>
      <c r="R75" s="354"/>
    </row>
    <row r="76" spans="7:18" ht="15.75" thickBot="1" x14ac:dyDescent="0.3">
      <c r="G76" s="380" t="s">
        <v>104</v>
      </c>
      <c r="H76" s="381">
        <f t="shared" ref="H76:P76" si="17">H12*H75*12</f>
        <v>14542456500</v>
      </c>
      <c r="I76" s="381">
        <f t="shared" si="17"/>
        <v>14981638686.300001</v>
      </c>
      <c r="J76" s="381">
        <f t="shared" si="17"/>
        <v>15428150270.676001</v>
      </c>
      <c r="K76" s="381">
        <f t="shared" si="17"/>
        <v>15882093922.870892</v>
      </c>
      <c r="L76" s="381">
        <f t="shared" si="17"/>
        <v>16343573633.082613</v>
      </c>
      <c r="M76" s="381">
        <f t="shared" si="17"/>
        <v>16812694728.106281</v>
      </c>
      <c r="N76" s="381">
        <f t="shared" si="17"/>
        <v>17289563887.667114</v>
      </c>
      <c r="O76" s="381">
        <f t="shared" si="17"/>
        <v>17774289160.94635</v>
      </c>
      <c r="P76" s="382">
        <f t="shared" si="17"/>
        <v>18266979983.302406</v>
      </c>
      <c r="Q76" s="354"/>
      <c r="R76" s="354"/>
    </row>
    <row r="77" spans="7:18" x14ac:dyDescent="0.25">
      <c r="G77" s="354"/>
      <c r="H77" s="354"/>
      <c r="I77" s="354"/>
      <c r="J77" s="354"/>
      <c r="K77" s="354"/>
      <c r="L77" s="354"/>
      <c r="M77" s="354"/>
      <c r="N77" s="354"/>
      <c r="O77" s="354"/>
      <c r="P77" s="354"/>
      <c r="Q77" s="354"/>
      <c r="R77" s="354"/>
    </row>
    <row r="78" spans="7:18" ht="15.75" thickBot="1" x14ac:dyDescent="0.3">
      <c r="G78" s="354"/>
      <c r="H78" s="354"/>
      <c r="I78" s="354"/>
      <c r="J78" s="354"/>
      <c r="K78" s="354"/>
      <c r="L78" s="354"/>
      <c r="M78" s="354"/>
      <c r="N78" s="354"/>
      <c r="O78" s="354"/>
      <c r="P78" s="354"/>
      <c r="Q78" s="354"/>
      <c r="R78" s="354"/>
    </row>
    <row r="79" spans="7:18" x14ac:dyDescent="0.25">
      <c r="G79" s="347" t="s">
        <v>105</v>
      </c>
      <c r="H79" s="348" t="s">
        <v>8</v>
      </c>
      <c r="I79" s="348" t="s">
        <v>0</v>
      </c>
      <c r="J79" s="348" t="s">
        <v>1</v>
      </c>
      <c r="K79" s="348" t="s">
        <v>2</v>
      </c>
      <c r="L79" s="348" t="s">
        <v>3</v>
      </c>
      <c r="M79" s="348" t="s">
        <v>4</v>
      </c>
      <c r="N79" s="348" t="s">
        <v>5</v>
      </c>
      <c r="O79" s="348" t="s">
        <v>6</v>
      </c>
      <c r="P79" s="349" t="s">
        <v>7</v>
      </c>
      <c r="Q79" s="354"/>
      <c r="R79" s="354"/>
    </row>
    <row r="80" spans="7:18" x14ac:dyDescent="0.25">
      <c r="G80" s="377" t="s">
        <v>107</v>
      </c>
      <c r="H80" s="383">
        <f t="shared" ref="H80:P80" si="18">+H76</f>
        <v>14542456500</v>
      </c>
      <c r="I80" s="383">
        <f t="shared" si="18"/>
        <v>14981638686.300001</v>
      </c>
      <c r="J80" s="383">
        <f t="shared" si="18"/>
        <v>15428150270.676001</v>
      </c>
      <c r="K80" s="383">
        <f t="shared" si="18"/>
        <v>15882093922.870892</v>
      </c>
      <c r="L80" s="383">
        <f t="shared" si="18"/>
        <v>16343573633.082613</v>
      </c>
      <c r="M80" s="383">
        <f t="shared" si="18"/>
        <v>16812694728.106281</v>
      </c>
      <c r="N80" s="383">
        <f t="shared" si="18"/>
        <v>17289563887.667114</v>
      </c>
      <c r="O80" s="383">
        <f t="shared" si="18"/>
        <v>17774289160.94635</v>
      </c>
      <c r="P80" s="384">
        <f t="shared" si="18"/>
        <v>18266979983.302406</v>
      </c>
      <c r="Q80" s="354"/>
      <c r="R80" s="354"/>
    </row>
    <row r="81" spans="7:18" x14ac:dyDescent="0.25">
      <c r="G81" s="377" t="s">
        <v>288</v>
      </c>
      <c r="H81" s="383">
        <f t="shared" ref="H81:P81" si="19">H71</f>
        <v>4047555840.7294836</v>
      </c>
      <c r="I81" s="383">
        <f t="shared" si="19"/>
        <v>9931542300</v>
      </c>
      <c r="J81" s="383">
        <f t="shared" si="19"/>
        <v>3354520050</v>
      </c>
      <c r="K81" s="383">
        <f t="shared" si="19"/>
        <v>3841055100</v>
      </c>
      <c r="L81" s="383">
        <f t="shared" si="19"/>
        <v>4274972650</v>
      </c>
      <c r="M81" s="383">
        <f t="shared" si="19"/>
        <v>4710070050</v>
      </c>
      <c r="N81" s="383">
        <f t="shared" si="19"/>
        <v>4968144200</v>
      </c>
      <c r="O81" s="383">
        <f t="shared" si="19"/>
        <v>5185313750</v>
      </c>
      <c r="P81" s="384">
        <f t="shared" si="19"/>
        <v>5078496000</v>
      </c>
      <c r="Q81" s="354"/>
      <c r="R81" s="354"/>
    </row>
    <row r="82" spans="7:18" x14ac:dyDescent="0.25">
      <c r="G82" s="377" t="s">
        <v>257</v>
      </c>
      <c r="H82" s="383">
        <f>H80*0.25</f>
        <v>3635614125</v>
      </c>
      <c r="I82" s="383">
        <f t="shared" ref="I82:P82" si="20">I80*0.25</f>
        <v>3745409671.5750003</v>
      </c>
      <c r="J82" s="383">
        <f t="shared" si="20"/>
        <v>3857037567.6690001</v>
      </c>
      <c r="K82" s="383">
        <f t="shared" si="20"/>
        <v>3970523480.7177229</v>
      </c>
      <c r="L82" s="383">
        <f t="shared" si="20"/>
        <v>4085893408.2706532</v>
      </c>
      <c r="M82" s="383">
        <f t="shared" si="20"/>
        <v>4203173682.0265703</v>
      </c>
      <c r="N82" s="383">
        <f t="shared" si="20"/>
        <v>4322390971.9167786</v>
      </c>
      <c r="O82" s="383">
        <f t="shared" si="20"/>
        <v>4443572290.2365875</v>
      </c>
      <c r="P82" s="384">
        <f t="shared" si="20"/>
        <v>4566744995.8256016</v>
      </c>
      <c r="Q82" s="354"/>
    </row>
    <row r="83" spans="7:18" ht="15.75" thickBot="1" x14ac:dyDescent="0.3">
      <c r="G83" s="380" t="s">
        <v>9</v>
      </c>
      <c r="H83" s="381">
        <f t="shared" ref="H83:P83" si="21">H80-H82-H81</f>
        <v>6859286534.2705164</v>
      </c>
      <c r="I83" s="381">
        <f t="shared" si="21"/>
        <v>1304686714.7250004</v>
      </c>
      <c r="J83" s="381">
        <f t="shared" si="21"/>
        <v>8216592653.007</v>
      </c>
      <c r="K83" s="381">
        <f t="shared" si="21"/>
        <v>8070515342.1531677</v>
      </c>
      <c r="L83" s="381">
        <f t="shared" si="21"/>
        <v>7982707574.8119602</v>
      </c>
      <c r="M83" s="381">
        <f t="shared" si="21"/>
        <v>7899450996.0797119</v>
      </c>
      <c r="N83" s="381">
        <f t="shared" si="21"/>
        <v>7999028715.7503357</v>
      </c>
      <c r="O83" s="381">
        <f t="shared" si="21"/>
        <v>8145403120.7097626</v>
      </c>
      <c r="P83" s="382">
        <f t="shared" si="21"/>
        <v>8621738987.4768047</v>
      </c>
      <c r="Q83" s="354"/>
      <c r="R83" s="354"/>
    </row>
    <row r="84" spans="7:18" ht="15.75" thickBot="1" x14ac:dyDescent="0.3">
      <c r="G84" s="354"/>
      <c r="H84" s="354"/>
      <c r="I84" s="354"/>
      <c r="J84" s="354"/>
      <c r="K84" s="354"/>
      <c r="L84" s="354"/>
      <c r="M84" s="354"/>
      <c r="N84" s="354"/>
      <c r="O84" s="354"/>
      <c r="P84" s="354"/>
      <c r="Q84" s="354"/>
      <c r="R84" s="354"/>
    </row>
    <row r="85" spans="7:18" x14ac:dyDescent="0.25">
      <c r="G85" s="385" t="s">
        <v>108</v>
      </c>
      <c r="H85" s="386">
        <f>NPV(0.1,H83:P83)</f>
        <v>39976270420.834335</v>
      </c>
      <c r="I85" s="354"/>
      <c r="J85" s="354"/>
      <c r="K85" s="354"/>
      <c r="L85" s="354"/>
      <c r="M85" s="354"/>
      <c r="N85" s="354"/>
      <c r="O85" s="354"/>
      <c r="P85" s="354"/>
      <c r="Q85" s="354"/>
      <c r="R85" s="354"/>
    </row>
    <row r="86" spans="7:18" ht="15.75" thickBot="1" x14ac:dyDescent="0.3">
      <c r="G86" s="387" t="s">
        <v>109</v>
      </c>
      <c r="H86" s="388" t="str">
        <f>IFERROR(IRR(H83:P83,500%), "N/A")</f>
        <v>N/A</v>
      </c>
      <c r="I86" s="354"/>
      <c r="J86" s="354"/>
      <c r="K86" s="354"/>
      <c r="L86" s="354"/>
      <c r="M86" s="354"/>
      <c r="N86" s="354"/>
      <c r="O86" s="354"/>
      <c r="P86" s="354"/>
      <c r="Q86" s="354"/>
    </row>
    <row r="87" spans="7:18" x14ac:dyDescent="0.25">
      <c r="G87" s="354"/>
      <c r="H87" s="354"/>
      <c r="I87" s="354"/>
      <c r="J87" s="354"/>
      <c r="K87" s="354"/>
      <c r="L87" s="354"/>
      <c r="M87" s="354"/>
      <c r="N87" s="354"/>
      <c r="O87" s="354"/>
      <c r="P87" s="354"/>
      <c r="Q87" s="354"/>
      <c r="R87" s="354"/>
    </row>
    <row r="88" spans="7:18" x14ac:dyDescent="0.25">
      <c r="G88" s="354"/>
      <c r="H88" s="354"/>
      <c r="I88" s="354"/>
      <c r="J88" s="354"/>
      <c r="K88" s="354"/>
      <c r="L88" s="354"/>
      <c r="M88" s="354"/>
      <c r="N88" s="354"/>
      <c r="O88" s="354"/>
      <c r="P88" s="354"/>
      <c r="Q88" s="354"/>
      <c r="R88" s="354"/>
    </row>
  </sheetData>
  <sheetProtection algorithmName="SHA-512" hashValue="daqQvL4piPuKl1gtGoHi4Ra+5EiJEzXzzG7Z9sodjMqbQgqJWMOd+kemJ3dJNEw5EMXD/hhcH/79yl5ESjTjQg==" saltValue="N6/X5Qo5l4T4KBFqvy+kKQ==" spinCount="100000" sheet="1" objects="1" scenarios="1"/>
  <protectedRanges>
    <protectedRange algorithmName="SHA-512" hashValue="g6rqD8rhutwiGea4F1+qqourNq70kiiamE0WEW3Tfl21rXApGUsObLCDruO7hp0/oTYd7fJq9+LxW7jMexcHbw==" saltValue="6eqf8MeroKfPGUEVw14HqA==" spinCount="100000" sqref="B4:D52" name="Range2"/>
    <protectedRange algorithmName="SHA-512" hashValue="MnDUCeYg31G4ztg06IYeMqnMlJHdoMaHSpRHt/kO8ynFTilZSDguGSg9nmGK6IQphIJKHGE39EpuJJ8B2CzE5g==" saltValue="/3+C7t8BHmbZDaVhoVspjg==" spinCount="100000" sqref="G9:P26" name="Range1"/>
  </protectedRanges>
  <conditionalFormatting sqref="A87:XFD1048576 A86:Q86 S86:XFD86 A1:XFD85">
    <cfRule type="expression" dxfId="3" priority="1">
      <formula>"a1&lt;0"</formula>
    </cfRule>
  </conditionalFormatting>
  <pageMargins left="0.7" right="0.7" top="0.75" bottom="0.75" header="0.3" footer="0.3"/>
  <pageSetup orientation="portrait" horizont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88"/>
  <sheetViews>
    <sheetView topLeftCell="A7" zoomScale="80" zoomScaleNormal="80" workbookViewId="0">
      <selection activeCell="L54" sqref="L54"/>
    </sheetView>
  </sheetViews>
  <sheetFormatPr defaultColWidth="8.85546875" defaultRowHeight="15" x14ac:dyDescent="0.25"/>
  <cols>
    <col min="1" max="2" width="8.85546875" style="318"/>
    <col min="3" max="3" width="25.7109375" style="318" customWidth="1"/>
    <col min="4" max="4" width="14" style="318" bestFit="1" customWidth="1"/>
    <col min="5" max="5" width="11.7109375" style="318" customWidth="1"/>
    <col min="6" max="6" width="8.85546875" style="318"/>
    <col min="7" max="7" width="31.28515625" style="318" customWidth="1"/>
    <col min="8" max="8" width="18.7109375" style="318" bestFit="1" customWidth="1"/>
    <col min="9" max="16" width="15.7109375" style="318" bestFit="1" customWidth="1"/>
    <col min="17" max="16384" width="8.85546875" style="318"/>
  </cols>
  <sheetData>
    <row r="1" spans="1:16" x14ac:dyDescent="0.25">
      <c r="A1" s="317" t="s">
        <v>301</v>
      </c>
    </row>
    <row r="2" spans="1:16" x14ac:dyDescent="0.25">
      <c r="A2" s="318" t="s">
        <v>112</v>
      </c>
    </row>
    <row r="3" spans="1:16" x14ac:dyDescent="0.25">
      <c r="B3" s="318" t="s">
        <v>158</v>
      </c>
      <c r="H3" s="396"/>
      <c r="I3" s="396"/>
      <c r="J3" s="396"/>
      <c r="K3" s="396"/>
      <c r="L3" s="396"/>
      <c r="M3" s="396"/>
      <c r="N3" s="396"/>
      <c r="O3" s="396"/>
      <c r="P3" s="396"/>
    </row>
    <row r="4" spans="1:16" x14ac:dyDescent="0.25">
      <c r="C4" s="318" t="s">
        <v>157</v>
      </c>
      <c r="D4" s="319">
        <f>'4.  New TMo OVERALL'!C4*0.25</f>
        <v>21250</v>
      </c>
      <c r="E4" s="318" t="s">
        <v>145</v>
      </c>
      <c r="H4" s="396"/>
      <c r="I4" s="396"/>
      <c r="J4" s="396"/>
      <c r="K4" s="396"/>
      <c r="L4" s="396"/>
      <c r="M4" s="396"/>
      <c r="N4" s="396"/>
      <c r="O4" s="396"/>
      <c r="P4" s="396"/>
    </row>
    <row r="5" spans="1:16" x14ac:dyDescent="0.25">
      <c r="C5" s="318" t="s">
        <v>144</v>
      </c>
      <c r="D5" s="320">
        <f>'4.  New TMo OVERALL'!C5*0.3</f>
        <v>15000</v>
      </c>
      <c r="E5" s="318" t="s">
        <v>145</v>
      </c>
      <c r="H5" s="404"/>
      <c r="I5" s="404"/>
      <c r="J5" s="404"/>
      <c r="K5" s="404"/>
      <c r="L5" s="404"/>
      <c r="M5" s="404"/>
      <c r="N5" s="404"/>
      <c r="O5" s="404"/>
      <c r="P5" s="404"/>
    </row>
    <row r="6" spans="1:16" x14ac:dyDescent="0.25">
      <c r="C6" s="318" t="s">
        <v>249</v>
      </c>
      <c r="D6" s="319">
        <v>95712500</v>
      </c>
      <c r="E6" s="318" t="s">
        <v>250</v>
      </c>
    </row>
    <row r="7" spans="1:16" x14ac:dyDescent="0.25">
      <c r="C7" s="318" t="s">
        <v>303</v>
      </c>
      <c r="D7" s="321">
        <v>0.15</v>
      </c>
      <c r="E7" s="318" t="s">
        <v>251</v>
      </c>
    </row>
    <row r="8" spans="1:16" ht="15.75" thickBot="1" x14ac:dyDescent="0.3">
      <c r="H8" s="322">
        <v>2019</v>
      </c>
      <c r="I8" s="322">
        <v>2020</v>
      </c>
      <c r="J8" s="322">
        <v>2021</v>
      </c>
      <c r="K8" s="322">
        <v>2022</v>
      </c>
      <c r="L8" s="322">
        <v>2023</v>
      </c>
      <c r="M8" s="322">
        <v>2024</v>
      </c>
      <c r="N8" s="322">
        <v>2025</v>
      </c>
      <c r="O8" s="322">
        <v>2026</v>
      </c>
      <c r="P8" s="322">
        <v>2027</v>
      </c>
    </row>
    <row r="9" spans="1:16" s="317" customFormat="1" x14ac:dyDescent="0.25">
      <c r="A9" s="323"/>
      <c r="B9" s="324" t="s">
        <v>142</v>
      </c>
      <c r="C9" s="325"/>
      <c r="D9" s="325"/>
      <c r="E9" s="326"/>
      <c r="G9" s="327" t="s">
        <v>88</v>
      </c>
      <c r="H9" s="328" t="s">
        <v>8</v>
      </c>
      <c r="I9" s="328" t="s">
        <v>0</v>
      </c>
      <c r="J9" s="328" t="s">
        <v>1</v>
      </c>
      <c r="K9" s="328" t="s">
        <v>2</v>
      </c>
      <c r="L9" s="328" t="s">
        <v>3</v>
      </c>
      <c r="M9" s="328" t="s">
        <v>4</v>
      </c>
      <c r="N9" s="328" t="s">
        <v>5</v>
      </c>
      <c r="O9" s="328" t="s">
        <v>6</v>
      </c>
      <c r="P9" s="329" t="s">
        <v>7</v>
      </c>
    </row>
    <row r="10" spans="1:16" x14ac:dyDescent="0.25">
      <c r="A10" s="330"/>
      <c r="B10" s="331"/>
      <c r="C10" s="332" t="s">
        <v>154</v>
      </c>
      <c r="D10" s="336">
        <v>30</v>
      </c>
      <c r="E10" s="334" t="s">
        <v>68</v>
      </c>
      <c r="G10" s="335" t="s">
        <v>15</v>
      </c>
      <c r="H10" s="306">
        <f>'3.  USA Suburban'!H10*1.4</f>
        <v>16.799999999999997</v>
      </c>
      <c r="I10" s="306">
        <f>'3.  USA Suburban'!I10*1.35</f>
        <v>21.870000000000005</v>
      </c>
      <c r="J10" s="306">
        <f>'3.  USA Suburban'!J10*1.3</f>
        <v>28.431000000000008</v>
      </c>
      <c r="K10" s="306">
        <f>'3.  USA Suburban'!K10*1.25</f>
        <v>36.905625000000008</v>
      </c>
      <c r="L10" s="306">
        <f>'3.  USA Suburban'!L10*1.2</f>
        <v>47.829690000000014</v>
      </c>
      <c r="M10" s="306">
        <f>'3.  USA Suburban'!M10*1.15</f>
        <v>61.879661437500026</v>
      </c>
      <c r="N10" s="306">
        <f>'3.  USA Suburban'!N10*1.1</f>
        <v>76.94601378750005</v>
      </c>
      <c r="O10" s="306">
        <f>'3.  USA Suburban'!O10*1.05</f>
        <v>91.810584632812549</v>
      </c>
      <c r="P10" s="307">
        <f>'3.  USA Suburban'!P10*1</f>
        <v>109.29831503906256</v>
      </c>
    </row>
    <row r="11" spans="1:16" x14ac:dyDescent="0.25">
      <c r="A11" s="330"/>
      <c r="B11" s="331"/>
      <c r="C11" s="332" t="s">
        <v>67</v>
      </c>
      <c r="D11" s="336">
        <v>2</v>
      </c>
      <c r="E11" s="334" t="s">
        <v>69</v>
      </c>
      <c r="G11" s="331" t="s">
        <v>115</v>
      </c>
      <c r="H11" s="308">
        <v>0.3</v>
      </c>
      <c r="I11" s="308">
        <v>0.3</v>
      </c>
      <c r="J11" s="308">
        <v>0.3</v>
      </c>
      <c r="K11" s="308">
        <v>0.3</v>
      </c>
      <c r="L11" s="308">
        <v>0.3</v>
      </c>
      <c r="M11" s="308">
        <v>0.3</v>
      </c>
      <c r="N11" s="308">
        <v>0.3</v>
      </c>
      <c r="O11" s="308">
        <v>0.3</v>
      </c>
      <c r="P11" s="309">
        <v>0.3</v>
      </c>
    </row>
    <row r="12" spans="1:16" ht="15.75" thickBot="1" x14ac:dyDescent="0.3">
      <c r="A12" s="330"/>
      <c r="B12" s="337"/>
      <c r="C12" s="338" t="s">
        <v>126</v>
      </c>
      <c r="D12" s="339">
        <f>D10*D11*60*60*24*30*3*D7/8/1000</f>
        <v>8748</v>
      </c>
      <c r="E12" s="340"/>
      <c r="G12" s="341" t="s">
        <v>116</v>
      </c>
      <c r="H12" s="310">
        <f>H11*$D6</f>
        <v>28713750</v>
      </c>
      <c r="I12" s="310">
        <f>I11*$D6*1.02</f>
        <v>29288025</v>
      </c>
      <c r="J12" s="310">
        <f>J11*$D6*1.04</f>
        <v>29862300</v>
      </c>
      <c r="K12" s="310">
        <f>K11*$D6*1.06</f>
        <v>30436575</v>
      </c>
      <c r="L12" s="310">
        <f>L11*$D6*1.08</f>
        <v>31010850.000000004</v>
      </c>
      <c r="M12" s="310">
        <f>M11*$D6*1.1</f>
        <v>31585125.000000004</v>
      </c>
      <c r="N12" s="310">
        <f>N11*$D6*1.12</f>
        <v>32159400.000000004</v>
      </c>
      <c r="O12" s="310">
        <f>O11*$D6*1.14</f>
        <v>32733674.999999996</v>
      </c>
      <c r="P12" s="311">
        <f>P11*$D6*1.16</f>
        <v>33307949.999999996</v>
      </c>
    </row>
    <row r="13" spans="1:16" ht="15.75" thickBot="1" x14ac:dyDescent="0.3">
      <c r="A13" s="330"/>
      <c r="B13" s="342" t="s">
        <v>143</v>
      </c>
      <c r="C13" s="323"/>
      <c r="D13" s="323"/>
      <c r="E13" s="343"/>
      <c r="G13" s="405" t="s">
        <v>117</v>
      </c>
      <c r="H13" s="406">
        <f>H12*H10</f>
        <v>482390999.99999994</v>
      </c>
      <c r="I13" s="406">
        <f t="shared" ref="I13:P13" si="0">I12*I10</f>
        <v>640529106.75000012</v>
      </c>
      <c r="J13" s="406">
        <f t="shared" si="0"/>
        <v>849015051.30000019</v>
      </c>
      <c r="K13" s="406">
        <f t="shared" si="0"/>
        <v>1123280823.2343752</v>
      </c>
      <c r="L13" s="406">
        <f t="shared" si="0"/>
        <v>1483239342.1365006</v>
      </c>
      <c r="M13" s="406">
        <f t="shared" si="0"/>
        <v>1954476841.4611182</v>
      </c>
      <c r="N13" s="406">
        <f t="shared" si="0"/>
        <v>2474537635.7977295</v>
      </c>
      <c r="O13" s="406">
        <f t="shared" si="0"/>
        <v>3005297838.93048</v>
      </c>
      <c r="P13" s="407">
        <f t="shared" si="0"/>
        <v>3640502812.4053435</v>
      </c>
    </row>
    <row r="14" spans="1:16" x14ac:dyDescent="0.25">
      <c r="A14" s="330"/>
      <c r="B14" s="331"/>
      <c r="C14" s="332" t="s">
        <v>66</v>
      </c>
      <c r="D14" s="336">
        <v>20</v>
      </c>
      <c r="E14" s="334" t="s">
        <v>68</v>
      </c>
      <c r="G14" s="317"/>
      <c r="H14" s="314"/>
      <c r="I14" s="314"/>
      <c r="J14" s="314"/>
      <c r="K14" s="314"/>
      <c r="L14" s="314"/>
      <c r="M14" s="314"/>
      <c r="N14" s="314"/>
      <c r="O14" s="314"/>
      <c r="P14" s="314"/>
    </row>
    <row r="15" spans="1:16" s="317" customFormat="1" x14ac:dyDescent="0.25">
      <c r="A15" s="323"/>
      <c r="B15" s="331"/>
      <c r="C15" s="332" t="s">
        <v>67</v>
      </c>
      <c r="D15" s="336">
        <v>2</v>
      </c>
      <c r="E15" s="334" t="s">
        <v>69</v>
      </c>
      <c r="G15" s="345" t="s">
        <v>123</v>
      </c>
      <c r="H15" s="315"/>
      <c r="I15" s="315"/>
      <c r="J15" s="315"/>
      <c r="K15" s="315"/>
      <c r="L15" s="315"/>
      <c r="M15" s="315"/>
      <c r="N15" s="315"/>
      <c r="O15" s="315"/>
      <c r="P15" s="315"/>
    </row>
    <row r="16" spans="1:16" ht="15.75" thickBot="1" x14ac:dyDescent="0.3">
      <c r="A16" s="330"/>
      <c r="B16" s="331"/>
      <c r="C16" s="332" t="s">
        <v>126</v>
      </c>
      <c r="D16" s="333">
        <f>D14*D15*60*60*24*30*3*D7/8/1000</f>
        <v>5832</v>
      </c>
      <c r="E16" s="334"/>
      <c r="G16" s="345" t="s">
        <v>128</v>
      </c>
      <c r="H16" s="316">
        <v>0.2</v>
      </c>
      <c r="I16" s="316">
        <v>0.5</v>
      </c>
      <c r="J16" s="316">
        <v>0.99</v>
      </c>
      <c r="K16" s="316">
        <v>0.99</v>
      </c>
      <c r="L16" s="316">
        <v>0.99</v>
      </c>
      <c r="M16" s="316">
        <v>0.99</v>
      </c>
      <c r="N16" s="316">
        <v>0.99</v>
      </c>
      <c r="O16" s="316">
        <v>0.99</v>
      </c>
      <c r="P16" s="316">
        <v>0.99</v>
      </c>
    </row>
    <row r="17" spans="1:18" x14ac:dyDescent="0.25">
      <c r="A17" s="330"/>
      <c r="B17" s="324" t="s">
        <v>147</v>
      </c>
      <c r="C17" s="325"/>
      <c r="D17" s="325"/>
      <c r="E17" s="326"/>
      <c r="G17" s="345" t="s">
        <v>121</v>
      </c>
      <c r="H17" s="316">
        <v>0.99</v>
      </c>
      <c r="I17" s="316">
        <v>0.99</v>
      </c>
      <c r="J17" s="316">
        <v>0.99</v>
      </c>
      <c r="K17" s="316">
        <v>0.99</v>
      </c>
      <c r="L17" s="316">
        <v>0.99</v>
      </c>
      <c r="M17" s="316">
        <v>0.99</v>
      </c>
      <c r="N17" s="316">
        <v>0.99</v>
      </c>
      <c r="O17" s="316">
        <v>0.99</v>
      </c>
      <c r="P17" s="316">
        <v>0.99</v>
      </c>
    </row>
    <row r="18" spans="1:18" x14ac:dyDescent="0.25">
      <c r="A18" s="330"/>
      <c r="B18" s="331"/>
      <c r="C18" s="332" t="s">
        <v>161</v>
      </c>
      <c r="D18" s="336">
        <v>100</v>
      </c>
      <c r="E18" s="334" t="s">
        <v>68</v>
      </c>
      <c r="G18" s="345" t="s">
        <v>122</v>
      </c>
      <c r="H18" s="316">
        <v>0.5</v>
      </c>
      <c r="I18" s="316">
        <v>0.7</v>
      </c>
      <c r="J18" s="316">
        <v>0.8</v>
      </c>
      <c r="K18" s="316">
        <v>0.9</v>
      </c>
      <c r="L18" s="316">
        <v>0.95</v>
      </c>
      <c r="M18" s="316">
        <v>0.99</v>
      </c>
      <c r="N18" s="316">
        <v>0.99</v>
      </c>
      <c r="O18" s="316">
        <v>0.99</v>
      </c>
      <c r="P18" s="316">
        <v>0.99</v>
      </c>
    </row>
    <row r="19" spans="1:18" x14ac:dyDescent="0.25">
      <c r="A19" s="330"/>
      <c r="B19" s="331"/>
      <c r="C19" s="332" t="s">
        <v>67</v>
      </c>
      <c r="D19" s="336">
        <v>2</v>
      </c>
      <c r="E19" s="334" t="s">
        <v>69</v>
      </c>
      <c r="G19" s="345" t="s">
        <v>120</v>
      </c>
      <c r="H19" s="316"/>
      <c r="I19" s="316"/>
      <c r="J19" s="316"/>
      <c r="K19" s="316"/>
      <c r="L19" s="316"/>
      <c r="M19" s="316"/>
      <c r="N19" s="316"/>
      <c r="O19" s="316"/>
      <c r="P19" s="316"/>
    </row>
    <row r="20" spans="1:18" ht="15.75" thickBot="1" x14ac:dyDescent="0.3">
      <c r="A20" s="330"/>
      <c r="B20" s="337"/>
      <c r="C20" s="338" t="s">
        <v>126</v>
      </c>
      <c r="D20" s="339">
        <f>D18*D19*60*60*24*30*3*D7/8/1000</f>
        <v>29160</v>
      </c>
      <c r="E20" s="340"/>
      <c r="G20" s="345" t="s">
        <v>131</v>
      </c>
      <c r="H20" s="316"/>
      <c r="I20" s="316"/>
      <c r="J20" s="316"/>
      <c r="K20" s="316"/>
      <c r="L20" s="316"/>
      <c r="M20" s="316"/>
      <c r="N20" s="316"/>
      <c r="O20" s="316"/>
      <c r="P20" s="316"/>
      <c r="R20" s="354"/>
    </row>
    <row r="21" spans="1:18" s="317" customFormat="1" x14ac:dyDescent="0.25">
      <c r="A21" s="323"/>
      <c r="B21" s="342" t="s">
        <v>138</v>
      </c>
      <c r="C21" s="323"/>
      <c r="D21" s="323"/>
      <c r="E21" s="343"/>
      <c r="F21" s="318"/>
      <c r="G21" s="345" t="s">
        <v>130</v>
      </c>
      <c r="H21" s="316"/>
      <c r="I21" s="316"/>
      <c r="J21" s="316"/>
      <c r="K21" s="316"/>
      <c r="L21" s="316"/>
      <c r="M21" s="316"/>
      <c r="N21" s="316"/>
      <c r="O21" s="316"/>
      <c r="P21" s="316"/>
      <c r="Q21" s="318"/>
      <c r="R21" s="354"/>
    </row>
    <row r="22" spans="1:18" x14ac:dyDescent="0.25">
      <c r="A22" s="330"/>
      <c r="B22" s="331"/>
      <c r="C22" s="332" t="s">
        <v>74</v>
      </c>
      <c r="D22" s="336">
        <v>140</v>
      </c>
      <c r="E22" s="334" t="s">
        <v>68</v>
      </c>
      <c r="G22" s="345" t="s">
        <v>132</v>
      </c>
      <c r="H22" s="316">
        <v>0</v>
      </c>
      <c r="I22" s="316">
        <v>0</v>
      </c>
      <c r="J22" s="316">
        <v>0.1</v>
      </c>
      <c r="K22" s="316">
        <v>0.2</v>
      </c>
      <c r="L22" s="316">
        <v>0.3</v>
      </c>
      <c r="M22" s="316">
        <v>0.2</v>
      </c>
      <c r="N22" s="316"/>
      <c r="O22" s="316"/>
      <c r="P22" s="316"/>
      <c r="R22" s="354"/>
    </row>
    <row r="23" spans="1:18" x14ac:dyDescent="0.25">
      <c r="A23" s="330"/>
      <c r="B23" s="331"/>
      <c r="C23" s="332" t="s">
        <v>67</v>
      </c>
      <c r="D23" s="336">
        <v>2</v>
      </c>
      <c r="E23" s="334" t="s">
        <v>69</v>
      </c>
      <c r="G23" s="345" t="s">
        <v>133</v>
      </c>
      <c r="H23" s="316">
        <v>0</v>
      </c>
      <c r="I23" s="316">
        <v>0</v>
      </c>
      <c r="J23" s="316">
        <v>0</v>
      </c>
      <c r="K23" s="316">
        <v>0</v>
      </c>
      <c r="L23" s="316">
        <v>0.1</v>
      </c>
      <c r="M23" s="316">
        <v>0.3</v>
      </c>
      <c r="N23" s="316">
        <v>0.6</v>
      </c>
      <c r="O23" s="316">
        <v>0.8</v>
      </c>
      <c r="P23" s="316">
        <v>0.99</v>
      </c>
      <c r="R23" s="354"/>
    </row>
    <row r="24" spans="1:18" ht="15.75" thickBot="1" x14ac:dyDescent="0.3">
      <c r="A24" s="330"/>
      <c r="B24" s="331"/>
      <c r="C24" s="332" t="s">
        <v>126</v>
      </c>
      <c r="D24" s="339">
        <f>D22*D23*60*60*24*30*3*D7/8/1000</f>
        <v>40824</v>
      </c>
      <c r="E24" s="334"/>
      <c r="G24" s="345" t="s">
        <v>152</v>
      </c>
      <c r="H24" s="316">
        <v>0.3</v>
      </c>
      <c r="I24" s="316">
        <v>0</v>
      </c>
      <c r="J24" s="316">
        <v>0</v>
      </c>
      <c r="K24" s="316">
        <v>0</v>
      </c>
      <c r="L24" s="316">
        <v>0</v>
      </c>
      <c r="M24" s="316">
        <v>0</v>
      </c>
      <c r="N24" s="316">
        <v>0</v>
      </c>
      <c r="O24" s="316">
        <v>0</v>
      </c>
      <c r="P24" s="316">
        <v>0</v>
      </c>
      <c r="R24" s="354"/>
    </row>
    <row r="25" spans="1:18" x14ac:dyDescent="0.25">
      <c r="A25" s="330"/>
      <c r="B25" s="324" t="s">
        <v>137</v>
      </c>
      <c r="C25" s="325"/>
      <c r="D25" s="325"/>
      <c r="E25" s="326"/>
      <c r="G25" s="345" t="s">
        <v>153</v>
      </c>
      <c r="H25" s="316">
        <v>0</v>
      </c>
      <c r="I25" s="316">
        <v>0.1</v>
      </c>
      <c r="J25" s="316">
        <v>0.1</v>
      </c>
      <c r="K25" s="316">
        <v>0.2</v>
      </c>
      <c r="L25" s="316">
        <v>0.3</v>
      </c>
      <c r="M25" s="316">
        <v>0.6</v>
      </c>
      <c r="N25" s="316">
        <v>0.9</v>
      </c>
      <c r="O25" s="316">
        <v>1</v>
      </c>
      <c r="P25" s="316">
        <v>1</v>
      </c>
      <c r="R25" s="354"/>
    </row>
    <row r="26" spans="1:18" x14ac:dyDescent="0.25">
      <c r="A26" s="330"/>
      <c r="B26" s="331"/>
      <c r="C26" s="332" t="s">
        <v>74</v>
      </c>
      <c r="D26" s="336">
        <v>140</v>
      </c>
      <c r="E26" s="334" t="s">
        <v>68</v>
      </c>
      <c r="G26" s="345" t="s">
        <v>119</v>
      </c>
      <c r="H26" s="316">
        <v>0.01</v>
      </c>
      <c r="I26" s="316">
        <v>0.01</v>
      </c>
      <c r="J26" s="316">
        <v>0.01</v>
      </c>
      <c r="K26" s="316">
        <v>0.01</v>
      </c>
      <c r="L26" s="316">
        <v>0.01</v>
      </c>
      <c r="M26" s="316">
        <v>0.01</v>
      </c>
      <c r="N26" s="316">
        <v>0.01</v>
      </c>
      <c r="O26" s="316">
        <v>0.01</v>
      </c>
      <c r="P26" s="316">
        <v>0.01</v>
      </c>
      <c r="R26" s="354"/>
    </row>
    <row r="27" spans="1:18" ht="15.75" thickBot="1" x14ac:dyDescent="0.3">
      <c r="A27" s="330"/>
      <c r="B27" s="331"/>
      <c r="C27" s="332" t="s">
        <v>67</v>
      </c>
      <c r="D27" s="336">
        <v>2</v>
      </c>
      <c r="E27" s="334" t="s">
        <v>69</v>
      </c>
      <c r="R27" s="354"/>
    </row>
    <row r="28" spans="1:18" ht="15.75" thickBot="1" x14ac:dyDescent="0.3">
      <c r="A28" s="330"/>
      <c r="B28" s="337"/>
      <c r="C28" s="338" t="s">
        <v>126</v>
      </c>
      <c r="D28" s="339">
        <f>D26*D27*60*60*24*30*3*D7/8/1000</f>
        <v>40824</v>
      </c>
      <c r="E28" s="340"/>
      <c r="G28" s="347" t="s">
        <v>87</v>
      </c>
      <c r="H28" s="348" t="s">
        <v>8</v>
      </c>
      <c r="I28" s="348" t="s">
        <v>0</v>
      </c>
      <c r="J28" s="348" t="s">
        <v>1</v>
      </c>
      <c r="K28" s="348" t="s">
        <v>2</v>
      </c>
      <c r="L28" s="348" t="s">
        <v>3</v>
      </c>
      <c r="M28" s="348" t="s">
        <v>4</v>
      </c>
      <c r="N28" s="348" t="s">
        <v>5</v>
      </c>
      <c r="O28" s="348" t="s">
        <v>6</v>
      </c>
      <c r="P28" s="349" t="s">
        <v>7</v>
      </c>
    </row>
    <row r="29" spans="1:18" x14ac:dyDescent="0.25">
      <c r="A29" s="330"/>
      <c r="B29" s="324" t="s">
        <v>136</v>
      </c>
      <c r="C29" s="325"/>
      <c r="D29" s="325"/>
      <c r="E29" s="326"/>
      <c r="G29" s="350" t="s">
        <v>128</v>
      </c>
      <c r="H29" s="351">
        <f t="shared" ref="H29:P29" si="1">H16*$D12*$D4</f>
        <v>37179000</v>
      </c>
      <c r="I29" s="351">
        <f t="shared" si="1"/>
        <v>92947500</v>
      </c>
      <c r="J29" s="351">
        <f t="shared" si="1"/>
        <v>184036050</v>
      </c>
      <c r="K29" s="351">
        <f t="shared" si="1"/>
        <v>184036050</v>
      </c>
      <c r="L29" s="351">
        <f t="shared" si="1"/>
        <v>184036050</v>
      </c>
      <c r="M29" s="351">
        <f t="shared" si="1"/>
        <v>184036050</v>
      </c>
      <c r="N29" s="351">
        <f t="shared" si="1"/>
        <v>184036050</v>
      </c>
      <c r="O29" s="351">
        <f t="shared" si="1"/>
        <v>184036050</v>
      </c>
      <c r="P29" s="352">
        <f t="shared" si="1"/>
        <v>184036050</v>
      </c>
    </row>
    <row r="30" spans="1:18" x14ac:dyDescent="0.25">
      <c r="A30" s="330"/>
      <c r="B30" s="331"/>
      <c r="C30" s="332" t="s">
        <v>74</v>
      </c>
      <c r="D30" s="336">
        <v>140</v>
      </c>
      <c r="E30" s="334" t="s">
        <v>68</v>
      </c>
      <c r="F30" s="353"/>
      <c r="G30" s="350" t="s">
        <v>121</v>
      </c>
      <c r="H30" s="351">
        <f t="shared" ref="H30:P30" si="2">H17*$D16*$D4</f>
        <v>122690700</v>
      </c>
      <c r="I30" s="351">
        <f t="shared" si="2"/>
        <v>122690700</v>
      </c>
      <c r="J30" s="351">
        <f t="shared" si="2"/>
        <v>122690700</v>
      </c>
      <c r="K30" s="351">
        <f t="shared" si="2"/>
        <v>122690700</v>
      </c>
      <c r="L30" s="351">
        <f t="shared" si="2"/>
        <v>122690700</v>
      </c>
      <c r="M30" s="351">
        <f t="shared" si="2"/>
        <v>122690700</v>
      </c>
      <c r="N30" s="351">
        <f t="shared" si="2"/>
        <v>122690700</v>
      </c>
      <c r="O30" s="351">
        <f t="shared" si="2"/>
        <v>122690700</v>
      </c>
      <c r="P30" s="352">
        <f t="shared" si="2"/>
        <v>122690700</v>
      </c>
      <c r="Q30" s="330"/>
    </row>
    <row r="31" spans="1:18" x14ac:dyDescent="0.25">
      <c r="A31" s="330"/>
      <c r="B31" s="331"/>
      <c r="C31" s="332" t="s">
        <v>67</v>
      </c>
      <c r="D31" s="336">
        <v>6</v>
      </c>
      <c r="E31" s="334" t="s">
        <v>69</v>
      </c>
      <c r="F31" s="353"/>
      <c r="G31" s="350" t="s">
        <v>122</v>
      </c>
      <c r="H31" s="351">
        <f t="shared" ref="H31:P31" si="3">H18*$D20*$D4</f>
        <v>309825000</v>
      </c>
      <c r="I31" s="351">
        <f t="shared" si="3"/>
        <v>433755000</v>
      </c>
      <c r="J31" s="351">
        <f t="shared" si="3"/>
        <v>495720000</v>
      </c>
      <c r="K31" s="351">
        <f t="shared" si="3"/>
        <v>557685000</v>
      </c>
      <c r="L31" s="351">
        <f t="shared" si="3"/>
        <v>588667500</v>
      </c>
      <c r="M31" s="351">
        <f t="shared" si="3"/>
        <v>613453500</v>
      </c>
      <c r="N31" s="351">
        <f t="shared" si="3"/>
        <v>613453500</v>
      </c>
      <c r="O31" s="351">
        <f t="shared" si="3"/>
        <v>613453500</v>
      </c>
      <c r="P31" s="352">
        <f t="shared" si="3"/>
        <v>613453500</v>
      </c>
      <c r="Q31" s="330"/>
    </row>
    <row r="32" spans="1:18" ht="15.75" thickBot="1" x14ac:dyDescent="0.3">
      <c r="A32" s="330"/>
      <c r="B32" s="337"/>
      <c r="C32" s="338" t="s">
        <v>126</v>
      </c>
      <c r="D32" s="339">
        <f>D30*D31*60*60*24*30*3*D7/8/1000</f>
        <v>122472</v>
      </c>
      <c r="E32" s="340"/>
      <c r="G32" s="350" t="s">
        <v>120</v>
      </c>
      <c r="H32" s="351">
        <f t="shared" ref="H32:P32" si="4">H19*$D24*$D4</f>
        <v>0</v>
      </c>
      <c r="I32" s="351">
        <f t="shared" si="4"/>
        <v>0</v>
      </c>
      <c r="J32" s="351">
        <f t="shared" si="4"/>
        <v>0</v>
      </c>
      <c r="K32" s="351">
        <f t="shared" si="4"/>
        <v>0</v>
      </c>
      <c r="L32" s="351">
        <f t="shared" si="4"/>
        <v>0</v>
      </c>
      <c r="M32" s="351">
        <f t="shared" si="4"/>
        <v>0</v>
      </c>
      <c r="N32" s="351">
        <f t="shared" si="4"/>
        <v>0</v>
      </c>
      <c r="O32" s="351">
        <f t="shared" si="4"/>
        <v>0</v>
      </c>
      <c r="P32" s="352">
        <f t="shared" si="4"/>
        <v>0</v>
      </c>
    </row>
    <row r="33" spans="1:18" x14ac:dyDescent="0.25">
      <c r="A33" s="330"/>
      <c r="B33" s="324" t="s">
        <v>135</v>
      </c>
      <c r="C33" s="355"/>
      <c r="D33" s="356"/>
      <c r="E33" s="357"/>
      <c r="G33" s="350" t="s">
        <v>124</v>
      </c>
      <c r="H33" s="351">
        <f t="shared" ref="H33:P33" si="5">+H20*$D28*$D4</f>
        <v>0</v>
      </c>
      <c r="I33" s="351">
        <f t="shared" si="5"/>
        <v>0</v>
      </c>
      <c r="J33" s="351">
        <f t="shared" si="5"/>
        <v>0</v>
      </c>
      <c r="K33" s="351">
        <f t="shared" si="5"/>
        <v>0</v>
      </c>
      <c r="L33" s="351">
        <f t="shared" si="5"/>
        <v>0</v>
      </c>
      <c r="M33" s="351">
        <f t="shared" si="5"/>
        <v>0</v>
      </c>
      <c r="N33" s="351">
        <f t="shared" si="5"/>
        <v>0</v>
      </c>
      <c r="O33" s="351">
        <f t="shared" si="5"/>
        <v>0</v>
      </c>
      <c r="P33" s="352">
        <f t="shared" si="5"/>
        <v>0</v>
      </c>
    </row>
    <row r="34" spans="1:18" x14ac:dyDescent="0.25">
      <c r="A34" s="330"/>
      <c r="B34" s="331"/>
      <c r="C34" s="332" t="s">
        <v>74</v>
      </c>
      <c r="D34" s="336">
        <v>40</v>
      </c>
      <c r="E34" s="334" t="s">
        <v>68</v>
      </c>
      <c r="G34" s="350" t="s">
        <v>118</v>
      </c>
      <c r="H34" s="351">
        <f t="shared" ref="H34:P34" si="6">+H21*$D32*$D4</f>
        <v>0</v>
      </c>
      <c r="I34" s="351">
        <f t="shared" si="6"/>
        <v>0</v>
      </c>
      <c r="J34" s="351">
        <f t="shared" si="6"/>
        <v>0</v>
      </c>
      <c r="K34" s="351">
        <f t="shared" si="6"/>
        <v>0</v>
      </c>
      <c r="L34" s="351">
        <f t="shared" si="6"/>
        <v>0</v>
      </c>
      <c r="M34" s="351">
        <f t="shared" si="6"/>
        <v>0</v>
      </c>
      <c r="N34" s="351">
        <f t="shared" si="6"/>
        <v>0</v>
      </c>
      <c r="O34" s="351">
        <f t="shared" si="6"/>
        <v>0</v>
      </c>
      <c r="P34" s="352">
        <f t="shared" si="6"/>
        <v>0</v>
      </c>
    </row>
    <row r="35" spans="1:18" x14ac:dyDescent="0.25">
      <c r="A35" s="330"/>
      <c r="B35" s="331"/>
      <c r="C35" s="332" t="s">
        <v>67</v>
      </c>
      <c r="D35" s="336">
        <v>5.7</v>
      </c>
      <c r="E35" s="334" t="s">
        <v>69</v>
      </c>
      <c r="G35" s="350" t="s">
        <v>132</v>
      </c>
      <c r="H35" s="351">
        <f t="shared" ref="H35:P35" si="7">+H22*$D36*($D4+$D5)</f>
        <v>0</v>
      </c>
      <c r="I35" s="351">
        <f t="shared" si="7"/>
        <v>0</v>
      </c>
      <c r="J35" s="351">
        <f t="shared" si="7"/>
        <v>120503700.00000001</v>
      </c>
      <c r="K35" s="351">
        <f t="shared" si="7"/>
        <v>241007400.00000003</v>
      </c>
      <c r="L35" s="351">
        <f t="shared" si="7"/>
        <v>361511100</v>
      </c>
      <c r="M35" s="351">
        <f t="shared" si="7"/>
        <v>241007400.00000003</v>
      </c>
      <c r="N35" s="351">
        <f t="shared" si="7"/>
        <v>0</v>
      </c>
      <c r="O35" s="351">
        <f t="shared" si="7"/>
        <v>0</v>
      </c>
      <c r="P35" s="352">
        <f t="shared" si="7"/>
        <v>0</v>
      </c>
    </row>
    <row r="36" spans="1:18" ht="15.75" thickBot="1" x14ac:dyDescent="0.3">
      <c r="A36" s="330"/>
      <c r="B36" s="337"/>
      <c r="C36" s="338" t="s">
        <v>126</v>
      </c>
      <c r="D36" s="389">
        <f>D34*D35*60*60*24*30*3*D7/8/1000</f>
        <v>33242.400000000001</v>
      </c>
      <c r="E36" s="340"/>
      <c r="F36" s="317"/>
      <c r="G36" s="350" t="s">
        <v>133</v>
      </c>
      <c r="H36" s="351">
        <f t="shared" ref="H36:P36" si="8">+H23*$D40*$D4</f>
        <v>0</v>
      </c>
      <c r="I36" s="351">
        <f t="shared" si="8"/>
        <v>0</v>
      </c>
      <c r="J36" s="351">
        <f t="shared" si="8"/>
        <v>0</v>
      </c>
      <c r="K36" s="351">
        <f t="shared" si="8"/>
        <v>0</v>
      </c>
      <c r="L36" s="351">
        <f t="shared" si="8"/>
        <v>176600250</v>
      </c>
      <c r="M36" s="351">
        <f t="shared" si="8"/>
        <v>529800750</v>
      </c>
      <c r="N36" s="351">
        <f t="shared" si="8"/>
        <v>1059601500</v>
      </c>
      <c r="O36" s="351">
        <f t="shared" si="8"/>
        <v>1412802000</v>
      </c>
      <c r="P36" s="352">
        <f t="shared" si="8"/>
        <v>1748342475</v>
      </c>
    </row>
    <row r="37" spans="1:18" x14ac:dyDescent="0.25">
      <c r="A37" s="330"/>
      <c r="B37" s="342" t="s">
        <v>134</v>
      </c>
      <c r="C37" s="332"/>
      <c r="D37" s="333"/>
      <c r="E37" s="334"/>
      <c r="G37" s="350" t="s">
        <v>149</v>
      </c>
      <c r="H37" s="351">
        <f t="shared" ref="H37:P37" si="9">H24*$D$44*$D$5</f>
        <v>157464000</v>
      </c>
      <c r="I37" s="351">
        <f t="shared" si="9"/>
        <v>0</v>
      </c>
      <c r="J37" s="351">
        <f t="shared" si="9"/>
        <v>0</v>
      </c>
      <c r="K37" s="351">
        <f t="shared" si="9"/>
        <v>0</v>
      </c>
      <c r="L37" s="351">
        <f t="shared" si="9"/>
        <v>0</v>
      </c>
      <c r="M37" s="351">
        <f t="shared" si="9"/>
        <v>0</v>
      </c>
      <c r="N37" s="351">
        <f t="shared" si="9"/>
        <v>0</v>
      </c>
      <c r="O37" s="351">
        <f t="shared" si="9"/>
        <v>0</v>
      </c>
      <c r="P37" s="352">
        <f t="shared" si="9"/>
        <v>0</v>
      </c>
    </row>
    <row r="38" spans="1:18" x14ac:dyDescent="0.25">
      <c r="A38" s="330"/>
      <c r="B38" s="331"/>
      <c r="C38" s="332" t="s">
        <v>74</v>
      </c>
      <c r="D38" s="336">
        <v>100</v>
      </c>
      <c r="E38" s="334" t="s">
        <v>68</v>
      </c>
      <c r="G38" s="350" t="s">
        <v>150</v>
      </c>
      <c r="H38" s="351">
        <f t="shared" ref="H38:P38" si="10">H25*$D5*$D48</f>
        <v>0</v>
      </c>
      <c r="I38" s="351">
        <f t="shared" si="10"/>
        <v>122472000</v>
      </c>
      <c r="J38" s="351">
        <f t="shared" si="10"/>
        <v>122472000</v>
      </c>
      <c r="K38" s="351">
        <f t="shared" si="10"/>
        <v>244944000</v>
      </c>
      <c r="L38" s="351">
        <f t="shared" si="10"/>
        <v>367416000</v>
      </c>
      <c r="M38" s="351">
        <f t="shared" si="10"/>
        <v>734832000</v>
      </c>
      <c r="N38" s="351">
        <f t="shared" si="10"/>
        <v>1102248000</v>
      </c>
      <c r="O38" s="351">
        <f t="shared" si="10"/>
        <v>1224720000</v>
      </c>
      <c r="P38" s="352">
        <f t="shared" si="10"/>
        <v>1224720000</v>
      </c>
    </row>
    <row r="39" spans="1:18" x14ac:dyDescent="0.25">
      <c r="A39" s="330"/>
      <c r="B39" s="331"/>
      <c r="C39" s="332" t="s">
        <v>67</v>
      </c>
      <c r="D39" s="336">
        <v>5.7</v>
      </c>
      <c r="E39" s="334" t="s">
        <v>69</v>
      </c>
      <c r="G39" s="358" t="s">
        <v>139</v>
      </c>
      <c r="H39" s="359">
        <f t="shared" ref="H39:P39" si="11">SUM(H29:H38)</f>
        <v>627158700</v>
      </c>
      <c r="I39" s="359">
        <f t="shared" si="11"/>
        <v>771865200</v>
      </c>
      <c r="J39" s="359">
        <f t="shared" si="11"/>
        <v>1045422450</v>
      </c>
      <c r="K39" s="359">
        <f t="shared" si="11"/>
        <v>1350363150</v>
      </c>
      <c r="L39" s="359">
        <f t="shared" si="11"/>
        <v>1800921600</v>
      </c>
      <c r="M39" s="359">
        <f t="shared" si="11"/>
        <v>2425820400</v>
      </c>
      <c r="N39" s="359">
        <f t="shared" si="11"/>
        <v>3082029750</v>
      </c>
      <c r="O39" s="359">
        <f t="shared" si="11"/>
        <v>3557702250</v>
      </c>
      <c r="P39" s="360">
        <f t="shared" si="11"/>
        <v>3893242725</v>
      </c>
    </row>
    <row r="40" spans="1:18" ht="15.75" thickBot="1" x14ac:dyDescent="0.3">
      <c r="A40" s="330"/>
      <c r="B40" s="337"/>
      <c r="C40" s="338" t="s">
        <v>126</v>
      </c>
      <c r="D40" s="339">
        <f>D38*D39*60*60*24*30*3*D7/8/1000</f>
        <v>83106</v>
      </c>
      <c r="E40" s="340"/>
      <c r="G40" s="350" t="s">
        <v>140</v>
      </c>
      <c r="H40" s="361">
        <f t="shared" ref="H40:P40" si="12">+H26*$D52*$D5</f>
        <v>36905625</v>
      </c>
      <c r="I40" s="361">
        <f t="shared" si="12"/>
        <v>36905625</v>
      </c>
      <c r="J40" s="361">
        <f t="shared" si="12"/>
        <v>36905625</v>
      </c>
      <c r="K40" s="361">
        <f t="shared" si="12"/>
        <v>36905625</v>
      </c>
      <c r="L40" s="361">
        <f t="shared" si="12"/>
        <v>36905625</v>
      </c>
      <c r="M40" s="361">
        <f t="shared" si="12"/>
        <v>36905625</v>
      </c>
      <c r="N40" s="361">
        <f t="shared" si="12"/>
        <v>36905625</v>
      </c>
      <c r="O40" s="361">
        <f t="shared" si="12"/>
        <v>36905625</v>
      </c>
      <c r="P40" s="362">
        <f t="shared" si="12"/>
        <v>36905625</v>
      </c>
    </row>
    <row r="41" spans="1:18" ht="15.75" thickBot="1" x14ac:dyDescent="0.3">
      <c r="A41" s="330"/>
      <c r="B41" s="342" t="s">
        <v>148</v>
      </c>
      <c r="C41" s="332"/>
      <c r="D41" s="333"/>
      <c r="E41" s="334"/>
      <c r="G41" s="408" t="s">
        <v>125</v>
      </c>
      <c r="H41" s="409">
        <f>+H39+H40</f>
        <v>664064325</v>
      </c>
      <c r="I41" s="409">
        <f t="shared" ref="I41:P41" si="13">+I39+I40</f>
        <v>808770825</v>
      </c>
      <c r="J41" s="409">
        <f t="shared" si="13"/>
        <v>1082328075</v>
      </c>
      <c r="K41" s="409">
        <f t="shared" si="13"/>
        <v>1387268775</v>
      </c>
      <c r="L41" s="409">
        <f t="shared" si="13"/>
        <v>1837827225</v>
      </c>
      <c r="M41" s="409">
        <f t="shared" si="13"/>
        <v>2462726025</v>
      </c>
      <c r="N41" s="409">
        <f t="shared" si="13"/>
        <v>3118935375</v>
      </c>
      <c r="O41" s="409">
        <f t="shared" si="13"/>
        <v>3594607875</v>
      </c>
      <c r="P41" s="410">
        <f t="shared" si="13"/>
        <v>3930148350</v>
      </c>
    </row>
    <row r="42" spans="1:18" ht="15.75" thickBot="1" x14ac:dyDescent="0.3">
      <c r="A42" s="330"/>
      <c r="B42" s="331"/>
      <c r="C42" s="332" t="s">
        <v>74</v>
      </c>
      <c r="D42" s="336">
        <f>60+60</f>
        <v>120</v>
      </c>
      <c r="E42" s="334" t="s">
        <v>68</v>
      </c>
      <c r="G42" s="366"/>
      <c r="H42" s="367"/>
      <c r="I42" s="367"/>
      <c r="J42" s="367"/>
      <c r="K42" s="367"/>
      <c r="L42" s="367"/>
      <c r="M42" s="367"/>
      <c r="N42" s="367"/>
      <c r="O42" s="367"/>
      <c r="P42" s="367"/>
    </row>
    <row r="43" spans="1:18" x14ac:dyDescent="0.25">
      <c r="A43" s="330"/>
      <c r="B43" s="331"/>
      <c r="C43" s="332" t="s">
        <v>67</v>
      </c>
      <c r="D43" s="336">
        <v>2</v>
      </c>
      <c r="E43" s="334" t="s">
        <v>69</v>
      </c>
      <c r="G43" s="347" t="s">
        <v>91</v>
      </c>
      <c r="H43" s="348" t="s">
        <v>8</v>
      </c>
      <c r="I43" s="348" t="s">
        <v>0</v>
      </c>
      <c r="J43" s="348" t="s">
        <v>1</v>
      </c>
      <c r="K43" s="348" t="s">
        <v>2</v>
      </c>
      <c r="L43" s="348" t="s">
        <v>3</v>
      </c>
      <c r="M43" s="348" t="s">
        <v>4</v>
      </c>
      <c r="N43" s="348" t="s">
        <v>5</v>
      </c>
      <c r="O43" s="348" t="s">
        <v>6</v>
      </c>
      <c r="P43" s="349" t="s">
        <v>7</v>
      </c>
    </row>
    <row r="44" spans="1:18" ht="15" customHeight="1" thickBot="1" x14ac:dyDescent="0.3">
      <c r="A44" s="330"/>
      <c r="B44" s="331"/>
      <c r="C44" s="338" t="s">
        <v>126</v>
      </c>
      <c r="D44" s="339">
        <f>D42*D43*60*60*24*30*3*D7/8/1000</f>
        <v>34992</v>
      </c>
      <c r="E44" s="340"/>
      <c r="G44" s="368" t="s">
        <v>19</v>
      </c>
      <c r="H44" s="287"/>
      <c r="I44" s="288"/>
      <c r="J44" s="288"/>
      <c r="K44" s="288"/>
      <c r="L44" s="288"/>
      <c r="M44" s="288"/>
      <c r="N44" s="288"/>
      <c r="O44" s="288"/>
      <c r="P44" s="289"/>
      <c r="Q44" s="354"/>
      <c r="R44" s="354"/>
    </row>
    <row r="45" spans="1:18" x14ac:dyDescent="0.25">
      <c r="A45" s="330"/>
      <c r="B45" s="324" t="s">
        <v>151</v>
      </c>
      <c r="C45" s="355"/>
      <c r="D45" s="356"/>
      <c r="E45" s="357"/>
      <c r="G45" s="369" t="s">
        <v>252</v>
      </c>
      <c r="H45" s="287">
        <v>382850000</v>
      </c>
      <c r="I45" s="287">
        <v>3828500000</v>
      </c>
      <c r="J45" s="288"/>
      <c r="K45" s="288"/>
      <c r="L45" s="288"/>
      <c r="M45" s="288"/>
      <c r="N45" s="288"/>
      <c r="O45" s="288"/>
      <c r="P45" s="289"/>
      <c r="Q45" s="354"/>
      <c r="R45" s="354"/>
    </row>
    <row r="46" spans="1:18" x14ac:dyDescent="0.25">
      <c r="A46" s="330"/>
      <c r="B46" s="331"/>
      <c r="C46" s="332" t="s">
        <v>74</v>
      </c>
      <c r="D46" s="333">
        <f>D22+D34+D38</f>
        <v>280</v>
      </c>
      <c r="E46" s="334" t="s">
        <v>68</v>
      </c>
      <c r="G46" s="369" t="s">
        <v>253</v>
      </c>
      <c r="H46" s="287">
        <v>105981956.68693011</v>
      </c>
      <c r="I46" s="288"/>
      <c r="J46" s="288"/>
      <c r="K46" s="288"/>
      <c r="L46" s="288"/>
      <c r="M46" s="288"/>
      <c r="N46" s="288"/>
      <c r="O46" s="288"/>
      <c r="P46" s="289"/>
      <c r="Q46" s="354"/>
      <c r="R46" s="354"/>
    </row>
    <row r="47" spans="1:18" x14ac:dyDescent="0.25">
      <c r="A47" s="330"/>
      <c r="B47" s="331"/>
      <c r="C47" s="332" t="s">
        <v>67</v>
      </c>
      <c r="D47" s="336">
        <v>2</v>
      </c>
      <c r="E47" s="334" t="s">
        <v>69</v>
      </c>
      <c r="G47" s="368" t="s">
        <v>48</v>
      </c>
      <c r="H47" s="288"/>
      <c r="I47" s="290"/>
      <c r="J47" s="288"/>
      <c r="K47" s="288"/>
      <c r="L47" s="288"/>
      <c r="M47" s="288"/>
      <c r="N47" s="288"/>
      <c r="O47" s="288"/>
      <c r="P47" s="289"/>
      <c r="Q47" s="354"/>
      <c r="R47" s="354"/>
    </row>
    <row r="48" spans="1:18" ht="15.75" thickBot="1" x14ac:dyDescent="0.3">
      <c r="A48" s="330"/>
      <c r="B48" s="337"/>
      <c r="C48" s="338" t="s">
        <v>126</v>
      </c>
      <c r="D48" s="339">
        <f>D46*D47*60*60*24*30*3*D7/8/1000</f>
        <v>81648</v>
      </c>
      <c r="E48" s="340"/>
      <c r="G48" s="370" t="s">
        <v>128</v>
      </c>
      <c r="H48" s="287">
        <f>IF((H16-0)&gt;0, (H16-0),0)*$D4*('Cost per Cell'!$K6+'Cost per Cell'!$K7)</f>
        <v>255000000</v>
      </c>
      <c r="I48" s="287">
        <f>IF((I16-H16)&gt;0, (I16-H16),0)*$D4*('Cost per Cell'!$K6+'Cost per Cell'!$K7)</f>
        <v>382500000</v>
      </c>
      <c r="J48" s="287">
        <f>IF((J16-I16)&gt;0, (J16-I16),0)*$D4*('Cost per Cell'!$K6+'Cost per Cell'!$K7)</f>
        <v>624750000</v>
      </c>
      <c r="K48" s="287">
        <f>IF((K16-J16)&gt;0, (K16-J16),0)*$D4*('Cost per Cell'!$K6+'Cost per Cell'!$K7)</f>
        <v>0</v>
      </c>
      <c r="L48" s="287">
        <f>IF((L16-K16)&gt;0, (L16-K16),0)*$D4*('Cost per Cell'!$K6+'Cost per Cell'!$K7)</f>
        <v>0</v>
      </c>
      <c r="M48" s="287">
        <f>IF((M16-L16)&gt;0, (M16-L16),0)*$D4*('Cost per Cell'!$K6+'Cost per Cell'!$K7)</f>
        <v>0</v>
      </c>
      <c r="N48" s="287">
        <f>IF((N16-M16)&gt;0, (N16-M16),0)*$D4*('Cost per Cell'!$K6+'Cost per Cell'!$K7)</f>
        <v>0</v>
      </c>
      <c r="O48" s="287">
        <f>IF((O16-N16)&gt;0, (O16-N16),0)*$D4*('Cost per Cell'!$K6+'Cost per Cell'!$K7)</f>
        <v>0</v>
      </c>
      <c r="P48" s="291">
        <f>IF((P16-O16)&gt;0, (P16-O16),0)*$D4*('Cost per Cell'!$K6+'Cost per Cell'!$K7)</f>
        <v>0</v>
      </c>
      <c r="Q48" s="354"/>
      <c r="R48" s="354"/>
    </row>
    <row r="49" spans="1:20" x14ac:dyDescent="0.25">
      <c r="A49" s="330"/>
      <c r="B49" s="324" t="s">
        <v>114</v>
      </c>
      <c r="C49" s="325"/>
      <c r="D49" s="325"/>
      <c r="E49" s="326"/>
      <c r="G49" s="370" t="s">
        <v>121</v>
      </c>
      <c r="H49" s="287">
        <f>+(H17-90%)*$D4*('Cost per Cell'!$M6+'Cost per Cell'!$M7)</f>
        <v>86062499.99999997</v>
      </c>
      <c r="I49" s="287">
        <f>+(I17-H17)*$D4*('Cost per Cell'!$M6+'Cost per Cell'!$M7)</f>
        <v>0</v>
      </c>
      <c r="J49" s="287">
        <f>+(J17-I17)*$D4*('Cost per Cell'!$M6+'Cost per Cell'!$M7)</f>
        <v>0</v>
      </c>
      <c r="K49" s="287">
        <f>+(K17-J17)*$D4*('Cost per Cell'!$M6+'Cost per Cell'!$M7)</f>
        <v>0</v>
      </c>
      <c r="L49" s="287">
        <f>+(L17-K17)*$D4*('Cost per Cell'!$M6+'Cost per Cell'!$M7)</f>
        <v>0</v>
      </c>
      <c r="M49" s="287">
        <f>+(M17-L17)*$D4*('Cost per Cell'!$M6+'Cost per Cell'!$M7)</f>
        <v>0</v>
      </c>
      <c r="N49" s="287">
        <f>+(N17-M17)*$D4*('Cost per Cell'!$M6+'Cost per Cell'!$M7)</f>
        <v>0</v>
      </c>
      <c r="O49" s="287">
        <f>+(O17-N17)*$D4*('Cost per Cell'!$M6+'Cost per Cell'!$M7)</f>
        <v>0</v>
      </c>
      <c r="P49" s="291">
        <f>+(P17-O17)*$D4*('Cost per Cell'!$M6+'Cost per Cell'!$M7)</f>
        <v>0</v>
      </c>
      <c r="Q49" s="354"/>
      <c r="R49" s="354"/>
    </row>
    <row r="50" spans="1:20" x14ac:dyDescent="0.25">
      <c r="A50" s="330"/>
      <c r="B50" s="331"/>
      <c r="C50" s="332" t="s">
        <v>74</v>
      </c>
      <c r="D50" s="336">
        <f>200+70</f>
        <v>270</v>
      </c>
      <c r="E50" s="334" t="s">
        <v>68</v>
      </c>
      <c r="G50" s="370" t="s">
        <v>122</v>
      </c>
      <c r="H50" s="287">
        <f>IF((H18-90%)&gt;0, (H18-90%),0)*$D4*('Cost per Cell'!$M6+'Cost per Cell'!$M7)</f>
        <v>0</v>
      </c>
      <c r="I50" s="287">
        <f>+(I18-H18)*$D4*('Cost per Cell'!$M6+'Cost per Cell'!$M7)</f>
        <v>191249999.99999997</v>
      </c>
      <c r="J50" s="287">
        <f>+(J18-I18)*$D4*('Cost per Cell'!$M6+'Cost per Cell'!$M7)</f>
        <v>95625000.000000075</v>
      </c>
      <c r="K50" s="287">
        <f>+(K18-J18)*$D4*('Cost per Cell'!$M6+'Cost per Cell'!$M7)</f>
        <v>95624999.999999985</v>
      </c>
      <c r="L50" s="287">
        <f>+(L18-K18)*$D4*('Cost per Cell'!$M6+'Cost per Cell'!$M7)</f>
        <v>47812499.99999994</v>
      </c>
      <c r="M50" s="287">
        <f>+(M18-L18)*$D4*('Cost per Cell'!$M6+'Cost per Cell'!$M7)</f>
        <v>38250000.000000037</v>
      </c>
      <c r="N50" s="287">
        <f>+(N18-M18)*$D4*('Cost per Cell'!$M6+'Cost per Cell'!$M7)</f>
        <v>0</v>
      </c>
      <c r="O50" s="287">
        <f>+(O18-N18)*$D4*('Cost per Cell'!$M6+'Cost per Cell'!$M7)</f>
        <v>0</v>
      </c>
      <c r="P50" s="291">
        <f>+(P18-O18)*$D4*('Cost per Cell'!$M6+'Cost per Cell'!$M7)</f>
        <v>0</v>
      </c>
    </row>
    <row r="51" spans="1:20" x14ac:dyDescent="0.25">
      <c r="A51" s="330"/>
      <c r="B51" s="331"/>
      <c r="C51" s="332" t="s">
        <v>67</v>
      </c>
      <c r="D51" s="366">
        <f>5000/800</f>
        <v>6.25</v>
      </c>
      <c r="E51" s="334" t="s">
        <v>69</v>
      </c>
      <c r="G51" s="370" t="s">
        <v>120</v>
      </c>
      <c r="H51" s="287"/>
      <c r="I51" s="287">
        <f>IF((I19-H19)&gt;0,(I19-H19),0)*$D4*('Cost per Cell'!$M6+'Cost per Cell'!$M7)</f>
        <v>0</v>
      </c>
      <c r="J51" s="287">
        <f>IF((J19-I19)&gt;0,(J19-I19),0)*$D4*('Cost per Cell'!$M6+'Cost per Cell'!$M7)</f>
        <v>0</v>
      </c>
      <c r="K51" s="287">
        <f>IF((K19-J19)&gt;0,(K19-J19),0)*$D4*('Cost per Cell'!$M6+'Cost per Cell'!$M7)</f>
        <v>0</v>
      </c>
      <c r="L51" s="287">
        <f>IF((L19-K19)&gt;0,(L19-K19),0)*$D4*('Cost per Cell'!$M6+'Cost per Cell'!$M7)</f>
        <v>0</v>
      </c>
      <c r="M51" s="287">
        <f>IF((M19-L19)&gt;0,(M19-L19),0)*$D4*('Cost per Cell'!$M6+'Cost per Cell'!$M7)</f>
        <v>0</v>
      </c>
      <c r="N51" s="287">
        <f>IF((N19-M19)&gt;0,(N19-M19),0)*$D4*('Cost per Cell'!$M6+'Cost per Cell'!$M7)</f>
        <v>0</v>
      </c>
      <c r="O51" s="287">
        <f>IF((O19-N19)&gt;0,(O19-N19),0)*$D4*('Cost per Cell'!$M6+'Cost per Cell'!$M7)</f>
        <v>0</v>
      </c>
      <c r="P51" s="291">
        <f>IF((P19-O19)&gt;0,(P19-O19),0)*$D4*('Cost per Cell'!$M6+'Cost per Cell'!$M7)</f>
        <v>0</v>
      </c>
      <c r="Q51" s="354"/>
      <c r="R51" s="354"/>
    </row>
    <row r="52" spans="1:20" ht="15.75" thickBot="1" x14ac:dyDescent="0.3">
      <c r="A52" s="330"/>
      <c r="B52" s="337"/>
      <c r="C52" s="338" t="s">
        <v>126</v>
      </c>
      <c r="D52" s="339">
        <f>D50*D51*60*60*24*30*3*D7/8/1000</f>
        <v>246037.5</v>
      </c>
      <c r="E52" s="340"/>
      <c r="G52" s="370" t="s">
        <v>124</v>
      </c>
      <c r="H52" s="287"/>
      <c r="I52" s="287">
        <f>IF((I20-H20)&gt;0,(I20-H20),0)*$D4*('Cost per Cell'!$M6+'Cost per Cell'!$M7)</f>
        <v>0</v>
      </c>
      <c r="J52" s="287">
        <f>IF((J20-I20)&gt;0,(J20-I20),0)*$D4*('Cost per Cell'!$M6+'Cost per Cell'!$M7)</f>
        <v>0</v>
      </c>
      <c r="K52" s="287">
        <f>IF((K20-J20)&gt;0,(K20-J20),0)*$D4*('Cost per Cell'!$M6+'Cost per Cell'!$M7)</f>
        <v>0</v>
      </c>
      <c r="L52" s="287">
        <f>IF((L20-K20)&gt;0,(L20-K20),0)*$D4*('Cost per Cell'!$M6+'Cost per Cell'!$M7)</f>
        <v>0</v>
      </c>
      <c r="M52" s="287">
        <f>IF((M20-L20)&gt;0,(M20-L20),0)*$D4*('Cost per Cell'!$M6+'Cost per Cell'!$M7)</f>
        <v>0</v>
      </c>
      <c r="N52" s="287">
        <f>IF((N20-M20)&gt;0,(N20-M20),0)*$D4*('Cost per Cell'!$M6+'Cost per Cell'!$M7)</f>
        <v>0</v>
      </c>
      <c r="O52" s="287">
        <f>IF((O20-N20)&gt;0,(O20-N20),0)*$D4*('Cost per Cell'!$M6+'Cost per Cell'!$M7)</f>
        <v>0</v>
      </c>
      <c r="P52" s="291">
        <f>IF((P20-O20)&gt;0,(P20-O20),0)*$D4*('Cost per Cell'!$M6+'Cost per Cell'!$M7)</f>
        <v>0</v>
      </c>
      <c r="Q52" s="354"/>
      <c r="R52" s="354"/>
    </row>
    <row r="53" spans="1:20" x14ac:dyDescent="0.25">
      <c r="B53" s="330"/>
      <c r="C53" s="330"/>
      <c r="D53" s="330"/>
      <c r="E53" s="330"/>
      <c r="G53" s="370" t="s">
        <v>118</v>
      </c>
      <c r="H53" s="287"/>
      <c r="I53" s="287">
        <f>IF((I21-H21)&gt;0,(I21-H21),0)*$D4*('Cost per Cell'!$C6+'Cost per Cell'!$C7)</f>
        <v>0</v>
      </c>
      <c r="J53" s="287">
        <f>IF((J21-I21)&gt;0,(J21-I21),0)*$D4*('Cost per Cell'!$C6+'Cost per Cell'!$C7)</f>
        <v>0</v>
      </c>
      <c r="K53" s="287">
        <f>IF((K21-J21)&gt;0,(K21-J21),0)*$D4*('Cost per Cell'!$C6+'Cost per Cell'!$C7)</f>
        <v>0</v>
      </c>
      <c r="L53" s="287">
        <f>IF((L21-K21)&gt;0,(L21-K21),0)*$D4*('Cost per Cell'!$C6+'Cost per Cell'!$C7)</f>
        <v>0</v>
      </c>
      <c r="M53" s="287">
        <f>IF((M21-L21)&gt;0,(M21-L21),0)*$D4*('Cost per Cell'!$C6+'Cost per Cell'!$C7)</f>
        <v>0</v>
      </c>
      <c r="N53" s="287">
        <f>IF((N21-M21)&gt;0,(N21-M21),0)*$D4*('Cost per Cell'!$C6+'Cost per Cell'!$C7)</f>
        <v>0</v>
      </c>
      <c r="O53" s="287">
        <f>IF((O21-N21)&gt;0,(O21-N21),0)*$D4*('Cost per Cell'!$C6+'Cost per Cell'!$C7)</f>
        <v>0</v>
      </c>
      <c r="P53" s="291">
        <f>IF((P21-O21)&gt;0,(P21-O21),0)*$D4*('Cost per Cell'!$C6+'Cost per Cell'!$C7)</f>
        <v>0</v>
      </c>
    </row>
    <row r="54" spans="1:20" x14ac:dyDescent="0.25">
      <c r="B54" s="330"/>
      <c r="C54" s="330"/>
      <c r="D54" s="330"/>
      <c r="E54" s="330"/>
      <c r="G54" s="370" t="s">
        <v>132</v>
      </c>
      <c r="H54" s="287"/>
      <c r="I54" s="287">
        <f>IF((I22-H22)&gt;0,(I22-H22),0)*$D4*('Cost per Cell'!$G6+'Cost per Cell'!$G7)</f>
        <v>0</v>
      </c>
      <c r="J54" s="287">
        <f>IF((J22-I22)&gt;0,(J22-I22),0)*$D4*('Cost per Cell'!$G6+'Cost per Cell'!$G7)</f>
        <v>148750000</v>
      </c>
      <c r="K54" s="287">
        <f>IF((K22-J22)&gt;0,(K22-J22),0)*$D4*('Cost per Cell'!$G6+'Cost per Cell'!$G7)</f>
        <v>148750000</v>
      </c>
      <c r="L54" s="287">
        <f>IF((L22-K22)&gt;0,(L22-K22),0)*$D4*('Cost per Cell'!$G6+'Cost per Cell'!$G7)</f>
        <v>148749999.99999997</v>
      </c>
      <c r="M54" s="287">
        <f>IF((M22-L22)&gt;0,(M22-L22),0)*$D4*('Cost per Cell'!$G6+'Cost per Cell'!$G7)</f>
        <v>0</v>
      </c>
      <c r="N54" s="287">
        <f>IF((N22-M22)&gt;0,(N22-M22),0)*$D4*('Cost per Cell'!$G6+'Cost per Cell'!$G7)</f>
        <v>0</v>
      </c>
      <c r="O54" s="287">
        <f>IF((O22-N22)&gt;0,(O22-N22),0)*$D4*('Cost per Cell'!$G6+'Cost per Cell'!$G7)</f>
        <v>0</v>
      </c>
      <c r="P54" s="291">
        <f>IF((P22-O22)&gt;0,(P22-O22),0)*$D4*('Cost per Cell'!$G6+'Cost per Cell'!$G7)</f>
        <v>0</v>
      </c>
    </row>
    <row r="55" spans="1:20" x14ac:dyDescent="0.25">
      <c r="B55" s="330"/>
      <c r="C55" s="330"/>
      <c r="D55" s="330"/>
      <c r="E55" s="330"/>
      <c r="G55" s="370" t="s">
        <v>133</v>
      </c>
      <c r="H55" s="287"/>
      <c r="I55" s="287">
        <f>IF((I23-H23)&gt;0,(I23-H23),0)*$D4*('Cost per Cell'!$E6+'Cost per Cell'!$E7)</f>
        <v>0</v>
      </c>
      <c r="J55" s="287">
        <f>IF((J23-I23)&gt;0,(J23-I23),0)*$D4*('Cost per Cell'!$E6+'Cost per Cell'!$E7)</f>
        <v>0</v>
      </c>
      <c r="K55" s="287">
        <f>IF((K23-J23)&gt;0,(K23-J23),0)*$D4*('Cost per Cell'!$E6+'Cost per Cell'!$E7)</f>
        <v>0</v>
      </c>
      <c r="L55" s="287">
        <f>IF((L23-K23)&gt;0,(L23-K23),0)*$D4*('Cost per Cell'!$E6+'Cost per Cell'!$E7)</f>
        <v>148750000</v>
      </c>
      <c r="M55" s="287">
        <f>IF((M23-L23)&gt;0,(M23-L23),0)*$D4*('Cost per Cell'!$E6+'Cost per Cell'!$E7)</f>
        <v>297500000</v>
      </c>
      <c r="N55" s="287">
        <f>IF((N23-M23)&gt;0,(N23-M23),0)*$D4*('Cost per Cell'!$E6+'Cost per Cell'!$E7)</f>
        <v>446250000</v>
      </c>
      <c r="O55" s="287">
        <f>IF((O23-N23)&gt;0,(O23-N23),0)*$D4*('Cost per Cell'!$E6+'Cost per Cell'!$E7)</f>
        <v>297500000.00000012</v>
      </c>
      <c r="P55" s="291">
        <f>IF((P23-O23)&gt;0,(P23-O23),0)*$D4*('Cost per Cell'!$E6+'Cost per Cell'!$E7)</f>
        <v>282624999.99999994</v>
      </c>
    </row>
    <row r="56" spans="1:20" x14ac:dyDescent="0.25">
      <c r="B56" s="330"/>
      <c r="C56" s="375"/>
      <c r="D56" s="375"/>
      <c r="E56" s="375"/>
      <c r="G56" s="371" t="s">
        <v>255</v>
      </c>
      <c r="H56" s="287">
        <f>IF((H24-10%)&gt;0, (H24-10%),0)*$D5*('Cost per Cell'!$O6+'Cost per Cell'!$O7)</f>
        <v>20999999.999999996</v>
      </c>
      <c r="I56" s="287">
        <f>IF((I24-H24)&gt;0, (I24-H24),0)*$D5*('Cost per Cell'!$O6+'Cost per Cell'!$O7)</f>
        <v>0</v>
      </c>
      <c r="J56" s="287">
        <f>IF((J24-I24)&gt;0, (J24-I24),0)*$D5*('Cost per Cell'!$O6+'Cost per Cell'!$O7)</f>
        <v>0</v>
      </c>
      <c r="K56" s="287">
        <f>IF((K24-J24)&gt;0, (K24-J24),0)*$D5*('Cost per Cell'!$O6+'Cost per Cell'!$O7)</f>
        <v>0</v>
      </c>
      <c r="L56" s="287">
        <f>IF((L24-K24)&gt;0, (L24-K24),0)*$D5*('Cost per Cell'!$O6+'Cost per Cell'!$O7)</f>
        <v>0</v>
      </c>
      <c r="M56" s="287">
        <f>IF((M24-L24)&gt;0, (M24-L24),0)*$D5*('Cost per Cell'!$O6+'Cost per Cell'!$O7)</f>
        <v>0</v>
      </c>
      <c r="N56" s="287">
        <f>IF((N24-M24)&gt;0, (N24-M24),0)*$D5*('Cost per Cell'!$O6+'Cost per Cell'!$O7)</f>
        <v>0</v>
      </c>
      <c r="O56" s="287">
        <f>IF((O24-N24)&gt;0, (O24-N24),0)*$D5*('Cost per Cell'!$O6+'Cost per Cell'!$O7)</f>
        <v>0</v>
      </c>
      <c r="P56" s="291">
        <f>IF((P24-O24)&gt;0, (P24-O24),0)*$D5*('Cost per Cell'!$O6+'Cost per Cell'!$O7)</f>
        <v>0</v>
      </c>
    </row>
    <row r="57" spans="1:20" x14ac:dyDescent="0.25">
      <c r="B57" s="330"/>
      <c r="C57" s="375"/>
      <c r="D57" s="373"/>
      <c r="E57" s="375"/>
      <c r="G57" s="371" t="s">
        <v>256</v>
      </c>
      <c r="H57" s="287">
        <f>IF((H25-0%)&gt;0, (H25-0%),0)*$D5*('Cost per Cell'!$O6+'Cost per Cell'!$O7)</f>
        <v>0</v>
      </c>
      <c r="I57" s="287">
        <f>IF((I25-H25)&gt;0, (I25-H25),0)*$D5*('Cost per Cell'!$O6+'Cost per Cell'!$O7)</f>
        <v>10500000</v>
      </c>
      <c r="J57" s="287">
        <f>IF((J25-I25)&gt;0, (J25-I25),0)*$D5*('Cost per Cell'!$O6+'Cost per Cell'!$O7)</f>
        <v>0</v>
      </c>
      <c r="K57" s="287">
        <f>IF((K25-J25)&gt;0, (K25-J25),0)*$D5*('Cost per Cell'!$O6+'Cost per Cell'!$O7)</f>
        <v>10500000</v>
      </c>
      <c r="L57" s="287">
        <f>IF((L25-K25)&gt;0, (L25-K25),0)*$D5*('Cost per Cell'!$O6+'Cost per Cell'!$O7)</f>
        <v>10499999.999999998</v>
      </c>
      <c r="M57" s="287">
        <f>IF((M25-L25)&gt;0, (M25-L25),0)*$D5*('Cost per Cell'!$O6+'Cost per Cell'!$O7)</f>
        <v>31500000</v>
      </c>
      <c r="N57" s="287">
        <f>IF((N25-M25)&gt;0, (N25-M25),0)*$D5*('Cost per Cell'!$O6+'Cost per Cell'!$O7)</f>
        <v>31500000.000000007</v>
      </c>
      <c r="O57" s="287">
        <f>IF((O25-N25)&gt;0, (O25-N25),0)*$D5*('Cost per Cell'!$O6+'Cost per Cell'!$O7)</f>
        <v>10499999.999999998</v>
      </c>
      <c r="P57" s="291">
        <f>IF((P25-O25)&gt;0, (P25-O25),0)*$D5*('Cost per Cell'!$O6+'Cost per Cell'!$O7)</f>
        <v>0</v>
      </c>
      <c r="T57" s="374"/>
    </row>
    <row r="58" spans="1:20" x14ac:dyDescent="0.25">
      <c r="B58" s="330"/>
      <c r="C58" s="375"/>
      <c r="D58" s="373"/>
      <c r="E58" s="375"/>
      <c r="G58" s="369" t="s">
        <v>129</v>
      </c>
      <c r="H58" s="287">
        <f>IF((H26-0%)&gt;0, (H26-0%),0)*$D5*('Cost per Cell'!$I6+'Cost per Cell'!$I7)</f>
        <v>16500000</v>
      </c>
      <c r="I58" s="287">
        <f>IF((I26-H26)&gt;0, (I26-H26),0)*$D5*('Cost per Cell'!$I6+'Cost per Cell'!$I7)</f>
        <v>0</v>
      </c>
      <c r="J58" s="287">
        <f>IF((J26-I26)&gt;0, (J26-I26),0)*$D5*('Cost per Cell'!$I6+'Cost per Cell'!$I7)</f>
        <v>0</v>
      </c>
      <c r="K58" s="287">
        <f>IF((K26-J26)&gt;0, (K26-J26),0)*$D5*('Cost per Cell'!$I6+'Cost per Cell'!$I7)</f>
        <v>0</v>
      </c>
      <c r="L58" s="287">
        <f>IF((L26-K26)&gt;0, (L26-K26),0)*$D5*('Cost per Cell'!$I6+'Cost per Cell'!$I7)</f>
        <v>0</v>
      </c>
      <c r="M58" s="287">
        <f>IF((M26-L26)&gt;0, (M26-L26),0)*$D5*('Cost per Cell'!$I6+'Cost per Cell'!$I7)</f>
        <v>0</v>
      </c>
      <c r="N58" s="287">
        <f>IF((N26-M26)&gt;0, (N26-M26),0)*$D5*('Cost per Cell'!$I6+'Cost per Cell'!$I7)</f>
        <v>0</v>
      </c>
      <c r="O58" s="287">
        <f>IF((O26-N26)&gt;0, (O26-N26),0)*$D5*('Cost per Cell'!$I6+'Cost per Cell'!$I7)</f>
        <v>0</v>
      </c>
      <c r="P58" s="291">
        <f>IF((P26-O26)&gt;0, (P26-O26),0)*$D5*('Cost per Cell'!$I6+'Cost per Cell'!$I7)</f>
        <v>0</v>
      </c>
      <c r="Q58" s="354"/>
      <c r="R58" s="354"/>
    </row>
    <row r="59" spans="1:20" x14ac:dyDescent="0.25">
      <c r="B59" s="330"/>
      <c r="C59" s="375"/>
      <c r="D59" s="375"/>
      <c r="E59" s="375"/>
      <c r="G59" s="368" t="s">
        <v>47</v>
      </c>
      <c r="H59" s="288"/>
      <c r="I59" s="288"/>
      <c r="J59" s="288"/>
      <c r="K59" s="288"/>
      <c r="L59" s="288"/>
      <c r="M59" s="288"/>
      <c r="N59" s="288"/>
      <c r="O59" s="288"/>
      <c r="P59" s="289"/>
      <c r="Q59" s="354"/>
      <c r="R59" s="354"/>
    </row>
    <row r="60" spans="1:20" x14ac:dyDescent="0.25">
      <c r="B60" s="330"/>
      <c r="C60" s="330"/>
      <c r="D60" s="330"/>
      <c r="E60" s="330"/>
      <c r="G60" s="370" t="s">
        <v>128</v>
      </c>
      <c r="H60" s="292">
        <f>$D4*H16*SUM('Cost per Cell'!$K11:$K14)*12</f>
        <v>173910000</v>
      </c>
      <c r="I60" s="292">
        <f>$D4*I16*SUM('Cost per Cell'!$K11:$K14)*12</f>
        <v>434775000</v>
      </c>
      <c r="J60" s="292">
        <f>$D4*J16*SUM('Cost per Cell'!$K11:$K14)*12</f>
        <v>860854500</v>
      </c>
      <c r="K60" s="292">
        <f>$D4*K16*SUM('Cost per Cell'!$K11:$K14)*12</f>
        <v>860854500</v>
      </c>
      <c r="L60" s="292">
        <f>$D4*L16*SUM('Cost per Cell'!$K11:$K14)*12</f>
        <v>860854500</v>
      </c>
      <c r="M60" s="292">
        <f>$D4*M16*SUM('Cost per Cell'!$K11:$K14)*12</f>
        <v>860854500</v>
      </c>
      <c r="N60" s="292">
        <f>$D4*N16*SUM('Cost per Cell'!$K11:$K14)*12</f>
        <v>860854500</v>
      </c>
      <c r="O60" s="292">
        <f>$D4*O16*SUM('Cost per Cell'!$K11:$K14)*12</f>
        <v>860854500</v>
      </c>
      <c r="P60" s="293">
        <f>$D4*P16*SUM('Cost per Cell'!$K11:$K14)*12</f>
        <v>860854500</v>
      </c>
      <c r="Q60" s="354"/>
      <c r="R60" s="354"/>
      <c r="S60" s="374"/>
    </row>
    <row r="61" spans="1:20" x14ac:dyDescent="0.25">
      <c r="G61" s="370" t="s">
        <v>121</v>
      </c>
      <c r="H61" s="292">
        <f>$D4*H17*SUM('Cost per Cell'!$M11:$M14)*12</f>
        <v>860854500</v>
      </c>
      <c r="I61" s="292">
        <f>$D4*I17*SUM('Cost per Cell'!$M11:$M14)*12</f>
        <v>860854500</v>
      </c>
      <c r="J61" s="292">
        <f>$D4*J17*SUM('Cost per Cell'!$M11:$M14)*12</f>
        <v>860854500</v>
      </c>
      <c r="K61" s="292">
        <f>$D4*K17*SUM('Cost per Cell'!$M11:$M14)*12</f>
        <v>860854500</v>
      </c>
      <c r="L61" s="292">
        <f>$D4*L17*SUM('Cost per Cell'!$M11:$M14)*12</f>
        <v>860854500</v>
      </c>
      <c r="M61" s="292">
        <f>$D4*M17*SUM('Cost per Cell'!$M11:$M14)*12</f>
        <v>860854500</v>
      </c>
      <c r="N61" s="292">
        <f>$D4*N17*SUM('Cost per Cell'!$M11:$M14)*12</f>
        <v>860854500</v>
      </c>
      <c r="O61" s="292">
        <f>$D4*O17*SUM('Cost per Cell'!$M11:$M14)*12</f>
        <v>860854500</v>
      </c>
      <c r="P61" s="293">
        <f>$D4*P17*SUM('Cost per Cell'!$M11:$M14)*12</f>
        <v>860854500</v>
      </c>
      <c r="Q61" s="374"/>
      <c r="R61" s="374"/>
    </row>
    <row r="62" spans="1:20" x14ac:dyDescent="0.25">
      <c r="G62" s="370" t="s">
        <v>122</v>
      </c>
      <c r="H62" s="292">
        <f>$D4*H18*SUM('Cost per Cell'!$M11:$M14)*12</f>
        <v>434775000</v>
      </c>
      <c r="I62" s="292">
        <f>$D4*I18*SUM('Cost per Cell'!$M11:$M14)*12</f>
        <v>608684999.99999988</v>
      </c>
      <c r="J62" s="292">
        <f>$D4*J18*SUM('Cost per Cell'!$M11:$M14)*12</f>
        <v>695640000</v>
      </c>
      <c r="K62" s="292">
        <f>$D4*K18*SUM('Cost per Cell'!$M11:$M14)*12</f>
        <v>782595000</v>
      </c>
      <c r="L62" s="292">
        <f>$D4*L18*SUM('Cost per Cell'!$M11:$M14)*12</f>
        <v>826072500</v>
      </c>
      <c r="M62" s="292">
        <f>$D4*M18*SUM('Cost per Cell'!$M11:$M14)*12</f>
        <v>860854500</v>
      </c>
      <c r="N62" s="292">
        <f>$D4*N18*SUM('Cost per Cell'!$M11:$M14)*12</f>
        <v>860854500</v>
      </c>
      <c r="O62" s="292">
        <f>$D4*O18*SUM('Cost per Cell'!$M11:$M14)*12</f>
        <v>860854500</v>
      </c>
      <c r="P62" s="293">
        <f>$D4*P18*SUM('Cost per Cell'!$M11:$M14)*12</f>
        <v>860854500</v>
      </c>
      <c r="Q62" s="354"/>
      <c r="R62" s="354"/>
    </row>
    <row r="63" spans="1:20" x14ac:dyDescent="0.25">
      <c r="G63" s="370" t="s">
        <v>120</v>
      </c>
      <c r="H63" s="292">
        <f>$D4*H19*SUM('Cost per Cell'!$M11:$M14)*12</f>
        <v>0</v>
      </c>
      <c r="I63" s="292">
        <f>$D4*I19*SUM('Cost per Cell'!$M11:$M14)*12</f>
        <v>0</v>
      </c>
      <c r="J63" s="292">
        <f>$D4*J19*SUM('Cost per Cell'!$M11:$M14)*12</f>
        <v>0</v>
      </c>
      <c r="K63" s="292">
        <f>$D4*K19*SUM('Cost per Cell'!$M11:$M14)*12</f>
        <v>0</v>
      </c>
      <c r="L63" s="292">
        <f>$D4*L19*SUM('Cost per Cell'!$M11:$M14)*12</f>
        <v>0</v>
      </c>
      <c r="M63" s="292">
        <f>$D4*M19*SUM('Cost per Cell'!$M11:$M14)*12</f>
        <v>0</v>
      </c>
      <c r="N63" s="292">
        <f>$D4*N19*SUM('Cost per Cell'!$M11:$M14)*12</f>
        <v>0</v>
      </c>
      <c r="O63" s="292">
        <f>$D4*O19*SUM('Cost per Cell'!$M11:$M14)*12</f>
        <v>0</v>
      </c>
      <c r="P63" s="293">
        <f>$D4*P19*SUM('Cost per Cell'!$M11:$M14)*12</f>
        <v>0</v>
      </c>
    </row>
    <row r="64" spans="1:20" x14ac:dyDescent="0.25">
      <c r="G64" s="370" t="s">
        <v>124</v>
      </c>
      <c r="H64" s="292">
        <f>$D4*H20*SUM('Cost per Cell'!$M11:$M14)*12</f>
        <v>0</v>
      </c>
      <c r="I64" s="292">
        <f>$D4*I20*SUM('Cost per Cell'!$M11:$M14)*12</f>
        <v>0</v>
      </c>
      <c r="J64" s="292">
        <f>$D4*J20*SUM('Cost per Cell'!$M11:$M14)*12</f>
        <v>0</v>
      </c>
      <c r="K64" s="292">
        <f>$D4*K20*SUM('Cost per Cell'!$M11:$M14)*12</f>
        <v>0</v>
      </c>
      <c r="L64" s="292">
        <f>$D4*L20*SUM('Cost per Cell'!$M11:$M14)*12</f>
        <v>0</v>
      </c>
      <c r="M64" s="292">
        <f>$D4*M20*SUM('Cost per Cell'!$M11:$M14)*12</f>
        <v>0</v>
      </c>
      <c r="N64" s="292">
        <f>$D4*N20*SUM('Cost per Cell'!$M11:$M14)*12</f>
        <v>0</v>
      </c>
      <c r="O64" s="292">
        <f>$D4*O20*SUM('Cost per Cell'!$M11:$M14)*12</f>
        <v>0</v>
      </c>
      <c r="P64" s="293">
        <f>$D4*P20*SUM('Cost per Cell'!$M11:$M14)*12</f>
        <v>0</v>
      </c>
      <c r="Q64" s="354"/>
      <c r="R64" s="354"/>
    </row>
    <row r="65" spans="7:18" x14ac:dyDescent="0.25">
      <c r="G65" s="370" t="s">
        <v>118</v>
      </c>
      <c r="H65" s="292">
        <f>$D4*H21*SUM('Cost per Cell'!$C11:$C14)*12</f>
        <v>0</v>
      </c>
      <c r="I65" s="292">
        <f>$D4*I21*SUM('Cost per Cell'!$C11:$C14)*12</f>
        <v>0</v>
      </c>
      <c r="J65" s="292">
        <f>$D4*J21*SUM('Cost per Cell'!$C11:$C14)*12</f>
        <v>0</v>
      </c>
      <c r="K65" s="292">
        <f>$D4*K21*SUM('Cost per Cell'!$C11:$C14)*12</f>
        <v>0</v>
      </c>
      <c r="L65" s="292">
        <f>$D4*L21*SUM('Cost per Cell'!$C11:$C14)*12</f>
        <v>0</v>
      </c>
      <c r="M65" s="292">
        <f>$D4*M21*SUM('Cost per Cell'!$C11:$C14)*12</f>
        <v>0</v>
      </c>
      <c r="N65" s="292">
        <f>$D4*N21*SUM('Cost per Cell'!$C11:$C14)*12</f>
        <v>0</v>
      </c>
      <c r="O65" s="292">
        <f>$D4*O21*SUM('Cost per Cell'!$C11:$C14)*12</f>
        <v>0</v>
      </c>
      <c r="P65" s="293">
        <f>$D4*P21*SUM('Cost per Cell'!$C11:$C14)*12</f>
        <v>0</v>
      </c>
      <c r="Q65" s="354"/>
      <c r="R65" s="354"/>
    </row>
    <row r="66" spans="7:18" x14ac:dyDescent="0.25">
      <c r="G66" s="370" t="s">
        <v>132</v>
      </c>
      <c r="H66" s="292">
        <f>$D4*H22*SUM('Cost per Cell'!$G11:$G14)*12</f>
        <v>0</v>
      </c>
      <c r="I66" s="292">
        <f>$D4*I22*SUM('Cost per Cell'!$G11:$G14)*12</f>
        <v>0</v>
      </c>
      <c r="J66" s="292">
        <f>$D4*J22*SUM('Cost per Cell'!$G11:$G14)*12</f>
        <v>83410500</v>
      </c>
      <c r="K66" s="292">
        <f>$D4*K22*SUM('Cost per Cell'!$G11:$G14)*12</f>
        <v>166821000</v>
      </c>
      <c r="L66" s="292">
        <f>$D4*L22*SUM('Cost per Cell'!$G11:$G14)*12</f>
        <v>250231500</v>
      </c>
      <c r="M66" s="292">
        <f>$D4*M22*SUM('Cost per Cell'!$G11:$G14)*12</f>
        <v>166821000</v>
      </c>
      <c r="N66" s="292">
        <f>$D4*N22*SUM('Cost per Cell'!$G11:$G14)*12</f>
        <v>0</v>
      </c>
      <c r="O66" s="292">
        <f>$D4*O22*SUM('Cost per Cell'!$G11:$G14)*12</f>
        <v>0</v>
      </c>
      <c r="P66" s="293">
        <f>$D4*P22*SUM('Cost per Cell'!$G11:$G14)*12</f>
        <v>0</v>
      </c>
    </row>
    <row r="67" spans="7:18" x14ac:dyDescent="0.25">
      <c r="G67" s="370" t="s">
        <v>133</v>
      </c>
      <c r="H67" s="292">
        <f>$D4*H23*SUM('Cost per Cell'!$E11:$E14)*12</f>
        <v>0</v>
      </c>
      <c r="I67" s="292">
        <f>$D4*I23*SUM('Cost per Cell'!$E11:$E14)*12</f>
        <v>0</v>
      </c>
      <c r="J67" s="292">
        <f>$D4*J23*SUM('Cost per Cell'!$E11:$E14)*12</f>
        <v>0</v>
      </c>
      <c r="K67" s="292">
        <f>$D4*K23*SUM('Cost per Cell'!$E11:$E14)*12</f>
        <v>0</v>
      </c>
      <c r="L67" s="292">
        <f>$D4*L23*SUM('Cost per Cell'!$E11:$E14)*12</f>
        <v>87337500</v>
      </c>
      <c r="M67" s="292">
        <f>$D4*M23*SUM('Cost per Cell'!$E11:$E14)*12</f>
        <v>262012500</v>
      </c>
      <c r="N67" s="292">
        <f>$D4*N23*SUM('Cost per Cell'!$E11:$E14)*12</f>
        <v>524025000</v>
      </c>
      <c r="O67" s="292">
        <f>$D4*O23*SUM('Cost per Cell'!$E11:$E14)*12</f>
        <v>698700000</v>
      </c>
      <c r="P67" s="293">
        <f>$D4*P23*SUM('Cost per Cell'!$E11:$E14)*12</f>
        <v>864641250</v>
      </c>
    </row>
    <row r="68" spans="7:18" x14ac:dyDescent="0.25">
      <c r="G68" s="371" t="s">
        <v>255</v>
      </c>
      <c r="H68" s="292">
        <f>$D5*H24*SUM('Cost per Cell'!$O11:$O14)*12</f>
        <v>27734400</v>
      </c>
      <c r="I68" s="292">
        <f>$D5*I24*SUM('Cost per Cell'!$O11:$O14)*12</f>
        <v>0</v>
      </c>
      <c r="J68" s="292">
        <f>$D5*J24*SUM('Cost per Cell'!$O11:$O14)*12</f>
        <v>0</v>
      </c>
      <c r="K68" s="292">
        <f>$D5*K24*SUM('Cost per Cell'!$O11:$O14)*12</f>
        <v>0</v>
      </c>
      <c r="L68" s="292">
        <f>$D5*L24*SUM('Cost per Cell'!$O11:$O14)*12</f>
        <v>0</v>
      </c>
      <c r="M68" s="292">
        <f>$D5*M24*SUM('Cost per Cell'!$O11:$O14)*12</f>
        <v>0</v>
      </c>
      <c r="N68" s="292">
        <f>$D5*N24*SUM('Cost per Cell'!$O11:$O14)*12</f>
        <v>0</v>
      </c>
      <c r="O68" s="292">
        <f>$D5*O24*SUM('Cost per Cell'!$O11:$O14)*12</f>
        <v>0</v>
      </c>
      <c r="P68" s="293">
        <f>$D5*P24*SUM('Cost per Cell'!$O11:$O14)*12</f>
        <v>0</v>
      </c>
    </row>
    <row r="69" spans="7:18" x14ac:dyDescent="0.25">
      <c r="G69" s="371" t="s">
        <v>256</v>
      </c>
      <c r="H69" s="292">
        <f>$D5*H25*SUM('Cost per Cell'!$O11:$O14)*12</f>
        <v>0</v>
      </c>
      <c r="I69" s="292">
        <f>$D5*I25*SUM('Cost per Cell'!$O11:$O14)*12</f>
        <v>9244800</v>
      </c>
      <c r="J69" s="292">
        <f>$D5*J25*SUM('Cost per Cell'!$O11:$O14)*12</f>
        <v>9244800</v>
      </c>
      <c r="K69" s="292">
        <f>$D5*K25*SUM('Cost per Cell'!$O11:$O14)*12</f>
        <v>18489600</v>
      </c>
      <c r="L69" s="292">
        <f>$D5*L25*SUM('Cost per Cell'!$O11:$O14)*12</f>
        <v>27734400</v>
      </c>
      <c r="M69" s="292">
        <f>$D5*M25*SUM('Cost per Cell'!$O11:$O14)*12</f>
        <v>55468800</v>
      </c>
      <c r="N69" s="292">
        <f>$D5*N25*SUM('Cost per Cell'!$O11:$O14)*12</f>
        <v>83203200</v>
      </c>
      <c r="O69" s="292">
        <f>$D5*O25*SUM('Cost per Cell'!$O11:$O14)*12</f>
        <v>92448000</v>
      </c>
      <c r="P69" s="293">
        <f>$D5*P25*SUM('Cost per Cell'!$O11:$O14)*12</f>
        <v>92448000</v>
      </c>
      <c r="Q69" s="354"/>
      <c r="R69" s="354"/>
    </row>
    <row r="70" spans="7:18" x14ac:dyDescent="0.25">
      <c r="G70" s="369" t="s">
        <v>129</v>
      </c>
      <c r="H70" s="292">
        <f>$D5*H26*SUM('Cost per Cell'!$I11:$I14)*12</f>
        <v>6165000</v>
      </c>
      <c r="I70" s="292">
        <f>$D5*I26*SUM('Cost per Cell'!$I11:$I14)*12</f>
        <v>6165000</v>
      </c>
      <c r="J70" s="292">
        <f>$D5*J26*SUM('Cost per Cell'!$I11:$I14)*12</f>
        <v>6165000</v>
      </c>
      <c r="K70" s="292">
        <f>$D5*K26*SUM('Cost per Cell'!$I11:$I14)*12</f>
        <v>6165000</v>
      </c>
      <c r="L70" s="292">
        <f>$D5*L26*SUM('Cost per Cell'!$I11:$I14)*12</f>
        <v>6165000</v>
      </c>
      <c r="M70" s="292">
        <f>$D5*M26*SUM('Cost per Cell'!$I11:$I14)*12</f>
        <v>6165000</v>
      </c>
      <c r="N70" s="292">
        <f>$D5*N26*SUM('Cost per Cell'!$I11:$I14)*12</f>
        <v>6165000</v>
      </c>
      <c r="O70" s="292">
        <f>$D5*O26*SUM('Cost per Cell'!$I11:$I14)*12</f>
        <v>6165000</v>
      </c>
      <c r="P70" s="293">
        <f>$D5*P26*SUM('Cost per Cell'!$I11:$I14)*12</f>
        <v>6165000</v>
      </c>
      <c r="Q70" s="354"/>
      <c r="R70" s="354"/>
    </row>
    <row r="71" spans="7:18" ht="15.75" thickBot="1" x14ac:dyDescent="0.3">
      <c r="G71" s="376" t="s">
        <v>12</v>
      </c>
      <c r="H71" s="302">
        <f t="shared" ref="H71:P71" si="14">SUM(H44:H70)</f>
        <v>2370833356.6869302</v>
      </c>
      <c r="I71" s="302">
        <f t="shared" si="14"/>
        <v>6332474300</v>
      </c>
      <c r="J71" s="302">
        <f t="shared" si="14"/>
        <v>3385294300</v>
      </c>
      <c r="K71" s="302">
        <f t="shared" si="14"/>
        <v>2950654600</v>
      </c>
      <c r="L71" s="302">
        <f t="shared" si="14"/>
        <v>3275062400</v>
      </c>
      <c r="M71" s="302">
        <f t="shared" si="14"/>
        <v>3440280800</v>
      </c>
      <c r="N71" s="302">
        <f t="shared" si="14"/>
        <v>3673706700</v>
      </c>
      <c r="O71" s="302">
        <f t="shared" si="14"/>
        <v>3687876500</v>
      </c>
      <c r="P71" s="303">
        <f t="shared" si="14"/>
        <v>3828442750</v>
      </c>
      <c r="Q71" s="354"/>
      <c r="R71" s="354"/>
    </row>
    <row r="72" spans="7:18" x14ac:dyDescent="0.25">
      <c r="G72" s="354"/>
      <c r="H72" s="354"/>
      <c r="I72" s="354"/>
      <c r="J72" s="354"/>
      <c r="K72" s="354"/>
      <c r="L72" s="354"/>
      <c r="M72" s="354"/>
      <c r="N72" s="354"/>
      <c r="O72" s="354"/>
      <c r="P72" s="354"/>
      <c r="Q72" s="354"/>
      <c r="R72" s="354"/>
    </row>
    <row r="73" spans="7:18" ht="15.75" thickBot="1" x14ac:dyDescent="0.3">
      <c r="G73" s="354"/>
      <c r="H73" s="354"/>
      <c r="I73" s="354"/>
      <c r="J73" s="354"/>
      <c r="K73" s="354"/>
      <c r="L73" s="354"/>
      <c r="M73" s="354"/>
      <c r="N73" s="354"/>
      <c r="O73" s="354"/>
      <c r="P73" s="354"/>
      <c r="Q73" s="354"/>
      <c r="R73" s="354"/>
    </row>
    <row r="74" spans="7:18" x14ac:dyDescent="0.25">
      <c r="G74" s="347" t="s">
        <v>100</v>
      </c>
      <c r="H74" s="348" t="s">
        <v>8</v>
      </c>
      <c r="I74" s="348" t="s">
        <v>0</v>
      </c>
      <c r="J74" s="348" t="s">
        <v>1</v>
      </c>
      <c r="K74" s="348" t="s">
        <v>2</v>
      </c>
      <c r="L74" s="348" t="s">
        <v>3</v>
      </c>
      <c r="M74" s="348" t="s">
        <v>4</v>
      </c>
      <c r="N74" s="348" t="s">
        <v>5</v>
      </c>
      <c r="O74" s="348" t="s">
        <v>6</v>
      </c>
      <c r="P74" s="349" t="s">
        <v>7</v>
      </c>
      <c r="Q74" s="354"/>
      <c r="R74" s="354"/>
    </row>
    <row r="75" spans="7:18" x14ac:dyDescent="0.25">
      <c r="G75" s="377" t="s">
        <v>16</v>
      </c>
      <c r="H75" s="378">
        <v>46.5</v>
      </c>
      <c r="I75" s="378">
        <f>H75*1.01</f>
        <v>46.965000000000003</v>
      </c>
      <c r="J75" s="378">
        <f t="shared" ref="J75:P75" si="15">I75*1.01</f>
        <v>47.434650000000005</v>
      </c>
      <c r="K75" s="378">
        <f t="shared" si="15"/>
        <v>47.908996500000008</v>
      </c>
      <c r="L75" s="378">
        <f t="shared" si="15"/>
        <v>48.388086465000008</v>
      </c>
      <c r="M75" s="378">
        <f t="shared" si="15"/>
        <v>48.871967329650005</v>
      </c>
      <c r="N75" s="378">
        <f t="shared" si="15"/>
        <v>49.360687002946506</v>
      </c>
      <c r="O75" s="378">
        <f t="shared" si="15"/>
        <v>49.854293872975973</v>
      </c>
      <c r="P75" s="379">
        <f t="shared" si="15"/>
        <v>50.352836811705735</v>
      </c>
      <c r="Q75" s="354"/>
      <c r="R75" s="354"/>
    </row>
    <row r="76" spans="7:18" ht="15.75" thickBot="1" x14ac:dyDescent="0.3">
      <c r="G76" s="380" t="s">
        <v>104</v>
      </c>
      <c r="H76" s="381">
        <f t="shared" ref="H76:P76" si="16">H12*H75*12</f>
        <v>16022272500</v>
      </c>
      <c r="I76" s="381">
        <f t="shared" si="16"/>
        <v>16506145129.5</v>
      </c>
      <c r="J76" s="381">
        <f t="shared" si="16"/>
        <v>16998092984.340002</v>
      </c>
      <c r="K76" s="381">
        <f t="shared" si="16"/>
        <v>17498229181.763851</v>
      </c>
      <c r="L76" s="381">
        <f t="shared" si="16"/>
        <v>18006668293.837749</v>
      </c>
      <c r="M76" s="381">
        <f t="shared" si="16"/>
        <v>18523526365.23494</v>
      </c>
      <c r="N76" s="381">
        <f t="shared" si="16"/>
        <v>19048920931.230698</v>
      </c>
      <c r="O76" s="381">
        <f t="shared" si="16"/>
        <v>19582971035.909836</v>
      </c>
      <c r="P76" s="382">
        <f t="shared" si="16"/>
        <v>20125797250.589447</v>
      </c>
      <c r="Q76" s="354"/>
      <c r="R76" s="354"/>
    </row>
    <row r="77" spans="7:18" x14ac:dyDescent="0.25">
      <c r="G77" s="354"/>
      <c r="H77" s="354"/>
      <c r="I77" s="354"/>
      <c r="J77" s="354"/>
      <c r="K77" s="354"/>
      <c r="L77" s="354"/>
      <c r="M77" s="354"/>
      <c r="N77" s="354"/>
      <c r="O77" s="354"/>
      <c r="P77" s="354"/>
      <c r="Q77" s="354"/>
      <c r="R77" s="354"/>
    </row>
    <row r="78" spans="7:18" ht="15.75" thickBot="1" x14ac:dyDescent="0.3">
      <c r="G78" s="354"/>
      <c r="H78" s="354"/>
      <c r="I78" s="354"/>
      <c r="J78" s="354"/>
      <c r="K78" s="354"/>
      <c r="L78" s="354"/>
      <c r="M78" s="354"/>
      <c r="N78" s="354"/>
      <c r="O78" s="354"/>
      <c r="P78" s="354"/>
      <c r="Q78" s="354"/>
      <c r="R78" s="354"/>
    </row>
    <row r="79" spans="7:18" x14ac:dyDescent="0.25">
      <c r="G79" s="347" t="s">
        <v>105</v>
      </c>
      <c r="H79" s="348" t="s">
        <v>8</v>
      </c>
      <c r="I79" s="348" t="s">
        <v>0</v>
      </c>
      <c r="J79" s="348" t="s">
        <v>1</v>
      </c>
      <c r="K79" s="348" t="s">
        <v>2</v>
      </c>
      <c r="L79" s="348" t="s">
        <v>3</v>
      </c>
      <c r="M79" s="348" t="s">
        <v>4</v>
      </c>
      <c r="N79" s="348" t="s">
        <v>5</v>
      </c>
      <c r="O79" s="348" t="s">
        <v>6</v>
      </c>
      <c r="P79" s="349" t="s">
        <v>7</v>
      </c>
      <c r="Q79" s="354"/>
      <c r="R79" s="354"/>
    </row>
    <row r="80" spans="7:18" x14ac:dyDescent="0.25">
      <c r="G80" s="377" t="s">
        <v>107</v>
      </c>
      <c r="H80" s="383">
        <f t="shared" ref="H80:P80" si="17">+H76</f>
        <v>16022272500</v>
      </c>
      <c r="I80" s="383">
        <f t="shared" si="17"/>
        <v>16506145129.5</v>
      </c>
      <c r="J80" s="383">
        <f t="shared" si="17"/>
        <v>16998092984.340002</v>
      </c>
      <c r="K80" s="383">
        <f t="shared" si="17"/>
        <v>17498229181.763851</v>
      </c>
      <c r="L80" s="383">
        <f t="shared" si="17"/>
        <v>18006668293.837749</v>
      </c>
      <c r="M80" s="383">
        <f t="shared" si="17"/>
        <v>18523526365.23494</v>
      </c>
      <c r="N80" s="383">
        <f t="shared" si="17"/>
        <v>19048920931.230698</v>
      </c>
      <c r="O80" s="383">
        <f t="shared" si="17"/>
        <v>19582971035.909836</v>
      </c>
      <c r="P80" s="384">
        <f t="shared" si="17"/>
        <v>20125797250.589447</v>
      </c>
      <c r="Q80" s="354"/>
      <c r="R80" s="354"/>
    </row>
    <row r="81" spans="7:18" x14ac:dyDescent="0.25">
      <c r="G81" s="377" t="s">
        <v>288</v>
      </c>
      <c r="H81" s="383">
        <f t="shared" ref="H81:P81" si="18">H71</f>
        <v>2370833356.6869302</v>
      </c>
      <c r="I81" s="383">
        <f t="shared" si="18"/>
        <v>6332474300</v>
      </c>
      <c r="J81" s="383">
        <f t="shared" si="18"/>
        <v>3385294300</v>
      </c>
      <c r="K81" s="383">
        <f t="shared" si="18"/>
        <v>2950654600</v>
      </c>
      <c r="L81" s="383">
        <f t="shared" si="18"/>
        <v>3275062400</v>
      </c>
      <c r="M81" s="383">
        <f t="shared" si="18"/>
        <v>3440280800</v>
      </c>
      <c r="N81" s="383">
        <f t="shared" si="18"/>
        <v>3673706700</v>
      </c>
      <c r="O81" s="383">
        <f t="shared" si="18"/>
        <v>3687876500</v>
      </c>
      <c r="P81" s="384">
        <f t="shared" si="18"/>
        <v>3828442750</v>
      </c>
      <c r="Q81" s="354"/>
      <c r="R81" s="354"/>
    </row>
    <row r="82" spans="7:18" x14ac:dyDescent="0.25">
      <c r="G82" s="377" t="s">
        <v>257</v>
      </c>
      <c r="H82" s="383">
        <f>H80*0.25</f>
        <v>4005568125</v>
      </c>
      <c r="I82" s="383">
        <f t="shared" ref="I82:P82" si="19">I80*0.25</f>
        <v>4126536282.375</v>
      </c>
      <c r="J82" s="383">
        <f t="shared" si="19"/>
        <v>4249523246.0850005</v>
      </c>
      <c r="K82" s="383">
        <f t="shared" si="19"/>
        <v>4374557295.4409628</v>
      </c>
      <c r="L82" s="383">
        <f t="shared" si="19"/>
        <v>4501667073.4594374</v>
      </c>
      <c r="M82" s="383">
        <f t="shared" si="19"/>
        <v>4630881591.3087349</v>
      </c>
      <c r="N82" s="383">
        <f t="shared" si="19"/>
        <v>4762230232.8076744</v>
      </c>
      <c r="O82" s="383">
        <f t="shared" si="19"/>
        <v>4895742758.977459</v>
      </c>
      <c r="P82" s="384">
        <f t="shared" si="19"/>
        <v>5031449312.6473618</v>
      </c>
      <c r="Q82" s="354"/>
    </row>
    <row r="83" spans="7:18" ht="15.75" thickBot="1" x14ac:dyDescent="0.3">
      <c r="G83" s="380" t="s">
        <v>9</v>
      </c>
      <c r="H83" s="411">
        <f t="shared" ref="H83:P83" si="20">H80-H82-H81</f>
        <v>9645871018.3130703</v>
      </c>
      <c r="I83" s="381">
        <f t="shared" si="20"/>
        <v>6047134547.125</v>
      </c>
      <c r="J83" s="381">
        <f t="shared" si="20"/>
        <v>9363275438.2550011</v>
      </c>
      <c r="K83" s="381">
        <f t="shared" si="20"/>
        <v>10173017286.322887</v>
      </c>
      <c r="L83" s="381">
        <f t="shared" si="20"/>
        <v>10229938820.378311</v>
      </c>
      <c r="M83" s="381">
        <f t="shared" si="20"/>
        <v>10452363973.926205</v>
      </c>
      <c r="N83" s="381">
        <f t="shared" si="20"/>
        <v>10612983998.423023</v>
      </c>
      <c r="O83" s="381">
        <f t="shared" si="20"/>
        <v>10999351776.932377</v>
      </c>
      <c r="P83" s="382">
        <f t="shared" si="20"/>
        <v>11265905187.942085</v>
      </c>
      <c r="Q83" s="354"/>
      <c r="R83" s="354"/>
    </row>
    <row r="84" spans="7:18" ht="15.75" thickBot="1" x14ac:dyDescent="0.3">
      <c r="G84" s="354"/>
      <c r="H84" s="354"/>
      <c r="I84" s="354"/>
      <c r="J84" s="354"/>
      <c r="K84" s="354"/>
      <c r="L84" s="354"/>
      <c r="M84" s="354"/>
      <c r="N84" s="354"/>
      <c r="O84" s="354"/>
      <c r="P84" s="354"/>
      <c r="Q84" s="354"/>
      <c r="R84" s="354"/>
    </row>
    <row r="85" spans="7:18" x14ac:dyDescent="0.25">
      <c r="G85" s="385" t="s">
        <v>108</v>
      </c>
      <c r="H85" s="386">
        <f>NPV(0.1,H83:P83)</f>
        <v>55357015975.839104</v>
      </c>
      <c r="I85" s="354"/>
      <c r="J85" s="354"/>
      <c r="K85" s="354"/>
      <c r="L85" s="354"/>
      <c r="M85" s="354"/>
      <c r="N85" s="354"/>
      <c r="O85" s="354"/>
      <c r="P85" s="354"/>
      <c r="Q85" s="354"/>
      <c r="R85" s="354"/>
    </row>
    <row r="86" spans="7:18" ht="15.75" thickBot="1" x14ac:dyDescent="0.3">
      <c r="G86" s="387" t="s">
        <v>109</v>
      </c>
      <c r="H86" s="388" t="str">
        <f>IFERROR(IRR(H83:P83,500%), "N/A")</f>
        <v>N/A</v>
      </c>
      <c r="I86" s="354"/>
      <c r="J86" s="354"/>
      <c r="K86" s="354"/>
      <c r="L86" s="354"/>
      <c r="M86" s="354"/>
      <c r="N86" s="354"/>
      <c r="O86" s="354"/>
      <c r="P86" s="354"/>
      <c r="Q86" s="354"/>
    </row>
    <row r="87" spans="7:18" x14ac:dyDescent="0.25">
      <c r="G87" s="354"/>
      <c r="H87" s="354"/>
      <c r="I87" s="354"/>
      <c r="J87" s="354"/>
      <c r="K87" s="354"/>
      <c r="L87" s="354"/>
      <c r="M87" s="354"/>
      <c r="N87" s="354"/>
      <c r="O87" s="354"/>
      <c r="P87" s="354"/>
      <c r="Q87" s="354"/>
      <c r="R87" s="354"/>
    </row>
    <row r="88" spans="7:18" x14ac:dyDescent="0.25">
      <c r="G88" s="354"/>
      <c r="H88" s="354"/>
      <c r="I88" s="354"/>
      <c r="J88" s="354"/>
      <c r="K88" s="354"/>
      <c r="L88" s="354"/>
      <c r="M88" s="354"/>
      <c r="N88" s="354"/>
      <c r="O88" s="354"/>
      <c r="P88" s="354"/>
      <c r="Q88" s="354"/>
      <c r="R88" s="354"/>
    </row>
  </sheetData>
  <sheetProtection algorithmName="SHA-512" hashValue="TY9JTY2+J5SI831aLDqFvOwOla7C/zExvoziXb6nZJ0VMA3FRmM8ATVqzShZRtUZ7Kb6yphIbFr69fOEsRbrUA==" saltValue="QKjx8HdAQetsQSwGBd8WXQ==" spinCount="100000" sheet="1" objects="1" scenarios="1"/>
  <protectedRanges>
    <protectedRange algorithmName="SHA-512" hashValue="cqSUvsMs9r3IjqrtC9VabC0CzY667OPYO9uHKGEx5qvTlCM0M4Z9JnlUcg9SIOY9rJwlEHAIFouNQlUI3k4/Mg==" saltValue="hiOETn8Tz/wXXwQHtxuQag==" spinCount="100000" sqref="G9:P26" name="Range2"/>
    <protectedRange algorithmName="SHA-512" hashValue="0l8hS7lGGwZGd/RdKg1vbJMdDMkE3wWFF1A1sRYUq3JeoEeDx3ouaN1HHJDSY7hWnlP55xmbX+gi7C+12PsH8w==" saltValue="tZuxO7wcxQSqLKiME6w58w==" spinCount="100000" sqref="B4:D52" name="Range1"/>
  </protectedRanges>
  <conditionalFormatting sqref="A87:XFD1048576 A86:Q86 S86:XFD86 A1:XFD85">
    <cfRule type="expression" dxfId="2" priority="1">
      <formula>"a1&lt;0"</formula>
    </cfRule>
  </conditionalFormatting>
  <pageMargins left="0.7" right="0.7" top="0.75" bottom="0.75" header="0.3" footer="0.3"/>
  <pageSetup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8"/>
  <sheetViews>
    <sheetView topLeftCell="A31" zoomScale="79" zoomScaleNormal="79" workbookViewId="0">
      <selection activeCell="H44" sqref="H44:P71"/>
    </sheetView>
  </sheetViews>
  <sheetFormatPr defaultColWidth="8.85546875" defaultRowHeight="15" x14ac:dyDescent="0.25"/>
  <cols>
    <col min="1" max="2" width="8.85546875" style="318"/>
    <col min="3" max="3" width="28.5703125" style="318" customWidth="1"/>
    <col min="4" max="4" width="14" style="318" bestFit="1" customWidth="1"/>
    <col min="5" max="5" width="11.7109375" style="318" customWidth="1"/>
    <col min="6" max="6" width="8.85546875" style="318"/>
    <col min="7" max="7" width="31.28515625" style="318" customWidth="1"/>
    <col min="8" max="8" width="18.7109375" style="318" bestFit="1" customWidth="1"/>
    <col min="9" max="16" width="15.7109375" style="318" bestFit="1" customWidth="1"/>
    <col min="17" max="16384" width="8.85546875" style="318"/>
  </cols>
  <sheetData>
    <row r="1" spans="1:16" x14ac:dyDescent="0.25">
      <c r="A1" s="317" t="s">
        <v>301</v>
      </c>
    </row>
    <row r="2" spans="1:16" x14ac:dyDescent="0.25">
      <c r="A2" s="318" t="s">
        <v>112</v>
      </c>
      <c r="H2" s="396"/>
      <c r="I2" s="396"/>
      <c r="J2" s="396"/>
      <c r="K2" s="396"/>
      <c r="L2" s="396"/>
      <c r="M2" s="396"/>
      <c r="N2" s="396"/>
      <c r="O2" s="396"/>
      <c r="P2" s="396"/>
    </row>
    <row r="3" spans="1:16" x14ac:dyDescent="0.25">
      <c r="B3" s="318" t="s">
        <v>159</v>
      </c>
      <c r="H3" s="396"/>
      <c r="I3" s="396"/>
      <c r="J3" s="396"/>
      <c r="K3" s="396"/>
      <c r="L3" s="396"/>
      <c r="M3" s="396"/>
      <c r="N3" s="396"/>
      <c r="O3" s="396"/>
      <c r="P3" s="396"/>
    </row>
    <row r="4" spans="1:16" x14ac:dyDescent="0.25">
      <c r="C4" s="318" t="s">
        <v>157</v>
      </c>
      <c r="D4" s="319">
        <f>'4.  New TMo OVERALL'!C4*0.3</f>
        <v>25500</v>
      </c>
      <c r="E4" s="318" t="s">
        <v>145</v>
      </c>
      <c r="H4" s="396"/>
      <c r="I4" s="396"/>
      <c r="J4" s="396"/>
      <c r="K4" s="396"/>
      <c r="L4" s="396"/>
      <c r="M4" s="396"/>
      <c r="N4" s="396"/>
      <c r="O4" s="396"/>
      <c r="P4" s="396"/>
    </row>
    <row r="5" spans="1:16" x14ac:dyDescent="0.25">
      <c r="C5" s="318" t="s">
        <v>144</v>
      </c>
      <c r="D5" s="320">
        <f>'4.  New TMo OVERALL'!C5*0</f>
        <v>0</v>
      </c>
      <c r="E5" s="318" t="s">
        <v>145</v>
      </c>
      <c r="H5" s="397"/>
      <c r="I5" s="397"/>
      <c r="J5" s="397"/>
      <c r="K5" s="397"/>
      <c r="L5" s="397"/>
      <c r="M5" s="397"/>
      <c r="N5" s="397"/>
      <c r="O5" s="397"/>
      <c r="P5" s="397"/>
    </row>
    <row r="6" spans="1:16" x14ac:dyDescent="0.25">
      <c r="C6" s="318" t="s">
        <v>249</v>
      </c>
      <c r="D6" s="319">
        <v>52650000</v>
      </c>
      <c r="E6" s="318" t="s">
        <v>250</v>
      </c>
    </row>
    <row r="7" spans="1:16" x14ac:dyDescent="0.25">
      <c r="C7" s="318" t="s">
        <v>303</v>
      </c>
      <c r="D7" s="321">
        <v>0.15</v>
      </c>
      <c r="E7" s="318" t="s">
        <v>251</v>
      </c>
    </row>
    <row r="8" spans="1:16" ht="15.75" thickBot="1" x14ac:dyDescent="0.3">
      <c r="H8" s="322">
        <v>2019</v>
      </c>
      <c r="I8" s="322">
        <v>2020</v>
      </c>
      <c r="J8" s="322">
        <v>2021</v>
      </c>
      <c r="K8" s="322">
        <v>2022</v>
      </c>
      <c r="L8" s="322">
        <v>2023</v>
      </c>
      <c r="M8" s="322">
        <v>2024</v>
      </c>
      <c r="N8" s="322">
        <v>2025</v>
      </c>
      <c r="O8" s="322">
        <v>2026</v>
      </c>
      <c r="P8" s="322">
        <v>2027</v>
      </c>
    </row>
    <row r="9" spans="1:16" s="317" customFormat="1" x14ac:dyDescent="0.25">
      <c r="A9" s="323"/>
      <c r="B9" s="324" t="s">
        <v>142</v>
      </c>
      <c r="C9" s="325"/>
      <c r="D9" s="325"/>
      <c r="E9" s="326"/>
      <c r="G9" s="327" t="s">
        <v>88</v>
      </c>
      <c r="H9" s="328" t="s">
        <v>8</v>
      </c>
      <c r="I9" s="328" t="s">
        <v>0</v>
      </c>
      <c r="J9" s="328" t="s">
        <v>1</v>
      </c>
      <c r="K9" s="328" t="s">
        <v>2</v>
      </c>
      <c r="L9" s="328" t="s">
        <v>3</v>
      </c>
      <c r="M9" s="328" t="s">
        <v>4</v>
      </c>
      <c r="N9" s="328" t="s">
        <v>5</v>
      </c>
      <c r="O9" s="328" t="s">
        <v>6</v>
      </c>
      <c r="P9" s="329" t="s">
        <v>7</v>
      </c>
    </row>
    <row r="10" spans="1:16" x14ac:dyDescent="0.25">
      <c r="A10" s="330"/>
      <c r="B10" s="331"/>
      <c r="C10" s="332" t="s">
        <v>154</v>
      </c>
      <c r="D10" s="336">
        <v>30</v>
      </c>
      <c r="E10" s="334" t="s">
        <v>68</v>
      </c>
      <c r="G10" s="335" t="s">
        <v>15</v>
      </c>
      <c r="H10" s="306">
        <f>'3.  USA Rural'!H10*1.4</f>
        <v>14</v>
      </c>
      <c r="I10" s="306">
        <f>'3.  USA Rural'!I10*1.35</f>
        <v>18.225000000000001</v>
      </c>
      <c r="J10" s="306">
        <f>'3.  USA Rural'!J10*1.3</f>
        <v>23.692500000000003</v>
      </c>
      <c r="K10" s="306">
        <f>'3.  USA Rural'!K10*1.25</f>
        <v>30.754687500000006</v>
      </c>
      <c r="L10" s="306">
        <f>'3.  USA Rural'!L10*1.2</f>
        <v>39.858075000000007</v>
      </c>
      <c r="M10" s="306">
        <f>'3.  USA Rural'!M10*1.15</f>
        <v>49.656518437500011</v>
      </c>
      <c r="N10" s="306">
        <f>'3.  USA Rural'!N10*1.1</f>
        <v>61.746801187500026</v>
      </c>
      <c r="O10" s="306">
        <f>'3.  USA Rural'!O10*1.05</f>
        <v>73.675160507812535</v>
      </c>
      <c r="P10" s="307">
        <f>'3.  USA Rural'!P10*1</f>
        <v>87.708524414062538</v>
      </c>
    </row>
    <row r="11" spans="1:16" x14ac:dyDescent="0.25">
      <c r="A11" s="330"/>
      <c r="B11" s="331"/>
      <c r="C11" s="332" t="s">
        <v>67</v>
      </c>
      <c r="D11" s="336">
        <v>2</v>
      </c>
      <c r="E11" s="334" t="s">
        <v>69</v>
      </c>
      <c r="G11" s="331" t="s">
        <v>115</v>
      </c>
      <c r="H11" s="308">
        <v>0.1</v>
      </c>
      <c r="I11" s="308">
        <v>0.11</v>
      </c>
      <c r="J11" s="308">
        <v>0.13</v>
      </c>
      <c r="K11" s="308">
        <v>0.15</v>
      </c>
      <c r="L11" s="308">
        <v>0.17</v>
      </c>
      <c r="M11" s="308">
        <v>0.19</v>
      </c>
      <c r="N11" s="308">
        <v>0.21</v>
      </c>
      <c r="O11" s="308">
        <v>0.23</v>
      </c>
      <c r="P11" s="309">
        <v>0.25</v>
      </c>
    </row>
    <row r="12" spans="1:16" ht="15.75" thickBot="1" x14ac:dyDescent="0.3">
      <c r="A12" s="330"/>
      <c r="B12" s="337"/>
      <c r="C12" s="338" t="s">
        <v>126</v>
      </c>
      <c r="D12" s="339">
        <f>D10*D11*60*60*24*30*3*D7/8/1000</f>
        <v>8748</v>
      </c>
      <c r="E12" s="340"/>
      <c r="G12" s="341" t="s">
        <v>116</v>
      </c>
      <c r="H12" s="310">
        <f>H11*$D6</f>
        <v>5265000</v>
      </c>
      <c r="I12" s="310">
        <f>I11*$D6*1.02</f>
        <v>5907330</v>
      </c>
      <c r="J12" s="310">
        <f>J11*$D6*1.04</f>
        <v>7118280</v>
      </c>
      <c r="K12" s="310">
        <f>K11*$D6*1.06</f>
        <v>8371350</v>
      </c>
      <c r="L12" s="310">
        <f>L11*$D6*1.08</f>
        <v>9666540</v>
      </c>
      <c r="M12" s="310">
        <f>M11*$D6*1.1</f>
        <v>11003850</v>
      </c>
      <c r="N12" s="310">
        <f>N11*$D6*1.12</f>
        <v>12383280.000000002</v>
      </c>
      <c r="O12" s="310">
        <f>O11*$D6*1.14</f>
        <v>13804829.999999998</v>
      </c>
      <c r="P12" s="311">
        <f>P11*$D6*1.16</f>
        <v>15268499.999999998</v>
      </c>
    </row>
    <row r="13" spans="1:16" ht="15.75" thickBot="1" x14ac:dyDescent="0.3">
      <c r="A13" s="330"/>
      <c r="B13" s="342" t="s">
        <v>143</v>
      </c>
      <c r="C13" s="323"/>
      <c r="D13" s="323"/>
      <c r="E13" s="343"/>
      <c r="G13" s="344" t="s">
        <v>117</v>
      </c>
      <c r="H13" s="312">
        <f>H12*H10</f>
        <v>73710000</v>
      </c>
      <c r="I13" s="312">
        <f t="shared" ref="I13:P13" si="0">I12*I10</f>
        <v>107661089.25000001</v>
      </c>
      <c r="J13" s="312">
        <f t="shared" si="0"/>
        <v>168649848.90000001</v>
      </c>
      <c r="K13" s="312">
        <f t="shared" si="0"/>
        <v>257458253.20312506</v>
      </c>
      <c r="L13" s="312">
        <f t="shared" si="0"/>
        <v>385289676.31050009</v>
      </c>
      <c r="M13" s="312">
        <f t="shared" si="0"/>
        <v>546412880.40848446</v>
      </c>
      <c r="N13" s="312">
        <f t="shared" si="0"/>
        <v>764627928.20914543</v>
      </c>
      <c r="O13" s="312">
        <f t="shared" si="0"/>
        <v>1017073066.0330656</v>
      </c>
      <c r="P13" s="313">
        <f t="shared" si="0"/>
        <v>1339177605.0161138</v>
      </c>
    </row>
    <row r="14" spans="1:16" x14ac:dyDescent="0.25">
      <c r="A14" s="330"/>
      <c r="B14" s="331"/>
      <c r="C14" s="332" t="s">
        <v>66</v>
      </c>
      <c r="D14" s="336">
        <v>20</v>
      </c>
      <c r="E14" s="334" t="s">
        <v>68</v>
      </c>
      <c r="G14" s="317"/>
      <c r="H14" s="314"/>
      <c r="I14" s="314"/>
      <c r="J14" s="314"/>
      <c r="K14" s="314"/>
      <c r="L14" s="314"/>
      <c r="M14" s="314"/>
      <c r="N14" s="314"/>
      <c r="O14" s="314"/>
      <c r="P14" s="314"/>
    </row>
    <row r="15" spans="1:16" s="317" customFormat="1" x14ac:dyDescent="0.25">
      <c r="A15" s="323"/>
      <c r="B15" s="331"/>
      <c r="C15" s="332" t="s">
        <v>67</v>
      </c>
      <c r="D15" s="336">
        <v>2</v>
      </c>
      <c r="E15" s="334" t="s">
        <v>69</v>
      </c>
      <c r="G15" s="345" t="s">
        <v>123</v>
      </c>
      <c r="H15" s="315"/>
      <c r="I15" s="315"/>
      <c r="J15" s="315"/>
      <c r="K15" s="315"/>
      <c r="L15" s="315"/>
      <c r="M15" s="315"/>
      <c r="N15" s="315"/>
      <c r="O15" s="315"/>
      <c r="P15" s="315"/>
    </row>
    <row r="16" spans="1:16" ht="15.75" thickBot="1" x14ac:dyDescent="0.3">
      <c r="A16" s="330"/>
      <c r="B16" s="331"/>
      <c r="C16" s="332" t="s">
        <v>126</v>
      </c>
      <c r="D16" s="333">
        <f>D14*D15*60*60*24*30*3*D7/8/1000</f>
        <v>5832</v>
      </c>
      <c r="E16" s="334"/>
      <c r="G16" s="345" t="s">
        <v>128</v>
      </c>
      <c r="H16" s="316">
        <v>0.01</v>
      </c>
      <c r="I16" s="316">
        <v>0.02</v>
      </c>
      <c r="J16" s="316">
        <v>0.03</v>
      </c>
      <c r="K16" s="316">
        <v>0.05</v>
      </c>
      <c r="L16" s="316">
        <v>0.08</v>
      </c>
      <c r="M16" s="316">
        <v>0.1</v>
      </c>
      <c r="N16" s="316">
        <v>0.1</v>
      </c>
      <c r="O16" s="316">
        <v>0.1</v>
      </c>
      <c r="P16" s="316">
        <v>0.1</v>
      </c>
    </row>
    <row r="17" spans="1:18" x14ac:dyDescent="0.25">
      <c r="A17" s="330"/>
      <c r="B17" s="324" t="s">
        <v>147</v>
      </c>
      <c r="C17" s="325"/>
      <c r="D17" s="325"/>
      <c r="E17" s="326"/>
      <c r="G17" s="345" t="s">
        <v>121</v>
      </c>
      <c r="H17" s="316">
        <v>0.92</v>
      </c>
      <c r="I17" s="316">
        <v>0.95</v>
      </c>
      <c r="J17" s="316">
        <v>0.98</v>
      </c>
      <c r="K17" s="316">
        <v>0.99</v>
      </c>
      <c r="L17" s="316">
        <v>0.99</v>
      </c>
      <c r="M17" s="316">
        <v>0.99</v>
      </c>
      <c r="N17" s="316">
        <v>0.99</v>
      </c>
      <c r="O17" s="316">
        <v>0.99</v>
      </c>
      <c r="P17" s="316">
        <v>0.99</v>
      </c>
      <c r="R17" s="354"/>
    </row>
    <row r="18" spans="1:18" x14ac:dyDescent="0.25">
      <c r="A18" s="330"/>
      <c r="B18" s="331"/>
      <c r="C18" s="332" t="s">
        <v>161</v>
      </c>
      <c r="D18" s="336">
        <v>100</v>
      </c>
      <c r="E18" s="334" t="s">
        <v>68</v>
      </c>
      <c r="G18" s="345" t="s">
        <v>122</v>
      </c>
      <c r="H18" s="316">
        <v>0.4</v>
      </c>
      <c r="I18" s="316">
        <v>0.5</v>
      </c>
      <c r="J18" s="316">
        <v>0.6</v>
      </c>
      <c r="K18" s="316">
        <v>0.7</v>
      </c>
      <c r="L18" s="316">
        <v>0.8</v>
      </c>
      <c r="M18" s="316">
        <v>0.9</v>
      </c>
      <c r="N18" s="316">
        <v>0.95</v>
      </c>
      <c r="O18" s="316">
        <v>0.99</v>
      </c>
      <c r="P18" s="316">
        <v>0.99</v>
      </c>
      <c r="R18" s="354"/>
    </row>
    <row r="19" spans="1:18" x14ac:dyDescent="0.25">
      <c r="A19" s="330"/>
      <c r="B19" s="331"/>
      <c r="C19" s="332" t="s">
        <v>67</v>
      </c>
      <c r="D19" s="336">
        <v>2</v>
      </c>
      <c r="E19" s="334" t="s">
        <v>69</v>
      </c>
      <c r="G19" s="345" t="s">
        <v>120</v>
      </c>
      <c r="H19" s="316"/>
      <c r="I19" s="316"/>
      <c r="J19" s="316"/>
      <c r="K19" s="316"/>
      <c r="L19" s="316"/>
      <c r="M19" s="316"/>
      <c r="N19" s="316"/>
      <c r="O19" s="316"/>
      <c r="P19" s="316"/>
      <c r="R19" s="354"/>
    </row>
    <row r="20" spans="1:18" ht="15.75" thickBot="1" x14ac:dyDescent="0.3">
      <c r="A20" s="330"/>
      <c r="B20" s="337"/>
      <c r="C20" s="338" t="s">
        <v>126</v>
      </c>
      <c r="D20" s="339">
        <f>D18*D19*60*60*24*30*3*D7/8/1000</f>
        <v>29160</v>
      </c>
      <c r="E20" s="340"/>
      <c r="G20" s="345" t="s">
        <v>131</v>
      </c>
      <c r="H20" s="316"/>
      <c r="I20" s="316"/>
      <c r="J20" s="316"/>
      <c r="K20" s="316"/>
      <c r="L20" s="316"/>
      <c r="M20" s="316"/>
      <c r="N20" s="316"/>
      <c r="O20" s="316"/>
      <c r="P20" s="316"/>
      <c r="R20" s="354"/>
    </row>
    <row r="21" spans="1:18" s="317" customFormat="1" x14ac:dyDescent="0.25">
      <c r="A21" s="323"/>
      <c r="B21" s="342" t="s">
        <v>138</v>
      </c>
      <c r="C21" s="323"/>
      <c r="D21" s="323"/>
      <c r="E21" s="343"/>
      <c r="F21" s="318"/>
      <c r="G21" s="345" t="s">
        <v>130</v>
      </c>
      <c r="H21" s="316"/>
      <c r="I21" s="316"/>
      <c r="J21" s="316"/>
      <c r="K21" s="316"/>
      <c r="L21" s="316"/>
      <c r="M21" s="316"/>
      <c r="N21" s="316"/>
      <c r="O21" s="316"/>
      <c r="P21" s="316"/>
      <c r="Q21" s="318"/>
      <c r="R21" s="354"/>
    </row>
    <row r="22" spans="1:18" x14ac:dyDescent="0.25">
      <c r="A22" s="330"/>
      <c r="B22" s="331"/>
      <c r="C22" s="332" t="s">
        <v>74</v>
      </c>
      <c r="D22" s="336">
        <v>140</v>
      </c>
      <c r="E22" s="334" t="s">
        <v>68</v>
      </c>
      <c r="G22" s="345" t="s">
        <v>132</v>
      </c>
      <c r="H22" s="316">
        <v>0</v>
      </c>
      <c r="I22" s="316">
        <v>0</v>
      </c>
      <c r="J22" s="316">
        <v>0</v>
      </c>
      <c r="K22" s="316">
        <v>0</v>
      </c>
      <c r="L22" s="316">
        <v>0</v>
      </c>
      <c r="M22" s="316">
        <v>0</v>
      </c>
      <c r="N22" s="316">
        <v>0</v>
      </c>
      <c r="O22" s="316">
        <v>0</v>
      </c>
      <c r="P22" s="316">
        <v>0</v>
      </c>
      <c r="R22" s="354"/>
    </row>
    <row r="23" spans="1:18" x14ac:dyDescent="0.25">
      <c r="A23" s="330"/>
      <c r="B23" s="331"/>
      <c r="C23" s="332" t="s">
        <v>67</v>
      </c>
      <c r="D23" s="336">
        <v>2</v>
      </c>
      <c r="E23" s="334" t="s">
        <v>69</v>
      </c>
      <c r="G23" s="345" t="s">
        <v>133</v>
      </c>
      <c r="H23" s="316">
        <v>0</v>
      </c>
      <c r="I23" s="316">
        <v>0</v>
      </c>
      <c r="J23" s="316">
        <v>0</v>
      </c>
      <c r="K23" s="316">
        <v>0</v>
      </c>
      <c r="L23" s="316">
        <v>0.1</v>
      </c>
      <c r="M23" s="316">
        <v>0.2</v>
      </c>
      <c r="N23" s="316">
        <v>0.3</v>
      </c>
      <c r="O23" s="316">
        <v>0.4</v>
      </c>
      <c r="P23" s="316">
        <v>0.5</v>
      </c>
      <c r="R23" s="354"/>
    </row>
    <row r="24" spans="1:18" ht="15.75" thickBot="1" x14ac:dyDescent="0.3">
      <c r="A24" s="330"/>
      <c r="B24" s="331"/>
      <c r="C24" s="332" t="s">
        <v>126</v>
      </c>
      <c r="D24" s="339">
        <f>D22*D23*60*60*24*30*3*D7/8/1000</f>
        <v>40824</v>
      </c>
      <c r="E24" s="334"/>
      <c r="G24" s="345" t="s">
        <v>152</v>
      </c>
      <c r="H24" s="316">
        <v>0.1</v>
      </c>
      <c r="I24" s="316">
        <v>0.2</v>
      </c>
      <c r="J24" s="316">
        <v>0.3</v>
      </c>
      <c r="K24" s="316">
        <v>0.1</v>
      </c>
      <c r="L24" s="316">
        <v>0</v>
      </c>
      <c r="M24" s="316">
        <v>0</v>
      </c>
      <c r="N24" s="316">
        <v>0</v>
      </c>
      <c r="O24" s="316">
        <v>0</v>
      </c>
      <c r="P24" s="316">
        <v>0</v>
      </c>
      <c r="R24" s="354"/>
    </row>
    <row r="25" spans="1:18" x14ac:dyDescent="0.25">
      <c r="A25" s="330"/>
      <c r="B25" s="324" t="s">
        <v>137</v>
      </c>
      <c r="C25" s="325"/>
      <c r="D25" s="325"/>
      <c r="E25" s="326"/>
      <c r="G25" s="345" t="s">
        <v>153</v>
      </c>
      <c r="H25" s="316">
        <v>0</v>
      </c>
      <c r="I25" s="316">
        <v>0.1</v>
      </c>
      <c r="J25" s="316">
        <v>0.1</v>
      </c>
      <c r="K25" s="316">
        <v>0.2</v>
      </c>
      <c r="L25" s="316">
        <v>0.3</v>
      </c>
      <c r="M25" s="316">
        <v>0.6</v>
      </c>
      <c r="N25" s="316">
        <v>0.9</v>
      </c>
      <c r="O25" s="316">
        <v>1</v>
      </c>
      <c r="P25" s="316">
        <v>1</v>
      </c>
      <c r="R25" s="354"/>
    </row>
    <row r="26" spans="1:18" x14ac:dyDescent="0.25">
      <c r="A26" s="330"/>
      <c r="B26" s="331"/>
      <c r="C26" s="332" t="s">
        <v>74</v>
      </c>
      <c r="D26" s="336">
        <v>140</v>
      </c>
      <c r="E26" s="334" t="s">
        <v>68</v>
      </c>
      <c r="G26" s="345" t="s">
        <v>119</v>
      </c>
      <c r="H26" s="316">
        <v>0</v>
      </c>
      <c r="I26" s="316">
        <v>0</v>
      </c>
      <c r="J26" s="316">
        <v>0</v>
      </c>
      <c r="K26" s="316">
        <v>0</v>
      </c>
      <c r="L26" s="316">
        <v>0</v>
      </c>
      <c r="M26" s="316">
        <v>0</v>
      </c>
      <c r="N26" s="316">
        <v>0</v>
      </c>
      <c r="O26" s="316">
        <v>0</v>
      </c>
      <c r="P26" s="316">
        <v>0</v>
      </c>
      <c r="R26" s="354"/>
    </row>
    <row r="27" spans="1:18" ht="15.75" thickBot="1" x14ac:dyDescent="0.3">
      <c r="A27" s="330"/>
      <c r="B27" s="331"/>
      <c r="C27" s="332" t="s">
        <v>67</v>
      </c>
      <c r="D27" s="336">
        <v>2</v>
      </c>
      <c r="E27" s="334" t="s">
        <v>69</v>
      </c>
      <c r="R27" s="354"/>
    </row>
    <row r="28" spans="1:18" ht="15.75" thickBot="1" x14ac:dyDescent="0.3">
      <c r="A28" s="330"/>
      <c r="B28" s="337"/>
      <c r="C28" s="338" t="s">
        <v>126</v>
      </c>
      <c r="D28" s="339">
        <f>D26*D27*60*60*24*30*3*D7/8/1000</f>
        <v>40824</v>
      </c>
      <c r="E28" s="340"/>
      <c r="G28" s="347" t="s">
        <v>87</v>
      </c>
      <c r="H28" s="348" t="s">
        <v>8</v>
      </c>
      <c r="I28" s="348" t="s">
        <v>0</v>
      </c>
      <c r="J28" s="348" t="s">
        <v>1</v>
      </c>
      <c r="K28" s="348" t="s">
        <v>2</v>
      </c>
      <c r="L28" s="348" t="s">
        <v>3</v>
      </c>
      <c r="M28" s="348" t="s">
        <v>4</v>
      </c>
      <c r="N28" s="348" t="s">
        <v>5</v>
      </c>
      <c r="O28" s="348" t="s">
        <v>6</v>
      </c>
      <c r="P28" s="349" t="s">
        <v>7</v>
      </c>
    </row>
    <row r="29" spans="1:18" x14ac:dyDescent="0.25">
      <c r="A29" s="330"/>
      <c r="B29" s="324" t="s">
        <v>136</v>
      </c>
      <c r="C29" s="325"/>
      <c r="D29" s="325"/>
      <c r="E29" s="326"/>
      <c r="G29" s="350" t="s">
        <v>128</v>
      </c>
      <c r="H29" s="351">
        <f t="shared" ref="H29:P29" si="1">H16*$D12*$D4</f>
        <v>2230740</v>
      </c>
      <c r="I29" s="351">
        <f t="shared" si="1"/>
        <v>4461480</v>
      </c>
      <c r="J29" s="351">
        <f t="shared" si="1"/>
        <v>6692220</v>
      </c>
      <c r="K29" s="351">
        <f t="shared" si="1"/>
        <v>11153700</v>
      </c>
      <c r="L29" s="351">
        <f t="shared" si="1"/>
        <v>17845920</v>
      </c>
      <c r="M29" s="351">
        <f t="shared" si="1"/>
        <v>22307400</v>
      </c>
      <c r="N29" s="351">
        <f t="shared" si="1"/>
        <v>22307400</v>
      </c>
      <c r="O29" s="351">
        <f t="shared" si="1"/>
        <v>22307400</v>
      </c>
      <c r="P29" s="352">
        <f t="shared" si="1"/>
        <v>22307400</v>
      </c>
    </row>
    <row r="30" spans="1:18" x14ac:dyDescent="0.25">
      <c r="A30" s="330"/>
      <c r="B30" s="331"/>
      <c r="C30" s="332" t="s">
        <v>74</v>
      </c>
      <c r="D30" s="336">
        <v>140</v>
      </c>
      <c r="E30" s="334" t="s">
        <v>68</v>
      </c>
      <c r="F30" s="353"/>
      <c r="G30" s="350" t="s">
        <v>121</v>
      </c>
      <c r="H30" s="351">
        <f t="shared" ref="H30:P30" si="2">H17*$D16*$D4</f>
        <v>136818720</v>
      </c>
      <c r="I30" s="351">
        <f t="shared" si="2"/>
        <v>141280200</v>
      </c>
      <c r="J30" s="351">
        <f t="shared" si="2"/>
        <v>145741680</v>
      </c>
      <c r="K30" s="351">
        <f t="shared" si="2"/>
        <v>147228840</v>
      </c>
      <c r="L30" s="351">
        <f t="shared" si="2"/>
        <v>147228840</v>
      </c>
      <c r="M30" s="351">
        <f t="shared" si="2"/>
        <v>147228840</v>
      </c>
      <c r="N30" s="351">
        <f t="shared" si="2"/>
        <v>147228840</v>
      </c>
      <c r="O30" s="351">
        <f t="shared" si="2"/>
        <v>147228840</v>
      </c>
      <c r="P30" s="352">
        <f t="shared" si="2"/>
        <v>147228840</v>
      </c>
      <c r="Q30" s="330"/>
    </row>
    <row r="31" spans="1:18" x14ac:dyDescent="0.25">
      <c r="A31" s="330"/>
      <c r="B31" s="331"/>
      <c r="C31" s="332" t="s">
        <v>67</v>
      </c>
      <c r="D31" s="336">
        <v>6</v>
      </c>
      <c r="E31" s="334" t="s">
        <v>69</v>
      </c>
      <c r="F31" s="353"/>
      <c r="G31" s="350" t="s">
        <v>122</v>
      </c>
      <c r="H31" s="351">
        <f t="shared" ref="H31:P31" si="3">H18*$D20*$D4</f>
        <v>297432000</v>
      </c>
      <c r="I31" s="351">
        <f t="shared" si="3"/>
        <v>371790000</v>
      </c>
      <c r="J31" s="351">
        <f t="shared" si="3"/>
        <v>446148000</v>
      </c>
      <c r="K31" s="351">
        <f t="shared" si="3"/>
        <v>520506000</v>
      </c>
      <c r="L31" s="351">
        <f t="shared" si="3"/>
        <v>594864000</v>
      </c>
      <c r="M31" s="351">
        <f t="shared" si="3"/>
        <v>669222000</v>
      </c>
      <c r="N31" s="351">
        <f t="shared" si="3"/>
        <v>706401000</v>
      </c>
      <c r="O31" s="351">
        <f t="shared" si="3"/>
        <v>736144200</v>
      </c>
      <c r="P31" s="352">
        <f t="shared" si="3"/>
        <v>736144200</v>
      </c>
      <c r="Q31" s="330"/>
    </row>
    <row r="32" spans="1:18" ht="15.75" thickBot="1" x14ac:dyDescent="0.3">
      <c r="A32" s="330"/>
      <c r="B32" s="337"/>
      <c r="C32" s="338" t="s">
        <v>126</v>
      </c>
      <c r="D32" s="339">
        <f>D30*D31*60*60*24*30*3*D7/8/1000</f>
        <v>122472</v>
      </c>
      <c r="E32" s="340"/>
      <c r="G32" s="350" t="s">
        <v>120</v>
      </c>
      <c r="H32" s="351">
        <f t="shared" ref="H32:P32" si="4">H19*$D24*$D4</f>
        <v>0</v>
      </c>
      <c r="I32" s="351">
        <f t="shared" si="4"/>
        <v>0</v>
      </c>
      <c r="J32" s="351">
        <f t="shared" si="4"/>
        <v>0</v>
      </c>
      <c r="K32" s="351">
        <f t="shared" si="4"/>
        <v>0</v>
      </c>
      <c r="L32" s="351">
        <f t="shared" si="4"/>
        <v>0</v>
      </c>
      <c r="M32" s="351">
        <f t="shared" si="4"/>
        <v>0</v>
      </c>
      <c r="N32" s="351">
        <f t="shared" si="4"/>
        <v>0</v>
      </c>
      <c r="O32" s="351">
        <f t="shared" si="4"/>
        <v>0</v>
      </c>
      <c r="P32" s="352">
        <f t="shared" si="4"/>
        <v>0</v>
      </c>
    </row>
    <row r="33" spans="1:18" x14ac:dyDescent="0.25">
      <c r="A33" s="330"/>
      <c r="B33" s="324" t="s">
        <v>135</v>
      </c>
      <c r="C33" s="355"/>
      <c r="D33" s="356"/>
      <c r="E33" s="357"/>
      <c r="G33" s="350" t="s">
        <v>124</v>
      </c>
      <c r="H33" s="351">
        <f t="shared" ref="H33:P33" si="5">+H20*$D28*$D4</f>
        <v>0</v>
      </c>
      <c r="I33" s="351">
        <f t="shared" si="5"/>
        <v>0</v>
      </c>
      <c r="J33" s="351">
        <f t="shared" si="5"/>
        <v>0</v>
      </c>
      <c r="K33" s="351">
        <f t="shared" si="5"/>
        <v>0</v>
      </c>
      <c r="L33" s="351">
        <f t="shared" si="5"/>
        <v>0</v>
      </c>
      <c r="M33" s="351">
        <f t="shared" si="5"/>
        <v>0</v>
      </c>
      <c r="N33" s="351">
        <f t="shared" si="5"/>
        <v>0</v>
      </c>
      <c r="O33" s="351">
        <f t="shared" si="5"/>
        <v>0</v>
      </c>
      <c r="P33" s="352">
        <f t="shared" si="5"/>
        <v>0</v>
      </c>
    </row>
    <row r="34" spans="1:18" x14ac:dyDescent="0.25">
      <c r="A34" s="330"/>
      <c r="B34" s="331"/>
      <c r="C34" s="332" t="s">
        <v>74</v>
      </c>
      <c r="D34" s="336">
        <v>40</v>
      </c>
      <c r="E34" s="334" t="s">
        <v>68</v>
      </c>
      <c r="G34" s="350" t="s">
        <v>118</v>
      </c>
      <c r="H34" s="351">
        <f t="shared" ref="H34:P34" si="6">+H21*$D32*$D4</f>
        <v>0</v>
      </c>
      <c r="I34" s="351">
        <f t="shared" si="6"/>
        <v>0</v>
      </c>
      <c r="J34" s="351">
        <f t="shared" si="6"/>
        <v>0</v>
      </c>
      <c r="K34" s="351">
        <f t="shared" si="6"/>
        <v>0</v>
      </c>
      <c r="L34" s="351">
        <f t="shared" si="6"/>
        <v>0</v>
      </c>
      <c r="M34" s="351">
        <f t="shared" si="6"/>
        <v>0</v>
      </c>
      <c r="N34" s="351">
        <f t="shared" si="6"/>
        <v>0</v>
      </c>
      <c r="O34" s="351">
        <f t="shared" si="6"/>
        <v>0</v>
      </c>
      <c r="P34" s="352">
        <f t="shared" si="6"/>
        <v>0</v>
      </c>
    </row>
    <row r="35" spans="1:18" x14ac:dyDescent="0.25">
      <c r="A35" s="330"/>
      <c r="B35" s="331"/>
      <c r="C35" s="332" t="s">
        <v>67</v>
      </c>
      <c r="D35" s="336">
        <v>5.7</v>
      </c>
      <c r="E35" s="334" t="s">
        <v>69</v>
      </c>
      <c r="G35" s="350" t="s">
        <v>132</v>
      </c>
      <c r="H35" s="351">
        <f t="shared" ref="H35:P35" si="7">+H22*$D36*($D4+$D5)</f>
        <v>0</v>
      </c>
      <c r="I35" s="351">
        <f t="shared" si="7"/>
        <v>0</v>
      </c>
      <c r="J35" s="351">
        <f t="shared" si="7"/>
        <v>0</v>
      </c>
      <c r="K35" s="351">
        <f t="shared" si="7"/>
        <v>0</v>
      </c>
      <c r="L35" s="351">
        <f t="shared" si="7"/>
        <v>0</v>
      </c>
      <c r="M35" s="351">
        <f t="shared" si="7"/>
        <v>0</v>
      </c>
      <c r="N35" s="351">
        <f t="shared" si="7"/>
        <v>0</v>
      </c>
      <c r="O35" s="351">
        <f t="shared" si="7"/>
        <v>0</v>
      </c>
      <c r="P35" s="352">
        <f t="shared" si="7"/>
        <v>0</v>
      </c>
    </row>
    <row r="36" spans="1:18" ht="15.75" thickBot="1" x14ac:dyDescent="0.3">
      <c r="A36" s="330"/>
      <c r="B36" s="337"/>
      <c r="C36" s="338" t="s">
        <v>126</v>
      </c>
      <c r="D36" s="389">
        <f>D34*D35*60*60*24*30*3*D7/8/1000</f>
        <v>33242.400000000001</v>
      </c>
      <c r="E36" s="340"/>
      <c r="F36" s="317"/>
      <c r="G36" s="350" t="s">
        <v>133</v>
      </c>
      <c r="H36" s="351">
        <f t="shared" ref="H36:P36" si="8">+H23*$D40*$D4</f>
        <v>0</v>
      </c>
      <c r="I36" s="351">
        <f t="shared" si="8"/>
        <v>0</v>
      </c>
      <c r="J36" s="351">
        <f t="shared" si="8"/>
        <v>0</v>
      </c>
      <c r="K36" s="351">
        <f t="shared" si="8"/>
        <v>0</v>
      </c>
      <c r="L36" s="351">
        <f t="shared" si="8"/>
        <v>211920300</v>
      </c>
      <c r="M36" s="351">
        <f t="shared" si="8"/>
        <v>423840600</v>
      </c>
      <c r="N36" s="351">
        <f t="shared" si="8"/>
        <v>635760900</v>
      </c>
      <c r="O36" s="351">
        <f t="shared" si="8"/>
        <v>847681200</v>
      </c>
      <c r="P36" s="352">
        <f t="shared" si="8"/>
        <v>1059601500</v>
      </c>
    </row>
    <row r="37" spans="1:18" x14ac:dyDescent="0.25">
      <c r="A37" s="330"/>
      <c r="B37" s="342" t="s">
        <v>134</v>
      </c>
      <c r="C37" s="332"/>
      <c r="D37" s="333"/>
      <c r="E37" s="334"/>
      <c r="G37" s="350" t="s">
        <v>149</v>
      </c>
      <c r="H37" s="351">
        <f t="shared" ref="H37:P37" si="9">H24*$D$44*$D$5</f>
        <v>0</v>
      </c>
      <c r="I37" s="351">
        <f t="shared" si="9"/>
        <v>0</v>
      </c>
      <c r="J37" s="351">
        <f t="shared" si="9"/>
        <v>0</v>
      </c>
      <c r="K37" s="351">
        <f t="shared" si="9"/>
        <v>0</v>
      </c>
      <c r="L37" s="351">
        <f t="shared" si="9"/>
        <v>0</v>
      </c>
      <c r="M37" s="351">
        <f t="shared" si="9"/>
        <v>0</v>
      </c>
      <c r="N37" s="351">
        <f t="shared" si="9"/>
        <v>0</v>
      </c>
      <c r="O37" s="351">
        <f t="shared" si="9"/>
        <v>0</v>
      </c>
      <c r="P37" s="352">
        <f t="shared" si="9"/>
        <v>0</v>
      </c>
    </row>
    <row r="38" spans="1:18" x14ac:dyDescent="0.25">
      <c r="A38" s="330"/>
      <c r="B38" s="331"/>
      <c r="C38" s="332" t="s">
        <v>74</v>
      </c>
      <c r="D38" s="336">
        <v>100</v>
      </c>
      <c r="E38" s="334" t="s">
        <v>68</v>
      </c>
      <c r="G38" s="350" t="s">
        <v>150</v>
      </c>
      <c r="H38" s="351">
        <f t="shared" ref="H38:P38" si="10">H25*$D5*$D48</f>
        <v>0</v>
      </c>
      <c r="I38" s="351">
        <f t="shared" si="10"/>
        <v>0</v>
      </c>
      <c r="J38" s="351">
        <f t="shared" si="10"/>
        <v>0</v>
      </c>
      <c r="K38" s="351">
        <f t="shared" si="10"/>
        <v>0</v>
      </c>
      <c r="L38" s="351">
        <f t="shared" si="10"/>
        <v>0</v>
      </c>
      <c r="M38" s="351">
        <f t="shared" si="10"/>
        <v>0</v>
      </c>
      <c r="N38" s="351">
        <f t="shared" si="10"/>
        <v>0</v>
      </c>
      <c r="O38" s="351">
        <f t="shared" si="10"/>
        <v>0</v>
      </c>
      <c r="P38" s="352">
        <f t="shared" si="10"/>
        <v>0</v>
      </c>
    </row>
    <row r="39" spans="1:18" x14ac:dyDescent="0.25">
      <c r="A39" s="330"/>
      <c r="B39" s="331"/>
      <c r="C39" s="332" t="s">
        <v>67</v>
      </c>
      <c r="D39" s="336">
        <v>5.7</v>
      </c>
      <c r="E39" s="334" t="s">
        <v>69</v>
      </c>
      <c r="G39" s="358" t="s">
        <v>139</v>
      </c>
      <c r="H39" s="359">
        <f t="shared" ref="H39:P39" si="11">SUM(H29:H38)</f>
        <v>436481460</v>
      </c>
      <c r="I39" s="359">
        <f t="shared" si="11"/>
        <v>517531680</v>
      </c>
      <c r="J39" s="359">
        <f t="shared" si="11"/>
        <v>598581900</v>
      </c>
      <c r="K39" s="359">
        <f t="shared" si="11"/>
        <v>678888540</v>
      </c>
      <c r="L39" s="359">
        <f t="shared" si="11"/>
        <v>971859060</v>
      </c>
      <c r="M39" s="359">
        <f t="shared" si="11"/>
        <v>1262598840</v>
      </c>
      <c r="N39" s="359">
        <f t="shared" si="11"/>
        <v>1511698140</v>
      </c>
      <c r="O39" s="359">
        <f t="shared" si="11"/>
        <v>1753361640</v>
      </c>
      <c r="P39" s="360">
        <f t="shared" si="11"/>
        <v>1965281940</v>
      </c>
    </row>
    <row r="40" spans="1:18" ht="15.75" thickBot="1" x14ac:dyDescent="0.3">
      <c r="A40" s="330"/>
      <c r="B40" s="337"/>
      <c r="C40" s="338" t="s">
        <v>126</v>
      </c>
      <c r="D40" s="339">
        <f>D38*D39*60*60*24*30*3*D7/8/1000</f>
        <v>83106</v>
      </c>
      <c r="E40" s="340"/>
      <c r="G40" s="350" t="s">
        <v>140</v>
      </c>
      <c r="H40" s="361">
        <f t="shared" ref="H40:P40" si="12">+H26*$D52*$D5</f>
        <v>0</v>
      </c>
      <c r="I40" s="361">
        <f t="shared" si="12"/>
        <v>0</v>
      </c>
      <c r="J40" s="361">
        <f t="shared" si="12"/>
        <v>0</v>
      </c>
      <c r="K40" s="361">
        <f t="shared" si="12"/>
        <v>0</v>
      </c>
      <c r="L40" s="361">
        <f t="shared" si="12"/>
        <v>0</v>
      </c>
      <c r="M40" s="361">
        <f t="shared" si="12"/>
        <v>0</v>
      </c>
      <c r="N40" s="361">
        <f t="shared" si="12"/>
        <v>0</v>
      </c>
      <c r="O40" s="361">
        <f t="shared" si="12"/>
        <v>0</v>
      </c>
      <c r="P40" s="362">
        <f t="shared" si="12"/>
        <v>0</v>
      </c>
    </row>
    <row r="41" spans="1:18" ht="15.75" thickBot="1" x14ac:dyDescent="0.3">
      <c r="A41" s="330"/>
      <c r="B41" s="342" t="s">
        <v>148</v>
      </c>
      <c r="C41" s="332"/>
      <c r="D41" s="333"/>
      <c r="E41" s="334"/>
      <c r="G41" s="408" t="s">
        <v>125</v>
      </c>
      <c r="H41" s="409">
        <f>+H39+H40</f>
        <v>436481460</v>
      </c>
      <c r="I41" s="409">
        <f t="shared" ref="I41:P41" si="13">+I39+I40</f>
        <v>517531680</v>
      </c>
      <c r="J41" s="409">
        <f t="shared" si="13"/>
        <v>598581900</v>
      </c>
      <c r="K41" s="409">
        <f t="shared" si="13"/>
        <v>678888540</v>
      </c>
      <c r="L41" s="409">
        <f t="shared" si="13"/>
        <v>971859060</v>
      </c>
      <c r="M41" s="409">
        <f t="shared" si="13"/>
        <v>1262598840</v>
      </c>
      <c r="N41" s="409">
        <f t="shared" si="13"/>
        <v>1511698140</v>
      </c>
      <c r="O41" s="409">
        <f t="shared" si="13"/>
        <v>1753361640</v>
      </c>
      <c r="P41" s="410">
        <f t="shared" si="13"/>
        <v>1965281940</v>
      </c>
    </row>
    <row r="42" spans="1:18" ht="15.75" thickBot="1" x14ac:dyDescent="0.3">
      <c r="A42" s="330"/>
      <c r="B42" s="331"/>
      <c r="C42" s="332" t="s">
        <v>74</v>
      </c>
      <c r="D42" s="336">
        <f>60+60</f>
        <v>120</v>
      </c>
      <c r="E42" s="334" t="s">
        <v>68</v>
      </c>
      <c r="G42" s="366"/>
      <c r="H42" s="367"/>
      <c r="I42" s="367"/>
      <c r="J42" s="367"/>
      <c r="K42" s="367"/>
      <c r="L42" s="367"/>
      <c r="M42" s="367"/>
      <c r="N42" s="367"/>
      <c r="O42" s="367"/>
      <c r="P42" s="367"/>
    </row>
    <row r="43" spans="1:18" x14ac:dyDescent="0.25">
      <c r="A43" s="330"/>
      <c r="B43" s="331"/>
      <c r="C43" s="332" t="s">
        <v>67</v>
      </c>
      <c r="D43" s="336">
        <v>2</v>
      </c>
      <c r="E43" s="334" t="s">
        <v>69</v>
      </c>
      <c r="G43" s="347" t="s">
        <v>91</v>
      </c>
      <c r="H43" s="348" t="s">
        <v>8</v>
      </c>
      <c r="I43" s="348" t="s">
        <v>0</v>
      </c>
      <c r="J43" s="348" t="s">
        <v>1</v>
      </c>
      <c r="K43" s="348" t="s">
        <v>2</v>
      </c>
      <c r="L43" s="348" t="s">
        <v>3</v>
      </c>
      <c r="M43" s="348" t="s">
        <v>4</v>
      </c>
      <c r="N43" s="348" t="s">
        <v>5</v>
      </c>
      <c r="O43" s="348" t="s">
        <v>6</v>
      </c>
      <c r="P43" s="349" t="s">
        <v>7</v>
      </c>
    </row>
    <row r="44" spans="1:18" ht="15" customHeight="1" thickBot="1" x14ac:dyDescent="0.3">
      <c r="A44" s="330"/>
      <c r="B44" s="331"/>
      <c r="C44" s="338" t="s">
        <v>126</v>
      </c>
      <c r="D44" s="339">
        <f>D42*D43*60*60*24*30*3*D7/8/1000</f>
        <v>34992</v>
      </c>
      <c r="E44" s="340"/>
      <c r="G44" s="368" t="s">
        <v>19</v>
      </c>
      <c r="H44" s="287"/>
      <c r="I44" s="288"/>
      <c r="J44" s="288"/>
      <c r="K44" s="288"/>
      <c r="L44" s="288"/>
      <c r="M44" s="288"/>
      <c r="N44" s="288"/>
      <c r="O44" s="288"/>
      <c r="P44" s="289"/>
      <c r="Q44" s="354"/>
      <c r="R44" s="354"/>
    </row>
    <row r="45" spans="1:18" x14ac:dyDescent="0.25">
      <c r="A45" s="330"/>
      <c r="B45" s="324" t="s">
        <v>151</v>
      </c>
      <c r="C45" s="355"/>
      <c r="D45" s="356"/>
      <c r="E45" s="357"/>
      <c r="G45" s="369" t="s">
        <v>252</v>
      </c>
      <c r="H45" s="287">
        <v>84240000</v>
      </c>
      <c r="I45" s="287">
        <v>842400000</v>
      </c>
      <c r="J45" s="288"/>
      <c r="K45" s="288"/>
      <c r="L45" s="288"/>
      <c r="M45" s="288"/>
      <c r="N45" s="288"/>
      <c r="O45" s="288"/>
      <c r="P45" s="289"/>
      <c r="Q45" s="354"/>
      <c r="R45" s="354"/>
    </row>
    <row r="46" spans="1:18" x14ac:dyDescent="0.25">
      <c r="A46" s="330"/>
      <c r="B46" s="331"/>
      <c r="C46" s="332" t="s">
        <v>74</v>
      </c>
      <c r="D46" s="333">
        <f>D22+D34+D38</f>
        <v>280</v>
      </c>
      <c r="E46" s="334" t="s">
        <v>68</v>
      </c>
      <c r="G46" s="369" t="s">
        <v>253</v>
      </c>
      <c r="H46" s="287">
        <v>23319629.17933131</v>
      </c>
      <c r="I46" s="288"/>
      <c r="J46" s="288"/>
      <c r="K46" s="288"/>
      <c r="L46" s="288"/>
      <c r="M46" s="288"/>
      <c r="N46" s="288"/>
      <c r="O46" s="288"/>
      <c r="P46" s="289"/>
      <c r="Q46" s="354"/>
      <c r="R46" s="354"/>
    </row>
    <row r="47" spans="1:18" x14ac:dyDescent="0.25">
      <c r="A47" s="330"/>
      <c r="B47" s="331"/>
      <c r="C47" s="332" t="s">
        <v>67</v>
      </c>
      <c r="D47" s="336">
        <v>2</v>
      </c>
      <c r="E47" s="334" t="s">
        <v>69</v>
      </c>
      <c r="G47" s="368" t="s">
        <v>48</v>
      </c>
      <c r="H47" s="288"/>
      <c r="I47" s="290"/>
      <c r="J47" s="288"/>
      <c r="K47" s="288"/>
      <c r="L47" s="288"/>
      <c r="M47" s="288"/>
      <c r="N47" s="288"/>
      <c r="O47" s="288"/>
      <c r="P47" s="289"/>
      <c r="Q47" s="354"/>
      <c r="R47" s="354"/>
    </row>
    <row r="48" spans="1:18" ht="15.75" thickBot="1" x14ac:dyDescent="0.3">
      <c r="A48" s="330"/>
      <c r="B48" s="337"/>
      <c r="C48" s="338" t="s">
        <v>126</v>
      </c>
      <c r="D48" s="339">
        <f>D46*D47*60*60*24*30*3*D7/8/1000</f>
        <v>81648</v>
      </c>
      <c r="E48" s="340"/>
      <c r="G48" s="370" t="s">
        <v>128</v>
      </c>
      <c r="H48" s="287">
        <f>+(H16-0%)*$D4*('Cost per Cell'!$K6+'Cost per Cell'!$K7)</f>
        <v>15300000</v>
      </c>
      <c r="I48" s="287">
        <f>+(I16-H16)*$D4*('Cost per Cell'!$K6+'Cost per Cell'!$K7)</f>
        <v>15300000</v>
      </c>
      <c r="J48" s="287">
        <f>+(J16-I16)*$D4*('Cost per Cell'!$K6+'Cost per Cell'!$K7)</f>
        <v>15299999.999999998</v>
      </c>
      <c r="K48" s="287">
        <f>+(K16-J16)*$D4*('Cost per Cell'!$K6+'Cost per Cell'!$K7)</f>
        <v>30600000.000000007</v>
      </c>
      <c r="L48" s="287">
        <f>+(L16-K16)*$D4*('Cost per Cell'!$K6+'Cost per Cell'!$K7)</f>
        <v>45900000</v>
      </c>
      <c r="M48" s="287">
        <f>+(M16-L16)*$D4*('Cost per Cell'!$K6+'Cost per Cell'!$K7)</f>
        <v>30600000.000000007</v>
      </c>
      <c r="N48" s="287">
        <f>+(N16-M16)*$D4*('Cost per Cell'!$K6+'Cost per Cell'!$K7)</f>
        <v>0</v>
      </c>
      <c r="O48" s="287">
        <f>+(O16-N16)*$D4*('Cost per Cell'!$K6+'Cost per Cell'!$K7)</f>
        <v>0</v>
      </c>
      <c r="P48" s="291">
        <f>+(P16-O16)*$D4*('Cost per Cell'!$K6+'Cost per Cell'!$K7)</f>
        <v>0</v>
      </c>
      <c r="Q48" s="354"/>
      <c r="R48" s="354"/>
    </row>
    <row r="49" spans="1:20" x14ac:dyDescent="0.25">
      <c r="A49" s="330"/>
      <c r="B49" s="324" t="s">
        <v>114</v>
      </c>
      <c r="C49" s="325"/>
      <c r="D49" s="325"/>
      <c r="E49" s="326"/>
      <c r="G49" s="370" t="s">
        <v>121</v>
      </c>
      <c r="H49" s="287">
        <f>+(H17-90%)*$D4*('Cost per Cell'!$M6+'Cost per Cell'!$M7)</f>
        <v>22950000.000000019</v>
      </c>
      <c r="I49" s="287">
        <f>+(I17-H17)*$D4*('Cost per Cell'!$M6+'Cost per Cell'!$M7)</f>
        <v>34424999.999999903</v>
      </c>
      <c r="J49" s="287">
        <f>+(J17-I17)*$D4*('Cost per Cell'!$M6+'Cost per Cell'!$M7)</f>
        <v>34425000.00000003</v>
      </c>
      <c r="K49" s="287">
        <f>+(K17-J17)*$D4*('Cost per Cell'!$M6+'Cost per Cell'!$M7)</f>
        <v>11475000.000000009</v>
      </c>
      <c r="L49" s="287">
        <f>+(L17-K17)*$D4*('Cost per Cell'!$M6+'Cost per Cell'!$M7)</f>
        <v>0</v>
      </c>
      <c r="M49" s="287">
        <f>+(M17-L17)*$D4*('Cost per Cell'!$M6+'Cost per Cell'!$M7)</f>
        <v>0</v>
      </c>
      <c r="N49" s="287">
        <f>+(N17-M17)*$D4*('Cost per Cell'!$M6+'Cost per Cell'!$M7)</f>
        <v>0</v>
      </c>
      <c r="O49" s="287">
        <f>+(O17-N17)*$D4*('Cost per Cell'!$M6+'Cost per Cell'!$M7)</f>
        <v>0</v>
      </c>
      <c r="P49" s="291">
        <f>+(P17-O17)*$D4*('Cost per Cell'!$M6+'Cost per Cell'!$M7)</f>
        <v>0</v>
      </c>
      <c r="Q49" s="354"/>
      <c r="R49" s="354"/>
    </row>
    <row r="50" spans="1:20" x14ac:dyDescent="0.25">
      <c r="A50" s="330"/>
      <c r="B50" s="331"/>
      <c r="C50" s="332" t="s">
        <v>74</v>
      </c>
      <c r="D50" s="336">
        <f>200+70</f>
        <v>270</v>
      </c>
      <c r="E50" s="334" t="s">
        <v>68</v>
      </c>
      <c r="G50" s="370" t="s">
        <v>122</v>
      </c>
      <c r="H50" s="287">
        <f>+(H18-30%)*$D4*('Cost per Cell'!$M6+'Cost per Cell'!$M7)</f>
        <v>114750000.00000004</v>
      </c>
      <c r="I50" s="287">
        <f>+(I18-H18)*$D4*('Cost per Cell'!$M6+'Cost per Cell'!$M7)</f>
        <v>114749999.99999999</v>
      </c>
      <c r="J50" s="287">
        <f>+(J18-I18)*$D4*('Cost per Cell'!$M6+'Cost per Cell'!$M7)</f>
        <v>114749999.99999999</v>
      </c>
      <c r="K50" s="287">
        <f>+(K18-J18)*$D4*('Cost per Cell'!$M6+'Cost per Cell'!$M7)</f>
        <v>114749999.99999999</v>
      </c>
      <c r="L50" s="287">
        <f>+(L18-K18)*$D4*('Cost per Cell'!$M6+'Cost per Cell'!$M7)</f>
        <v>114750000.0000001</v>
      </c>
      <c r="M50" s="287">
        <f>+(M18-L18)*$D4*('Cost per Cell'!$M6+'Cost per Cell'!$M7)</f>
        <v>114749999.99999999</v>
      </c>
      <c r="N50" s="287">
        <f>+(N18-M18)*$D4*('Cost per Cell'!$M6+'Cost per Cell'!$M7)</f>
        <v>57374999.999999925</v>
      </c>
      <c r="O50" s="287">
        <f>+(O18-N18)*$D4*('Cost per Cell'!$M6+'Cost per Cell'!$M7)</f>
        <v>45900000.000000037</v>
      </c>
      <c r="P50" s="291">
        <f>+(P18-O18)*$D4*('Cost per Cell'!$M6+'Cost per Cell'!$M7)</f>
        <v>0</v>
      </c>
    </row>
    <row r="51" spans="1:20" x14ac:dyDescent="0.25">
      <c r="A51" s="330"/>
      <c r="B51" s="331"/>
      <c r="C51" s="332" t="s">
        <v>67</v>
      </c>
      <c r="D51" s="366">
        <f>5000/800</f>
        <v>6.25</v>
      </c>
      <c r="E51" s="334" t="s">
        <v>69</v>
      </c>
      <c r="G51" s="370" t="s">
        <v>120</v>
      </c>
      <c r="H51" s="287"/>
      <c r="I51" s="287"/>
      <c r="J51" s="287"/>
      <c r="K51" s="287"/>
      <c r="L51" s="287"/>
      <c r="M51" s="287"/>
      <c r="N51" s="287"/>
      <c r="O51" s="287"/>
      <c r="P51" s="291"/>
      <c r="Q51" s="354"/>
      <c r="R51" s="354"/>
    </row>
    <row r="52" spans="1:20" ht="15.75" thickBot="1" x14ac:dyDescent="0.3">
      <c r="A52" s="330"/>
      <c r="B52" s="337"/>
      <c r="C52" s="338" t="s">
        <v>126</v>
      </c>
      <c r="D52" s="339">
        <f>D50*D51*60*60*24*30*3*D7/8/1000</f>
        <v>246037.5</v>
      </c>
      <c r="E52" s="340"/>
      <c r="G52" s="370" t="s">
        <v>124</v>
      </c>
      <c r="H52" s="287"/>
      <c r="I52" s="287"/>
      <c r="J52" s="287"/>
      <c r="K52" s="287"/>
      <c r="L52" s="287"/>
      <c r="M52" s="287"/>
      <c r="N52" s="287"/>
      <c r="O52" s="287"/>
      <c r="P52" s="291"/>
      <c r="Q52" s="354"/>
      <c r="R52" s="354"/>
    </row>
    <row r="53" spans="1:20" x14ac:dyDescent="0.25">
      <c r="B53" s="330"/>
      <c r="C53" s="330"/>
      <c r="D53" s="330"/>
      <c r="E53" s="330"/>
      <c r="G53" s="370" t="s">
        <v>118</v>
      </c>
      <c r="H53" s="287"/>
      <c r="I53" s="287"/>
      <c r="J53" s="287"/>
      <c r="K53" s="287"/>
      <c r="L53" s="287"/>
      <c r="M53" s="287"/>
      <c r="N53" s="287"/>
      <c r="O53" s="287"/>
      <c r="P53" s="291"/>
    </row>
    <row r="54" spans="1:20" x14ac:dyDescent="0.25">
      <c r="B54" s="330"/>
      <c r="C54" s="330"/>
      <c r="D54" s="330"/>
      <c r="E54" s="330"/>
      <c r="G54" s="370" t="s">
        <v>132</v>
      </c>
      <c r="H54" s="287">
        <f>IF((H22-0%)&gt;0,(H22-0%),0)*$D4*('Cost per Cell'!$G6+'Cost per Cell'!$G7)</f>
        <v>0</v>
      </c>
      <c r="I54" s="287">
        <f>IF((I22-H22)&gt;0,(I22-H22),0)*$D4*('Cost per Cell'!$G6+'Cost per Cell'!$G7)</f>
        <v>0</v>
      </c>
      <c r="J54" s="287">
        <f>IF((J22-I22)&gt;0,(J22-I22),0)*$D4*('Cost per Cell'!$G6+'Cost per Cell'!$G7)</f>
        <v>0</v>
      </c>
      <c r="K54" s="287">
        <f>IF((K22-J22)&gt;0,(K22-J22),0)*$D4*('Cost per Cell'!$G6+'Cost per Cell'!$G7)</f>
        <v>0</v>
      </c>
      <c r="L54" s="287">
        <f>IF((L22-K22)&gt;0,(L22-K22),0)*$D4*('Cost per Cell'!$G6+'Cost per Cell'!$G7)</f>
        <v>0</v>
      </c>
      <c r="M54" s="287">
        <f>IF((M22-L22)&gt;0,(M22-L22),0)*$D4*('Cost per Cell'!$G6+'Cost per Cell'!$G7)</f>
        <v>0</v>
      </c>
      <c r="N54" s="287">
        <f>IF((N22-M22)&gt;0,(N22-M22),0)*$D4*('Cost per Cell'!$G6+'Cost per Cell'!$G7)</f>
        <v>0</v>
      </c>
      <c r="O54" s="287">
        <f>IF((O22-N22)&gt;0,(O22-N22),0)*$D4*('Cost per Cell'!$G6+'Cost per Cell'!$G7)</f>
        <v>0</v>
      </c>
      <c r="P54" s="291">
        <f>IF((P22-O22)&gt;0,(P22-O22),0)*$D4*('Cost per Cell'!$G6+'Cost per Cell'!$G7)</f>
        <v>0</v>
      </c>
    </row>
    <row r="55" spans="1:20" x14ac:dyDescent="0.25">
      <c r="B55" s="330"/>
      <c r="C55" s="330"/>
      <c r="D55" s="330"/>
      <c r="E55" s="330"/>
      <c r="G55" s="370" t="s">
        <v>133</v>
      </c>
      <c r="H55" s="287">
        <f>IF((H23-0%)&gt;0,(H23-0%),0)*$D4*('Cost per Cell'!$E6+'Cost per Cell'!$E7)</f>
        <v>0</v>
      </c>
      <c r="I55" s="287">
        <f>IF((I23-H23)&gt;0,(I23-H23),0)*$D4*('Cost per Cell'!$E6+'Cost per Cell'!$E7)</f>
        <v>0</v>
      </c>
      <c r="J55" s="287">
        <f>IF((J23-I23)&gt;0,(J23-I23),0)*$D4*('Cost per Cell'!$E6+'Cost per Cell'!$E7)</f>
        <v>0</v>
      </c>
      <c r="K55" s="287">
        <f>IF((K23-J23)&gt;0,(K23-J23),0)*$D4*('Cost per Cell'!$E6+'Cost per Cell'!$E7)</f>
        <v>0</v>
      </c>
      <c r="L55" s="287">
        <f>IF((L23-K23)&gt;0,(L23-K23),0)*$D4*('Cost per Cell'!$E6+'Cost per Cell'!$E7)</f>
        <v>178500000</v>
      </c>
      <c r="M55" s="287">
        <f>IF((M23-L23)&gt;0,(M23-L23),0)*$D4*('Cost per Cell'!$E6+'Cost per Cell'!$E7)</f>
        <v>178500000</v>
      </c>
      <c r="N55" s="287">
        <f>IF((N23-M23)&gt;0,(N23-M23),0)*$D4*('Cost per Cell'!$E6+'Cost per Cell'!$E7)</f>
        <v>178499999.99999997</v>
      </c>
      <c r="O55" s="287">
        <f>IF((O23-N23)&gt;0,(O23-N23),0)*$D4*('Cost per Cell'!$E6+'Cost per Cell'!$E7)</f>
        <v>178500000.00000006</v>
      </c>
      <c r="P55" s="291">
        <f>IF((P23-O23)&gt;0,(P23-O23),0)*$D4*('Cost per Cell'!$E6+'Cost per Cell'!$E7)</f>
        <v>178499999.99999997</v>
      </c>
    </row>
    <row r="56" spans="1:20" x14ac:dyDescent="0.25">
      <c r="B56" s="330"/>
      <c r="C56" s="330"/>
      <c r="D56" s="330"/>
      <c r="E56" s="330"/>
      <c r="G56" s="371" t="s">
        <v>255</v>
      </c>
      <c r="H56" s="287">
        <f>IF((H24-0%)&gt;0, (H24-0%),0)*$D4*('Cost per Cell'!$O6+'Cost per Cell'!$O7)</f>
        <v>17850000</v>
      </c>
      <c r="I56" s="287">
        <f>IF((I24-H24)&gt;0, (I24-H24),0)*$D5*('Cost per Cell'!$O6+'Cost per Cell'!$O7)</f>
        <v>0</v>
      </c>
      <c r="J56" s="287">
        <f>IF((J24-I24)&gt;0, (J24-I24),0)*$D5*('Cost per Cell'!$O6+'Cost per Cell'!$O7)</f>
        <v>0</v>
      </c>
      <c r="K56" s="287">
        <f>IF((K24-J24)&gt;0, (K24-J24),0)*$D5*('Cost per Cell'!$O6+'Cost per Cell'!$O7)</f>
        <v>0</v>
      </c>
      <c r="L56" s="287">
        <f>IF((L24-K24)&gt;0, (L24-K24),0)*$D5*('Cost per Cell'!$O6+'Cost per Cell'!$O7)</f>
        <v>0</v>
      </c>
      <c r="M56" s="287">
        <f>IF((M24-L24)&gt;0, (M24-L24),0)*$D5*('Cost per Cell'!$O6+'Cost per Cell'!$O7)</f>
        <v>0</v>
      </c>
      <c r="N56" s="287">
        <f>IF((N24-M24)&gt;0, (N24-M24),0)*$D5*('Cost per Cell'!$O6+'Cost per Cell'!$O7)</f>
        <v>0</v>
      </c>
      <c r="O56" s="287">
        <f>IF((O24-N24)&gt;0, (O24-N24),0)*$D5*('Cost per Cell'!$O6+'Cost per Cell'!$O7)</f>
        <v>0</v>
      </c>
      <c r="P56" s="291">
        <f>IF((P24-O24)&gt;0, (P24-O24),0)*$D5*('Cost per Cell'!$O6+'Cost per Cell'!$O7)</f>
        <v>0</v>
      </c>
    </row>
    <row r="57" spans="1:20" x14ac:dyDescent="0.25">
      <c r="B57" s="330"/>
      <c r="C57" s="330"/>
      <c r="D57" s="330"/>
      <c r="E57" s="330"/>
      <c r="G57" s="371" t="s">
        <v>256</v>
      </c>
      <c r="H57" s="287">
        <f>IF((H25-0%)&gt;0, (H25-0%),0)*$D4*('Cost per Cell'!$O6+'Cost per Cell'!$O7)</f>
        <v>0</v>
      </c>
      <c r="I57" s="287">
        <f>IF((I25-H25)&gt;0, (I25-H25),0)*$D5*('Cost per Cell'!$O6+'Cost per Cell'!$O7)</f>
        <v>0</v>
      </c>
      <c r="J57" s="287">
        <f>IF((J25-I25)&gt;0, (J25-I25),0)*$D5*('Cost per Cell'!$O6+'Cost per Cell'!$O7)</f>
        <v>0</v>
      </c>
      <c r="K57" s="287">
        <f>IF((K25-J25)&gt;0, (K25-J25),0)*$D5*('Cost per Cell'!$O6+'Cost per Cell'!$O7)</f>
        <v>0</v>
      </c>
      <c r="L57" s="287">
        <f>IF((L25-K25)&gt;0, (L25-K25),0)*$D5*('Cost per Cell'!$O6+'Cost per Cell'!$O7)</f>
        <v>0</v>
      </c>
      <c r="M57" s="287">
        <f>IF((M25-L25)&gt;0, (M25-L25),0)*$D5*('Cost per Cell'!$O6+'Cost per Cell'!$O7)</f>
        <v>0</v>
      </c>
      <c r="N57" s="287">
        <f>IF((N25-M25)&gt;0, (N25-M25),0)*$D5*('Cost per Cell'!$O6+'Cost per Cell'!$O7)</f>
        <v>0</v>
      </c>
      <c r="O57" s="287">
        <f>IF((O25-N25)&gt;0, (O25-N25),0)*$D5*('Cost per Cell'!$O6+'Cost per Cell'!$O7)</f>
        <v>0</v>
      </c>
      <c r="P57" s="291">
        <f>IF((P25-O25)&gt;0, (P25-O25),0)*$D5*('Cost per Cell'!$O6+'Cost per Cell'!$O7)</f>
        <v>0</v>
      </c>
      <c r="T57" s="374"/>
    </row>
    <row r="58" spans="1:20" x14ac:dyDescent="0.25">
      <c r="B58" s="330"/>
      <c r="C58" s="330"/>
      <c r="D58" s="330"/>
      <c r="E58" s="330"/>
      <c r="G58" s="369" t="s">
        <v>129</v>
      </c>
      <c r="H58" s="287">
        <f>IF((H26-0%)&gt;0, (H26-0%),0)*$D4*('Cost per Cell'!$I6+'Cost per Cell'!$I7)</f>
        <v>0</v>
      </c>
      <c r="I58" s="287">
        <f>IF((I26-H26)&gt;0, (I26-H26),0)*$D5*('Cost per Cell'!$I6+'Cost per Cell'!$I7)</f>
        <v>0</v>
      </c>
      <c r="J58" s="287">
        <f>IF((J26-I26)&gt;0, (J26-I26),0)*$D5*('Cost per Cell'!$I6+'Cost per Cell'!$I7)</f>
        <v>0</v>
      </c>
      <c r="K58" s="287">
        <f>IF((K26-J26)&gt;0, (K26-J26),0)*$D5*('Cost per Cell'!$I6+'Cost per Cell'!$I7)</f>
        <v>0</v>
      </c>
      <c r="L58" s="287">
        <f>IF((L26-K26)&gt;0, (L26-K26),0)*$D5*('Cost per Cell'!$I6+'Cost per Cell'!$I7)</f>
        <v>0</v>
      </c>
      <c r="M58" s="287">
        <f>IF((M26-L26)&gt;0, (M26-L26),0)*$D5*('Cost per Cell'!$I6+'Cost per Cell'!$I7)</f>
        <v>0</v>
      </c>
      <c r="N58" s="287">
        <f>IF((N26-M26)&gt;0, (N26-M26),0)*$D5*('Cost per Cell'!$I6+'Cost per Cell'!$I7)</f>
        <v>0</v>
      </c>
      <c r="O58" s="287">
        <f>IF((O26-N26)&gt;0, (O26-N26),0)*$D5*('Cost per Cell'!$I6+'Cost per Cell'!$I7)</f>
        <v>0</v>
      </c>
      <c r="P58" s="291">
        <f>IF((P26-O26)&gt;0, (P26-O26),0)*$D5*('Cost per Cell'!$I6+'Cost per Cell'!$I7)</f>
        <v>0</v>
      </c>
      <c r="Q58" s="354"/>
      <c r="R58" s="354"/>
    </row>
    <row r="59" spans="1:20" x14ac:dyDescent="0.25">
      <c r="B59" s="330"/>
      <c r="C59" s="330"/>
      <c r="D59" s="330"/>
      <c r="E59" s="330"/>
      <c r="G59" s="368" t="s">
        <v>47</v>
      </c>
      <c r="H59" s="288"/>
      <c r="I59" s="288"/>
      <c r="J59" s="288"/>
      <c r="K59" s="288"/>
      <c r="L59" s="288"/>
      <c r="M59" s="288"/>
      <c r="N59" s="288"/>
      <c r="O59" s="288"/>
      <c r="P59" s="289"/>
      <c r="Q59" s="354"/>
      <c r="R59" s="354"/>
    </row>
    <row r="60" spans="1:20" x14ac:dyDescent="0.25">
      <c r="B60" s="330"/>
      <c r="C60" s="330"/>
      <c r="D60" s="330"/>
      <c r="E60" s="330"/>
      <c r="G60" s="370" t="s">
        <v>128</v>
      </c>
      <c r="H60" s="292">
        <f>$D4*H16*SUM('Cost per Cell'!$K11:$K14)*12</f>
        <v>10434600</v>
      </c>
      <c r="I60" s="292">
        <f>$D4*I16*SUM('Cost per Cell'!$K11:$K14)*12</f>
        <v>20869200</v>
      </c>
      <c r="J60" s="292">
        <f>$D4*J16*SUM('Cost per Cell'!$K11:$K14)*12</f>
        <v>31303800</v>
      </c>
      <c r="K60" s="292">
        <f>$D4*K16*SUM('Cost per Cell'!$K11:$K14)*12</f>
        <v>52173000</v>
      </c>
      <c r="L60" s="292">
        <f>$D4*L16*SUM('Cost per Cell'!$K11:$K14)*12</f>
        <v>83476800</v>
      </c>
      <c r="M60" s="292">
        <f>$D4*M16*SUM('Cost per Cell'!$K11:$K14)*12</f>
        <v>104346000</v>
      </c>
      <c r="N60" s="292">
        <f>$D4*N16*SUM('Cost per Cell'!$K11:$K14)*12</f>
        <v>104346000</v>
      </c>
      <c r="O60" s="292">
        <f>$D4*O16*SUM('Cost per Cell'!$K11:$K14)*12</f>
        <v>104346000</v>
      </c>
      <c r="P60" s="293">
        <f>$D4*P16*SUM('Cost per Cell'!$K11:$K14)*12</f>
        <v>104346000</v>
      </c>
      <c r="Q60" s="354"/>
      <c r="R60" s="354"/>
      <c r="S60" s="374"/>
    </row>
    <row r="61" spans="1:20" x14ac:dyDescent="0.25">
      <c r="G61" s="370" t="s">
        <v>121</v>
      </c>
      <c r="H61" s="292">
        <f>$D4*H17*SUM('Cost per Cell'!$M11:$M14)*12</f>
        <v>959983200</v>
      </c>
      <c r="I61" s="292">
        <f>$D4*I17*SUM('Cost per Cell'!$M11:$M14)*12</f>
        <v>991287000</v>
      </c>
      <c r="J61" s="292">
        <f>$D4*J17*SUM('Cost per Cell'!$M11:$M14)*12</f>
        <v>1022590800</v>
      </c>
      <c r="K61" s="292">
        <f>$D4*K17*SUM('Cost per Cell'!$M11:$M14)*12</f>
        <v>1033025400</v>
      </c>
      <c r="L61" s="292">
        <f>$D4*L17*SUM('Cost per Cell'!$M11:$M14)*12</f>
        <v>1033025400</v>
      </c>
      <c r="M61" s="292">
        <f>$D4*M17*SUM('Cost per Cell'!$M11:$M14)*12</f>
        <v>1033025400</v>
      </c>
      <c r="N61" s="292">
        <f>$D4*N17*SUM('Cost per Cell'!$M11:$M14)*12</f>
        <v>1033025400</v>
      </c>
      <c r="O61" s="292">
        <f>$D4*O17*SUM('Cost per Cell'!$M11:$M14)*12</f>
        <v>1033025400</v>
      </c>
      <c r="P61" s="293">
        <f>$D4*P17*SUM('Cost per Cell'!$M11:$M14)*12</f>
        <v>1033025400</v>
      </c>
      <c r="Q61" s="374"/>
      <c r="R61" s="374"/>
    </row>
    <row r="62" spans="1:20" x14ac:dyDescent="0.25">
      <c r="G62" s="370" t="s">
        <v>122</v>
      </c>
      <c r="H62" s="292">
        <f>$D4*H18*SUM('Cost per Cell'!$M11:$M14)*12</f>
        <v>417384000</v>
      </c>
      <c r="I62" s="292">
        <f>$D4*I18*SUM('Cost per Cell'!$M11:$M14)*12</f>
        <v>521730000</v>
      </c>
      <c r="J62" s="292">
        <f>$D4*J18*SUM('Cost per Cell'!$M11:$M14)*12</f>
        <v>626076000</v>
      </c>
      <c r="K62" s="292">
        <f>$D4*K18*SUM('Cost per Cell'!$M11:$M14)*12</f>
        <v>730422000</v>
      </c>
      <c r="L62" s="292">
        <f>$D4*L18*SUM('Cost per Cell'!$M11:$M14)*12</f>
        <v>834768000</v>
      </c>
      <c r="M62" s="292">
        <f>$D4*M18*SUM('Cost per Cell'!$M11:$M14)*12</f>
        <v>939114000</v>
      </c>
      <c r="N62" s="292">
        <f>$D4*N18*SUM('Cost per Cell'!$M11:$M14)*12</f>
        <v>991287000</v>
      </c>
      <c r="O62" s="292">
        <f>$D4*O18*SUM('Cost per Cell'!$M11:$M14)*12</f>
        <v>1033025400</v>
      </c>
      <c r="P62" s="293">
        <f>$D4*P18*SUM('Cost per Cell'!$M11:$M14)*12</f>
        <v>1033025400</v>
      </c>
      <c r="Q62" s="354"/>
      <c r="R62" s="354"/>
    </row>
    <row r="63" spans="1:20" x14ac:dyDescent="0.25">
      <c r="G63" s="370" t="s">
        <v>120</v>
      </c>
      <c r="H63" s="292">
        <f>$D4*H19*SUM('Cost per Cell'!$M11:$M14)*12</f>
        <v>0</v>
      </c>
      <c r="I63" s="292">
        <f>$D4*I19*SUM('Cost per Cell'!$M11:$M14)*12</f>
        <v>0</v>
      </c>
      <c r="J63" s="292">
        <f>$D4*J19*SUM('Cost per Cell'!$M11:$M14)*12</f>
        <v>0</v>
      </c>
      <c r="K63" s="292">
        <f>$D4*K19*SUM('Cost per Cell'!$M11:$M14)*12</f>
        <v>0</v>
      </c>
      <c r="L63" s="292">
        <f>$D4*L19*SUM('Cost per Cell'!$M11:$M14)*12</f>
        <v>0</v>
      </c>
      <c r="M63" s="292">
        <f>$D4*M19*SUM('Cost per Cell'!$M11:$M14)*12</f>
        <v>0</v>
      </c>
      <c r="N63" s="292">
        <f>$D4*N19*SUM('Cost per Cell'!$M11:$M14)*12</f>
        <v>0</v>
      </c>
      <c r="O63" s="292">
        <f>$D4*O19*SUM('Cost per Cell'!$M11:$M14)*12</f>
        <v>0</v>
      </c>
      <c r="P63" s="293">
        <f>$D4*P19*SUM('Cost per Cell'!$M11:$M14)*12</f>
        <v>0</v>
      </c>
    </row>
    <row r="64" spans="1:20" x14ac:dyDescent="0.25">
      <c r="G64" s="370" t="s">
        <v>124</v>
      </c>
      <c r="H64" s="292">
        <f>$D4*H20*SUM('Cost per Cell'!$M11:$M14)*12</f>
        <v>0</v>
      </c>
      <c r="I64" s="292">
        <f>$D4*I20*SUM('Cost per Cell'!$M11:$M14)*12</f>
        <v>0</v>
      </c>
      <c r="J64" s="292">
        <f>$D4*J20*SUM('Cost per Cell'!$M11:$M14)*12</f>
        <v>0</v>
      </c>
      <c r="K64" s="292">
        <f>$D4*K20*SUM('Cost per Cell'!$M11:$M14)*12</f>
        <v>0</v>
      </c>
      <c r="L64" s="292">
        <f>$D4*L20*SUM('Cost per Cell'!$M11:$M14)*12</f>
        <v>0</v>
      </c>
      <c r="M64" s="292">
        <f>$D4*M20*SUM('Cost per Cell'!$M11:$M14)*12</f>
        <v>0</v>
      </c>
      <c r="N64" s="292">
        <f>$D4*N20*SUM('Cost per Cell'!$M11:$M14)*12</f>
        <v>0</v>
      </c>
      <c r="O64" s="292">
        <f>$D4*O20*SUM('Cost per Cell'!$M11:$M14)*12</f>
        <v>0</v>
      </c>
      <c r="P64" s="293">
        <f>$D4*P20*SUM('Cost per Cell'!$M11:$M14)*12</f>
        <v>0</v>
      </c>
      <c r="Q64" s="354"/>
      <c r="R64" s="354"/>
    </row>
    <row r="65" spans="7:18" x14ac:dyDescent="0.25">
      <c r="G65" s="370" t="s">
        <v>118</v>
      </c>
      <c r="H65" s="292">
        <f>$D4*H21*SUM('Cost per Cell'!$C11:$C14)*12</f>
        <v>0</v>
      </c>
      <c r="I65" s="292">
        <f>$D4*I21*SUM('Cost per Cell'!$C11:$C14)*12</f>
        <v>0</v>
      </c>
      <c r="J65" s="292">
        <f>$D4*J21*SUM('Cost per Cell'!$C11:$C14)*12</f>
        <v>0</v>
      </c>
      <c r="K65" s="292">
        <f>$D4*K21*SUM('Cost per Cell'!$C11:$C14)*12</f>
        <v>0</v>
      </c>
      <c r="L65" s="292">
        <f>$D4*L21*SUM('Cost per Cell'!$C11:$C14)*12</f>
        <v>0</v>
      </c>
      <c r="M65" s="292">
        <f>$D4*M21*SUM('Cost per Cell'!$C11:$C14)*12</f>
        <v>0</v>
      </c>
      <c r="N65" s="292">
        <f>$D4*N21*SUM('Cost per Cell'!$C11:$C14)*12</f>
        <v>0</v>
      </c>
      <c r="O65" s="292">
        <f>$D4*O21*SUM('Cost per Cell'!$C11:$C14)*12</f>
        <v>0</v>
      </c>
      <c r="P65" s="293">
        <f>$D4*P21*SUM('Cost per Cell'!$C11:$C14)*12</f>
        <v>0</v>
      </c>
      <c r="Q65" s="354"/>
      <c r="R65" s="354"/>
    </row>
    <row r="66" spans="7:18" x14ac:dyDescent="0.25">
      <c r="G66" s="370" t="s">
        <v>132</v>
      </c>
      <c r="H66" s="292">
        <f>$D4*H22*SUM('Cost per Cell'!$G11:$G14)*12</f>
        <v>0</v>
      </c>
      <c r="I66" s="292">
        <f>$D4*I22*SUM('Cost per Cell'!$G11:$G14)*12</f>
        <v>0</v>
      </c>
      <c r="J66" s="292">
        <f>$D4*J22*SUM('Cost per Cell'!$G11:$G14)*12</f>
        <v>0</v>
      </c>
      <c r="K66" s="292">
        <f>$D4*K22*SUM('Cost per Cell'!$G11:$G14)*12</f>
        <v>0</v>
      </c>
      <c r="L66" s="292">
        <f>$D4*L22*SUM('Cost per Cell'!$G11:$G14)*12</f>
        <v>0</v>
      </c>
      <c r="M66" s="292">
        <f>$D4*M22*SUM('Cost per Cell'!$G11:$G14)*12</f>
        <v>0</v>
      </c>
      <c r="N66" s="292">
        <f>$D4*N22*SUM('Cost per Cell'!$G11:$G14)*12</f>
        <v>0</v>
      </c>
      <c r="O66" s="292">
        <f>$D4*O22*SUM('Cost per Cell'!$G11:$G14)*12</f>
        <v>0</v>
      </c>
      <c r="P66" s="293">
        <f>$D4*P22*SUM('Cost per Cell'!$G11:$G14)*12</f>
        <v>0</v>
      </c>
    </row>
    <row r="67" spans="7:18" x14ac:dyDescent="0.25">
      <c r="G67" s="370" t="s">
        <v>133</v>
      </c>
      <c r="H67" s="292">
        <f>$D4*H23*SUM('Cost per Cell'!$E11:$E14)*12</f>
        <v>0</v>
      </c>
      <c r="I67" s="292">
        <f>$D4*I23*SUM('Cost per Cell'!$E11:$E14)*12</f>
        <v>0</v>
      </c>
      <c r="J67" s="292">
        <f>$D4*J23*SUM('Cost per Cell'!$E11:$E14)*12</f>
        <v>0</v>
      </c>
      <c r="K67" s="292">
        <f>$D4*K23*SUM('Cost per Cell'!$E11:$E14)*12</f>
        <v>0</v>
      </c>
      <c r="L67" s="292">
        <f>$D4*L23*SUM('Cost per Cell'!$E11:$E14)*12</f>
        <v>104805000</v>
      </c>
      <c r="M67" s="292">
        <f>$D4*M23*SUM('Cost per Cell'!$E11:$E14)*12</f>
        <v>209610000</v>
      </c>
      <c r="N67" s="292">
        <f>$D4*N23*SUM('Cost per Cell'!$E11:$E14)*12</f>
        <v>314415000</v>
      </c>
      <c r="O67" s="292">
        <f>$D4*O23*SUM('Cost per Cell'!$E11:$E14)*12</f>
        <v>419220000</v>
      </c>
      <c r="P67" s="293">
        <f>$D4*P23*SUM('Cost per Cell'!$E11:$E14)*12</f>
        <v>524025000</v>
      </c>
    </row>
    <row r="68" spans="7:18" x14ac:dyDescent="0.25">
      <c r="G68" s="371" t="s">
        <v>255</v>
      </c>
      <c r="H68" s="292">
        <f>$D5*H24*SUM('Cost per Cell'!$O11:$O14)*12</f>
        <v>0</v>
      </c>
      <c r="I68" s="292">
        <f>$D5*I24*SUM('Cost per Cell'!$O11:$O14)*12</f>
        <v>0</v>
      </c>
      <c r="J68" s="292">
        <f>$D5*J24*SUM('Cost per Cell'!$O11:$O14)*12</f>
        <v>0</v>
      </c>
      <c r="K68" s="292">
        <f>$D5*K24*SUM('Cost per Cell'!$O11:$O14)*12</f>
        <v>0</v>
      </c>
      <c r="L68" s="292">
        <f>$D5*L24*SUM('Cost per Cell'!$O11:$O14)*12</f>
        <v>0</v>
      </c>
      <c r="M68" s="292">
        <f>$D5*M24*SUM('Cost per Cell'!$O11:$O14)*12</f>
        <v>0</v>
      </c>
      <c r="N68" s="292">
        <f>$D5*N24*SUM('Cost per Cell'!$O11:$O14)*12</f>
        <v>0</v>
      </c>
      <c r="O68" s="292">
        <f>$D5*O24*SUM('Cost per Cell'!$O11:$O14)*12</f>
        <v>0</v>
      </c>
      <c r="P68" s="293">
        <f>$D5*P24*SUM('Cost per Cell'!$O11:$O14)*12</f>
        <v>0</v>
      </c>
    </row>
    <row r="69" spans="7:18" x14ac:dyDescent="0.25">
      <c r="G69" s="371" t="s">
        <v>256</v>
      </c>
      <c r="H69" s="292">
        <f>$D5*H25*SUM('Cost per Cell'!$O11:$O14)*12</f>
        <v>0</v>
      </c>
      <c r="I69" s="292">
        <f>$D5*I25*SUM('Cost per Cell'!$O11:$O14)*12</f>
        <v>0</v>
      </c>
      <c r="J69" s="292">
        <f>$D5*J25*SUM('Cost per Cell'!$O11:$O14)*12</f>
        <v>0</v>
      </c>
      <c r="K69" s="292">
        <f>$D5*K25*SUM('Cost per Cell'!$O11:$O14)*12</f>
        <v>0</v>
      </c>
      <c r="L69" s="292">
        <f>$D5*L25*SUM('Cost per Cell'!$O11:$O14)*12</f>
        <v>0</v>
      </c>
      <c r="M69" s="292">
        <f>$D5*M25*SUM('Cost per Cell'!$O11:$O14)*12</f>
        <v>0</v>
      </c>
      <c r="N69" s="292">
        <f>$D5*N25*SUM('Cost per Cell'!$O11:$O14)*12</f>
        <v>0</v>
      </c>
      <c r="O69" s="292">
        <f>$D5*O25*SUM('Cost per Cell'!$O11:$O14)*12</f>
        <v>0</v>
      </c>
      <c r="P69" s="293">
        <f>$D5*P25*SUM('Cost per Cell'!$O11:$O14)*12</f>
        <v>0</v>
      </c>
      <c r="Q69" s="354"/>
      <c r="R69" s="354"/>
    </row>
    <row r="70" spans="7:18" x14ac:dyDescent="0.25">
      <c r="G70" s="369" t="s">
        <v>129</v>
      </c>
      <c r="H70" s="292">
        <f>$D5*H26*SUM('Cost per Cell'!$I11:$I14)*12</f>
        <v>0</v>
      </c>
      <c r="I70" s="292">
        <f>$D5*I26*SUM('Cost per Cell'!$I11:$I14)*12</f>
        <v>0</v>
      </c>
      <c r="J70" s="292">
        <f>$D5*J26*SUM('Cost per Cell'!$I11:$I14)*12</f>
        <v>0</v>
      </c>
      <c r="K70" s="292">
        <f>$D5*K26*SUM('Cost per Cell'!$I11:$I14)*12</f>
        <v>0</v>
      </c>
      <c r="L70" s="292">
        <f>$D5*L26*SUM('Cost per Cell'!$I11:$I14)*12</f>
        <v>0</v>
      </c>
      <c r="M70" s="292">
        <f>$D5*M26*SUM('Cost per Cell'!$I11:$I14)*12</f>
        <v>0</v>
      </c>
      <c r="N70" s="292">
        <f>$D5*N26*SUM('Cost per Cell'!$I11:$I14)*12</f>
        <v>0</v>
      </c>
      <c r="O70" s="292">
        <f>$D5*O26*SUM('Cost per Cell'!$I11:$I14)*12</f>
        <v>0</v>
      </c>
      <c r="P70" s="293">
        <f>$D5*P26*SUM('Cost per Cell'!$I11:$I14)*12</f>
        <v>0</v>
      </c>
      <c r="Q70" s="354"/>
      <c r="R70" s="354"/>
    </row>
    <row r="71" spans="7:18" ht="15.75" thickBot="1" x14ac:dyDescent="0.3">
      <c r="G71" s="376" t="s">
        <v>12</v>
      </c>
      <c r="H71" s="302">
        <f t="shared" ref="H71:P71" si="14">SUM(H44:H70)</f>
        <v>1666211429.1793313</v>
      </c>
      <c r="I71" s="302">
        <f t="shared" si="14"/>
        <v>2540761200</v>
      </c>
      <c r="J71" s="302">
        <f t="shared" si="14"/>
        <v>1844445600</v>
      </c>
      <c r="K71" s="302">
        <f t="shared" si="14"/>
        <v>1972445400</v>
      </c>
      <c r="L71" s="302">
        <f t="shared" si="14"/>
        <v>2395225200</v>
      </c>
      <c r="M71" s="302">
        <f t="shared" si="14"/>
        <v>2609945400</v>
      </c>
      <c r="N71" s="302">
        <f t="shared" si="14"/>
        <v>2678948400</v>
      </c>
      <c r="O71" s="302">
        <f t="shared" si="14"/>
        <v>2814016800</v>
      </c>
      <c r="P71" s="303">
        <f t="shared" si="14"/>
        <v>2872921800</v>
      </c>
      <c r="Q71" s="354"/>
      <c r="R71" s="354"/>
    </row>
    <row r="72" spans="7:18" x14ac:dyDescent="0.25">
      <c r="G72" s="354"/>
      <c r="H72" s="354"/>
      <c r="I72" s="354"/>
      <c r="J72" s="354"/>
      <c r="K72" s="354"/>
      <c r="L72" s="354"/>
      <c r="M72" s="354"/>
      <c r="N72" s="354"/>
      <c r="O72" s="354"/>
      <c r="P72" s="354"/>
      <c r="Q72" s="354"/>
      <c r="R72" s="354"/>
    </row>
    <row r="73" spans="7:18" ht="15.75" thickBot="1" x14ac:dyDescent="0.3">
      <c r="G73" s="354"/>
      <c r="H73" s="354"/>
      <c r="I73" s="354"/>
      <c r="J73" s="354"/>
      <c r="K73" s="354"/>
      <c r="L73" s="354"/>
      <c r="M73" s="354"/>
      <c r="N73" s="354"/>
      <c r="O73" s="354"/>
      <c r="P73" s="354"/>
      <c r="Q73" s="354"/>
      <c r="R73" s="354"/>
    </row>
    <row r="74" spans="7:18" x14ac:dyDescent="0.25">
      <c r="G74" s="347" t="s">
        <v>100</v>
      </c>
      <c r="H74" s="348" t="s">
        <v>8</v>
      </c>
      <c r="I74" s="348" t="s">
        <v>0</v>
      </c>
      <c r="J74" s="348" t="s">
        <v>1</v>
      </c>
      <c r="K74" s="348" t="s">
        <v>2</v>
      </c>
      <c r="L74" s="348" t="s">
        <v>3</v>
      </c>
      <c r="M74" s="348" t="s">
        <v>4</v>
      </c>
      <c r="N74" s="348" t="s">
        <v>5</v>
      </c>
      <c r="O74" s="348" t="s">
        <v>6</v>
      </c>
      <c r="P74" s="349" t="s">
        <v>7</v>
      </c>
      <c r="Q74" s="354"/>
      <c r="R74" s="354"/>
    </row>
    <row r="75" spans="7:18" x14ac:dyDescent="0.25">
      <c r="G75" s="377" t="s">
        <v>16</v>
      </c>
      <c r="H75" s="378">
        <v>46.5</v>
      </c>
      <c r="I75" s="378">
        <f>H75*1.01</f>
        <v>46.965000000000003</v>
      </c>
      <c r="J75" s="378">
        <f t="shared" ref="J75:P75" si="15">I75*1.01</f>
        <v>47.434650000000005</v>
      </c>
      <c r="K75" s="378">
        <f t="shared" si="15"/>
        <v>47.908996500000008</v>
      </c>
      <c r="L75" s="378">
        <f t="shared" si="15"/>
        <v>48.388086465000008</v>
      </c>
      <c r="M75" s="378">
        <f t="shared" si="15"/>
        <v>48.871967329650005</v>
      </c>
      <c r="N75" s="378">
        <f t="shared" si="15"/>
        <v>49.360687002946506</v>
      </c>
      <c r="O75" s="378">
        <f t="shared" si="15"/>
        <v>49.854293872975973</v>
      </c>
      <c r="P75" s="379">
        <f t="shared" si="15"/>
        <v>50.352836811705735</v>
      </c>
      <c r="Q75" s="354"/>
      <c r="R75" s="354"/>
    </row>
    <row r="76" spans="7:18" ht="15.75" thickBot="1" x14ac:dyDescent="0.3">
      <c r="G76" s="380" t="s">
        <v>104</v>
      </c>
      <c r="H76" s="381">
        <f t="shared" ref="H76:P76" si="16">H12*H75*12</f>
        <v>2937870000</v>
      </c>
      <c r="I76" s="381">
        <f t="shared" si="16"/>
        <v>3329253041.4000006</v>
      </c>
      <c r="J76" s="381">
        <f t="shared" si="16"/>
        <v>4051837444.8240004</v>
      </c>
      <c r="K76" s="381">
        <f t="shared" si="16"/>
        <v>4812755734.2033005</v>
      </c>
      <c r="L76" s="381">
        <f t="shared" si="16"/>
        <v>5612944480.0485744</v>
      </c>
      <c r="M76" s="381">
        <f t="shared" si="16"/>
        <v>6453357572.4044304</v>
      </c>
      <c r="N76" s="381">
        <f t="shared" si="16"/>
        <v>7334966497.7981701</v>
      </c>
      <c r="O76" s="381">
        <f t="shared" si="16"/>
        <v>8258760620.2376976</v>
      </c>
      <c r="P76" s="382">
        <f t="shared" si="16"/>
        <v>9225747466.3143463</v>
      </c>
      <c r="Q76" s="354"/>
      <c r="R76" s="354"/>
    </row>
    <row r="77" spans="7:18" x14ac:dyDescent="0.25">
      <c r="G77" s="354"/>
      <c r="H77" s="354"/>
      <c r="I77" s="354"/>
      <c r="J77" s="354"/>
      <c r="K77" s="354"/>
      <c r="L77" s="354"/>
      <c r="M77" s="354"/>
      <c r="N77" s="354"/>
      <c r="O77" s="354"/>
      <c r="P77" s="354"/>
      <c r="Q77" s="354"/>
      <c r="R77" s="354"/>
    </row>
    <row r="78" spans="7:18" ht="15.75" thickBot="1" x14ac:dyDescent="0.3">
      <c r="G78" s="354"/>
      <c r="H78" s="354"/>
      <c r="I78" s="354"/>
      <c r="J78" s="354"/>
      <c r="K78" s="354"/>
      <c r="L78" s="354"/>
      <c r="M78" s="354"/>
      <c r="N78" s="354"/>
      <c r="O78" s="354"/>
      <c r="P78" s="354"/>
      <c r="Q78" s="354"/>
      <c r="R78" s="354"/>
    </row>
    <row r="79" spans="7:18" x14ac:dyDescent="0.25">
      <c r="G79" s="347" t="s">
        <v>105</v>
      </c>
      <c r="H79" s="348" t="s">
        <v>8</v>
      </c>
      <c r="I79" s="348" t="s">
        <v>0</v>
      </c>
      <c r="J79" s="348" t="s">
        <v>1</v>
      </c>
      <c r="K79" s="348" t="s">
        <v>2</v>
      </c>
      <c r="L79" s="348" t="s">
        <v>3</v>
      </c>
      <c r="M79" s="348" t="s">
        <v>4</v>
      </c>
      <c r="N79" s="348" t="s">
        <v>5</v>
      </c>
      <c r="O79" s="348" t="s">
        <v>6</v>
      </c>
      <c r="P79" s="349" t="s">
        <v>7</v>
      </c>
      <c r="Q79" s="354"/>
      <c r="R79" s="354"/>
    </row>
    <row r="80" spans="7:18" x14ac:dyDescent="0.25">
      <c r="G80" s="377" t="s">
        <v>107</v>
      </c>
      <c r="H80" s="383">
        <f t="shared" ref="H80:P80" si="17">+H76</f>
        <v>2937870000</v>
      </c>
      <c r="I80" s="383">
        <f t="shared" si="17"/>
        <v>3329253041.4000006</v>
      </c>
      <c r="J80" s="383">
        <f t="shared" si="17"/>
        <v>4051837444.8240004</v>
      </c>
      <c r="K80" s="383">
        <f t="shared" si="17"/>
        <v>4812755734.2033005</v>
      </c>
      <c r="L80" s="383">
        <f t="shared" si="17"/>
        <v>5612944480.0485744</v>
      </c>
      <c r="M80" s="383">
        <f t="shared" si="17"/>
        <v>6453357572.4044304</v>
      </c>
      <c r="N80" s="383">
        <f t="shared" si="17"/>
        <v>7334966497.7981701</v>
      </c>
      <c r="O80" s="383">
        <f t="shared" si="17"/>
        <v>8258760620.2376976</v>
      </c>
      <c r="P80" s="384">
        <f t="shared" si="17"/>
        <v>9225747466.3143463</v>
      </c>
      <c r="Q80" s="354"/>
      <c r="R80" s="354"/>
    </row>
    <row r="81" spans="7:18" x14ac:dyDescent="0.25">
      <c r="G81" s="377" t="s">
        <v>288</v>
      </c>
      <c r="H81" s="383">
        <f t="shared" ref="H81:P81" si="18">H71</f>
        <v>1666211429.1793313</v>
      </c>
      <c r="I81" s="383">
        <f t="shared" si="18"/>
        <v>2540761200</v>
      </c>
      <c r="J81" s="383">
        <f t="shared" si="18"/>
        <v>1844445600</v>
      </c>
      <c r="K81" s="383">
        <f t="shared" si="18"/>
        <v>1972445400</v>
      </c>
      <c r="L81" s="383">
        <f t="shared" si="18"/>
        <v>2395225200</v>
      </c>
      <c r="M81" s="383">
        <f t="shared" si="18"/>
        <v>2609945400</v>
      </c>
      <c r="N81" s="383">
        <f t="shared" si="18"/>
        <v>2678948400</v>
      </c>
      <c r="O81" s="383">
        <f t="shared" si="18"/>
        <v>2814016800</v>
      </c>
      <c r="P81" s="384">
        <f t="shared" si="18"/>
        <v>2872921800</v>
      </c>
      <c r="Q81" s="354"/>
      <c r="R81" s="354"/>
    </row>
    <row r="82" spans="7:18" x14ac:dyDescent="0.25">
      <c r="G82" s="377" t="s">
        <v>257</v>
      </c>
      <c r="H82" s="383">
        <f>H80*0.25</f>
        <v>734467500</v>
      </c>
      <c r="I82" s="383">
        <f t="shared" ref="I82:P82" si="19">I80*0.25</f>
        <v>832313260.35000014</v>
      </c>
      <c r="J82" s="383">
        <f t="shared" si="19"/>
        <v>1012959361.2060001</v>
      </c>
      <c r="K82" s="383">
        <f t="shared" si="19"/>
        <v>1203188933.5508251</v>
      </c>
      <c r="L82" s="383">
        <f t="shared" si="19"/>
        <v>1403236120.0121436</v>
      </c>
      <c r="M82" s="383">
        <f t="shared" si="19"/>
        <v>1613339393.1011076</v>
      </c>
      <c r="N82" s="383">
        <f t="shared" si="19"/>
        <v>1833741624.4495425</v>
      </c>
      <c r="O82" s="383">
        <f t="shared" si="19"/>
        <v>2064690155.0594244</v>
      </c>
      <c r="P82" s="384">
        <f t="shared" si="19"/>
        <v>2306436866.5785866</v>
      </c>
      <c r="Q82" s="354"/>
    </row>
    <row r="83" spans="7:18" ht="15.75" thickBot="1" x14ac:dyDescent="0.3">
      <c r="G83" s="380" t="s">
        <v>9</v>
      </c>
      <c r="H83" s="381">
        <f t="shared" ref="H83:P83" si="20">H80-H82-H81</f>
        <v>537191070.8206687</v>
      </c>
      <c r="I83" s="400">
        <f t="shared" si="20"/>
        <v>-43821418.949999809</v>
      </c>
      <c r="J83" s="381">
        <f t="shared" si="20"/>
        <v>1194432483.618</v>
      </c>
      <c r="K83" s="381">
        <f t="shared" si="20"/>
        <v>1637121400.6524754</v>
      </c>
      <c r="L83" s="381">
        <f t="shared" si="20"/>
        <v>1814483160.0364308</v>
      </c>
      <c r="M83" s="381">
        <f t="shared" si="20"/>
        <v>2230072779.3033228</v>
      </c>
      <c r="N83" s="381">
        <f t="shared" si="20"/>
        <v>2822276473.3486271</v>
      </c>
      <c r="O83" s="381">
        <f t="shared" si="20"/>
        <v>3380053665.1782732</v>
      </c>
      <c r="P83" s="382">
        <f t="shared" si="20"/>
        <v>4046388799.7357597</v>
      </c>
      <c r="Q83" s="354"/>
      <c r="R83" s="354"/>
    </row>
    <row r="84" spans="7:18" ht="15.75" thickBot="1" x14ac:dyDescent="0.3">
      <c r="G84" s="354"/>
      <c r="H84" s="354"/>
      <c r="I84" s="354"/>
      <c r="J84" s="354"/>
      <c r="K84" s="354"/>
      <c r="L84" s="354"/>
      <c r="M84" s="354"/>
      <c r="N84" s="354"/>
      <c r="O84" s="354"/>
      <c r="P84" s="354"/>
      <c r="Q84" s="354"/>
      <c r="R84" s="354"/>
    </row>
    <row r="85" spans="7:18" x14ac:dyDescent="0.25">
      <c r="G85" s="385" t="s">
        <v>108</v>
      </c>
      <c r="H85" s="386">
        <f>NPV(0.1,H83:P83)</f>
        <v>9594337366.4561596</v>
      </c>
      <c r="I85" s="354"/>
      <c r="J85" s="354"/>
      <c r="K85" s="354"/>
      <c r="L85" s="354"/>
      <c r="M85" s="354"/>
      <c r="N85" s="354"/>
      <c r="O85" s="354"/>
      <c r="P85" s="354"/>
      <c r="Q85" s="354"/>
      <c r="R85" s="354"/>
    </row>
    <row r="86" spans="7:18" ht="15.75" thickBot="1" x14ac:dyDescent="0.3">
      <c r="G86" s="387" t="s">
        <v>109</v>
      </c>
      <c r="H86" s="388" t="str">
        <f>IFERROR(IRR(H83:P83,500%), "N/A")</f>
        <v>N/A</v>
      </c>
      <c r="I86" s="354"/>
      <c r="J86" s="354"/>
      <c r="K86" s="354"/>
      <c r="L86" s="354"/>
      <c r="M86" s="354"/>
      <c r="N86" s="354"/>
      <c r="O86" s="354"/>
      <c r="P86" s="354"/>
      <c r="Q86" s="354"/>
    </row>
    <row r="87" spans="7:18" x14ac:dyDescent="0.25">
      <c r="G87" s="354"/>
      <c r="H87" s="354"/>
      <c r="I87" s="354"/>
      <c r="J87" s="354"/>
      <c r="K87" s="354"/>
      <c r="L87" s="354"/>
      <c r="M87" s="354"/>
      <c r="N87" s="354"/>
      <c r="O87" s="354"/>
      <c r="P87" s="354"/>
      <c r="Q87" s="354"/>
      <c r="R87" s="354"/>
    </row>
    <row r="88" spans="7:18" x14ac:dyDescent="0.25">
      <c r="G88" s="354"/>
      <c r="H88" s="354"/>
      <c r="I88" s="354"/>
      <c r="J88" s="354"/>
      <c r="K88" s="354"/>
      <c r="L88" s="354"/>
      <c r="M88" s="354"/>
      <c r="N88" s="354"/>
      <c r="O88" s="354"/>
      <c r="P88" s="354"/>
      <c r="Q88" s="354"/>
      <c r="R88" s="354"/>
    </row>
  </sheetData>
  <sheetProtection algorithmName="SHA-512" hashValue="b6+q8Y5ylbdhlGsnbqd+pO+BIrCujZUuFboUfAWrQQLsVn8fzXOlKM+DbTbFYjdGZ8kITt4TsZXhVCeTUKWYUQ==" saltValue="ZScXQ+hYwJGe5fSVx/EjGQ==" spinCount="100000" sheet="1" objects="1" scenarios="1"/>
  <protectedRanges>
    <protectedRange algorithmName="SHA-512" hashValue="gYeY2TxBMc8AyeIxH2UmatlNjtVD7pax4+C85atbobXiH652byTZt7VwCCF2//rwdcaZJ0IQcje7i0wx+rxwUg==" saltValue="GIe/Yuu/PpQHbHbtLHw8DQ==" spinCount="100000" sqref="G9:P26" name="Range2"/>
    <protectedRange algorithmName="SHA-512" hashValue="n5COz0S9on2mdX2k1AzmpLMO18hZykYxHr6AjkzMZCWdlZWvEHUuNf0LwZdDgQlp5MkcOLFBbR8eOtW+j0oEXw==" saltValue="NkmcUQDn9dDw7ZfQ4JPfxA==" spinCount="100000" sqref="B4:D52" name="Range1"/>
  </protectedRanges>
  <conditionalFormatting sqref="A87:XFD1048576 A86:Q86 S86:XFD86 A1:XFD85">
    <cfRule type="expression" dxfId="1" priority="1">
      <formula>"a1&lt;0"</formula>
    </cfRule>
  </conditionalFormatting>
  <pageMargins left="0.7" right="0.7" top="0.75" bottom="0.75" header="0.3" footer="0.3"/>
  <pageSetup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80"/>
  <sheetViews>
    <sheetView zoomScale="80" zoomScaleNormal="80" workbookViewId="0">
      <selection activeCell="N31" sqref="N31"/>
    </sheetView>
  </sheetViews>
  <sheetFormatPr defaultColWidth="8.85546875" defaultRowHeight="15" x14ac:dyDescent="0.25"/>
  <cols>
    <col min="1" max="2" width="8.85546875" style="318"/>
    <col min="3" max="3" width="27.42578125" style="318" customWidth="1"/>
    <col min="4" max="4" width="14" style="318" bestFit="1" customWidth="1"/>
    <col min="5" max="5" width="11.7109375" style="318" customWidth="1"/>
    <col min="6" max="6" width="8.85546875" style="318"/>
    <col min="7" max="7" width="31.28515625" style="318" customWidth="1"/>
    <col min="8" max="8" width="18.7109375" style="318" bestFit="1" customWidth="1"/>
    <col min="9" max="16" width="15.7109375" style="318" bestFit="1" customWidth="1"/>
    <col min="17" max="16384" width="8.85546875" style="318"/>
  </cols>
  <sheetData>
    <row r="1" spans="1:16" x14ac:dyDescent="0.25">
      <c r="A1" s="317" t="s">
        <v>302</v>
      </c>
    </row>
    <row r="2" spans="1:16" x14ac:dyDescent="0.25">
      <c r="A2" s="318" t="s">
        <v>112</v>
      </c>
    </row>
    <row r="3" spans="1:16" x14ac:dyDescent="0.25">
      <c r="B3" s="318" t="s">
        <v>262</v>
      </c>
    </row>
    <row r="4" spans="1:16" x14ac:dyDescent="0.25">
      <c r="C4" s="318" t="s">
        <v>157</v>
      </c>
      <c r="D4" s="319">
        <f>27000+4000</f>
        <v>31000</v>
      </c>
      <c r="E4" s="318" t="s">
        <v>145</v>
      </c>
    </row>
    <row r="5" spans="1:16" x14ac:dyDescent="0.25">
      <c r="C5" s="318" t="s">
        <v>144</v>
      </c>
      <c r="D5" s="320">
        <v>5000</v>
      </c>
      <c r="E5" s="318" t="s">
        <v>145</v>
      </c>
      <c r="G5" s="412"/>
      <c r="H5" s="412"/>
      <c r="I5" s="412"/>
      <c r="J5" s="412"/>
      <c r="K5" s="412"/>
      <c r="L5" s="412"/>
      <c r="M5" s="412"/>
      <c r="N5" s="412"/>
      <c r="O5" s="412"/>
      <c r="P5" s="412"/>
    </row>
    <row r="6" spans="1:16" x14ac:dyDescent="0.25">
      <c r="C6" s="318" t="s">
        <v>249</v>
      </c>
      <c r="D6" s="319">
        <f>83000000*0.98</f>
        <v>81340000</v>
      </c>
      <c r="E6" s="318" t="s">
        <v>250</v>
      </c>
      <c r="H6" s="412"/>
      <c r="I6" s="412"/>
      <c r="J6" s="412"/>
      <c r="K6" s="412"/>
      <c r="L6" s="412"/>
      <c r="M6" s="412"/>
      <c r="N6" s="412"/>
      <c r="O6" s="412"/>
      <c r="P6" s="412"/>
    </row>
    <row r="7" spans="1:16" x14ac:dyDescent="0.25">
      <c r="C7" s="318" t="s">
        <v>303</v>
      </c>
      <c r="D7" s="321">
        <v>0.15</v>
      </c>
      <c r="E7" s="318" t="s">
        <v>251</v>
      </c>
    </row>
    <row r="8" spans="1:16" ht="15.75" thickBot="1" x14ac:dyDescent="0.3">
      <c r="H8" s="322">
        <v>2019</v>
      </c>
      <c r="I8" s="322">
        <v>2020</v>
      </c>
      <c r="J8" s="322">
        <v>2021</v>
      </c>
      <c r="K8" s="322">
        <v>2022</v>
      </c>
      <c r="L8" s="322">
        <v>2023</v>
      </c>
      <c r="M8" s="322">
        <v>2024</v>
      </c>
      <c r="N8" s="322">
        <v>2025</v>
      </c>
      <c r="O8" s="322">
        <v>2026</v>
      </c>
      <c r="P8" s="322">
        <v>2027</v>
      </c>
    </row>
    <row r="9" spans="1:16" s="317" customFormat="1" x14ac:dyDescent="0.25">
      <c r="A9" s="323"/>
      <c r="B9" s="324" t="s">
        <v>265</v>
      </c>
      <c r="C9" s="325"/>
      <c r="D9" s="325"/>
      <c r="E9" s="326"/>
      <c r="G9" s="327" t="s">
        <v>88</v>
      </c>
      <c r="H9" s="328" t="s">
        <v>8</v>
      </c>
      <c r="I9" s="328" t="s">
        <v>0</v>
      </c>
      <c r="J9" s="328" t="s">
        <v>1</v>
      </c>
      <c r="K9" s="328" t="s">
        <v>2</v>
      </c>
      <c r="L9" s="328" t="s">
        <v>3</v>
      </c>
      <c r="M9" s="328" t="s">
        <v>4</v>
      </c>
      <c r="N9" s="328" t="s">
        <v>5</v>
      </c>
      <c r="O9" s="328" t="s">
        <v>6</v>
      </c>
      <c r="P9" s="329" t="s">
        <v>7</v>
      </c>
    </row>
    <row r="10" spans="1:16" x14ac:dyDescent="0.25">
      <c r="A10" s="330"/>
      <c r="B10" s="331"/>
      <c r="C10" s="332" t="s">
        <v>66</v>
      </c>
      <c r="D10" s="336">
        <f>20+20+30</f>
        <v>70</v>
      </c>
      <c r="E10" s="334" t="s">
        <v>68</v>
      </c>
      <c r="G10" s="335" t="s">
        <v>15</v>
      </c>
      <c r="H10" s="306">
        <v>7</v>
      </c>
      <c r="I10" s="306">
        <f>H10*1.3</f>
        <v>9.1</v>
      </c>
      <c r="J10" s="306">
        <f t="shared" ref="J10:P10" si="0">I10*1.3</f>
        <v>11.83</v>
      </c>
      <c r="K10" s="306">
        <f t="shared" si="0"/>
        <v>15.379000000000001</v>
      </c>
      <c r="L10" s="306">
        <f t="shared" si="0"/>
        <v>19.992700000000003</v>
      </c>
      <c r="M10" s="306">
        <f t="shared" si="0"/>
        <v>25.990510000000004</v>
      </c>
      <c r="N10" s="306">
        <f t="shared" si="0"/>
        <v>33.787663000000009</v>
      </c>
      <c r="O10" s="306">
        <f t="shared" si="0"/>
        <v>43.923961900000016</v>
      </c>
      <c r="P10" s="307">
        <f t="shared" si="0"/>
        <v>57.101150470000022</v>
      </c>
    </row>
    <row r="11" spans="1:16" x14ac:dyDescent="0.25">
      <c r="A11" s="330"/>
      <c r="B11" s="331"/>
      <c r="C11" s="332" t="s">
        <v>67</v>
      </c>
      <c r="D11" s="336">
        <v>2</v>
      </c>
      <c r="E11" s="334" t="s">
        <v>69</v>
      </c>
      <c r="G11" s="331" t="s">
        <v>115</v>
      </c>
      <c r="H11" s="308">
        <v>0.35</v>
      </c>
      <c r="I11" s="308">
        <v>0.35</v>
      </c>
      <c r="J11" s="308">
        <v>0.35</v>
      </c>
      <c r="K11" s="308">
        <v>0.35</v>
      </c>
      <c r="L11" s="308">
        <v>0.35</v>
      </c>
      <c r="M11" s="308">
        <v>0.35</v>
      </c>
      <c r="N11" s="308">
        <v>0.35</v>
      </c>
      <c r="O11" s="308">
        <v>0.35</v>
      </c>
      <c r="P11" s="309">
        <v>0.35</v>
      </c>
    </row>
    <row r="12" spans="1:16" ht="15.75" thickBot="1" x14ac:dyDescent="0.3">
      <c r="A12" s="330"/>
      <c r="B12" s="337"/>
      <c r="C12" s="338" t="s">
        <v>126</v>
      </c>
      <c r="D12" s="339">
        <f>D10*D11*60*60*24*30*3*D7/8/1000</f>
        <v>20412</v>
      </c>
      <c r="E12" s="340"/>
      <c r="G12" s="341" t="s">
        <v>116</v>
      </c>
      <c r="H12" s="310">
        <f>D6*H11</f>
        <v>28469000</v>
      </c>
      <c r="I12" s="310">
        <f>I11*$D6*1.02</f>
        <v>29038380</v>
      </c>
      <c r="J12" s="310">
        <f>J11*$D6*1.04</f>
        <v>29607760</v>
      </c>
      <c r="K12" s="310">
        <f>K11*$D6*1.06</f>
        <v>30177140</v>
      </c>
      <c r="L12" s="310">
        <f>L11*$D6*1.08</f>
        <v>30746520.000000004</v>
      </c>
      <c r="M12" s="310">
        <f>M11*$D6*1.1</f>
        <v>31315900.000000004</v>
      </c>
      <c r="N12" s="310">
        <f>N11*$D6*1.12</f>
        <v>31885280.000000004</v>
      </c>
      <c r="O12" s="310">
        <f>O11*$D6*1.14</f>
        <v>32454659.999999996</v>
      </c>
      <c r="P12" s="311">
        <f>P11*$D6*1.16</f>
        <v>33024039.999999996</v>
      </c>
    </row>
    <row r="13" spans="1:16" ht="15.75" thickBot="1" x14ac:dyDescent="0.3">
      <c r="A13" s="330"/>
      <c r="B13" s="324" t="s">
        <v>266</v>
      </c>
      <c r="C13" s="325"/>
      <c r="D13" s="325"/>
      <c r="E13" s="326"/>
      <c r="G13" s="344" t="s">
        <v>117</v>
      </c>
      <c r="H13" s="312">
        <f>H12*H10</f>
        <v>199283000</v>
      </c>
      <c r="I13" s="312">
        <f t="shared" ref="I13:P13" si="1">I12*I10</f>
        <v>264249258</v>
      </c>
      <c r="J13" s="312">
        <f t="shared" si="1"/>
        <v>350259800.80000001</v>
      </c>
      <c r="K13" s="312">
        <f t="shared" si="1"/>
        <v>464094236.06000006</v>
      </c>
      <c r="L13" s="312">
        <f t="shared" si="1"/>
        <v>614705950.40400016</v>
      </c>
      <c r="M13" s="312">
        <f t="shared" si="1"/>
        <v>813916212.10900021</v>
      </c>
      <c r="N13" s="312">
        <f t="shared" si="1"/>
        <v>1077329095.3006403</v>
      </c>
      <c r="O13" s="312">
        <f t="shared" si="1"/>
        <v>1425537249.3174543</v>
      </c>
      <c r="P13" s="313">
        <f t="shared" si="1"/>
        <v>1885710677.1672993</v>
      </c>
    </row>
    <row r="14" spans="1:16" x14ac:dyDescent="0.25">
      <c r="A14" s="330"/>
      <c r="B14" s="331"/>
      <c r="C14" s="332" t="s">
        <v>161</v>
      </c>
      <c r="D14" s="413">
        <f>20+ 60+9.9*2+20+20</f>
        <v>139.80000000000001</v>
      </c>
      <c r="E14" s="334" t="s">
        <v>68</v>
      </c>
      <c r="G14" s="317"/>
      <c r="H14" s="314"/>
      <c r="I14" s="414"/>
      <c r="J14" s="414"/>
      <c r="K14" s="414"/>
      <c r="L14" s="414"/>
      <c r="M14" s="414"/>
      <c r="N14" s="414"/>
      <c r="O14" s="414"/>
      <c r="P14" s="414"/>
    </row>
    <row r="15" spans="1:16" s="317" customFormat="1" x14ac:dyDescent="0.25">
      <c r="A15" s="323"/>
      <c r="B15" s="331"/>
      <c r="C15" s="332" t="s">
        <v>67</v>
      </c>
      <c r="D15" s="336">
        <v>2</v>
      </c>
      <c r="E15" s="334" t="s">
        <v>69</v>
      </c>
      <c r="F15" s="318"/>
      <c r="G15" s="345" t="s">
        <v>123</v>
      </c>
      <c r="H15" s="315"/>
      <c r="I15" s="315"/>
      <c r="J15" s="315"/>
      <c r="K15" s="315"/>
      <c r="L15" s="315"/>
      <c r="M15" s="315"/>
      <c r="N15" s="315"/>
      <c r="O15" s="315"/>
      <c r="P15" s="315"/>
    </row>
    <row r="16" spans="1:16" ht="15.75" thickBot="1" x14ac:dyDescent="0.3">
      <c r="A16" s="330"/>
      <c r="B16" s="337"/>
      <c r="C16" s="338" t="s">
        <v>126</v>
      </c>
      <c r="D16" s="389">
        <f>D14*D15*60*60*24*30*3*D7/8/1000</f>
        <v>40765.68</v>
      </c>
      <c r="E16" s="340"/>
      <c r="F16" s="415"/>
      <c r="G16" s="345" t="s">
        <v>269</v>
      </c>
      <c r="H16" s="316">
        <v>0.8</v>
      </c>
      <c r="I16" s="316">
        <v>0.9</v>
      </c>
      <c r="J16" s="316">
        <v>1</v>
      </c>
      <c r="K16" s="316">
        <f>J16+6%</f>
        <v>1.06</v>
      </c>
      <c r="L16" s="316">
        <f>K16+5%</f>
        <v>1.1100000000000001</v>
      </c>
      <c r="M16" s="316">
        <f>L16+5%</f>
        <v>1.1600000000000001</v>
      </c>
      <c r="N16" s="316">
        <f>M16+4%</f>
        <v>1.2000000000000002</v>
      </c>
      <c r="O16" s="316">
        <v>1.36</v>
      </c>
      <c r="P16" s="316">
        <v>1.4</v>
      </c>
    </row>
    <row r="17" spans="1:17" x14ac:dyDescent="0.25">
      <c r="A17" s="330"/>
      <c r="B17" s="342" t="s">
        <v>267</v>
      </c>
      <c r="C17" s="332"/>
      <c r="D17" s="333"/>
      <c r="E17" s="334"/>
      <c r="F17" s="415"/>
      <c r="G17" s="345" t="s">
        <v>270</v>
      </c>
      <c r="H17" s="316">
        <v>0.3</v>
      </c>
      <c r="I17" s="316">
        <f t="shared" ref="I17:J17" si="2">H17*1.07</f>
        <v>0.32100000000000001</v>
      </c>
      <c r="J17" s="316">
        <f t="shared" si="2"/>
        <v>0.34347000000000005</v>
      </c>
      <c r="K17" s="316">
        <f>J17*1.07</f>
        <v>0.36751290000000009</v>
      </c>
      <c r="L17" s="316">
        <f t="shared" ref="L17:P17" si="3">K17*1.07</f>
        <v>0.39323880300000014</v>
      </c>
      <c r="M17" s="316">
        <f t="shared" si="3"/>
        <v>0.42076551921000016</v>
      </c>
      <c r="N17" s="316">
        <f t="shared" si="3"/>
        <v>0.45021910555470018</v>
      </c>
      <c r="O17" s="316">
        <f t="shared" si="3"/>
        <v>0.48173444294352924</v>
      </c>
      <c r="P17" s="316">
        <f t="shared" si="3"/>
        <v>0.51545585394957627</v>
      </c>
    </row>
    <row r="18" spans="1:17" x14ac:dyDescent="0.25">
      <c r="A18" s="330"/>
      <c r="B18" s="331"/>
      <c r="C18" s="332" t="s">
        <v>74</v>
      </c>
      <c r="D18" s="416">
        <v>80</v>
      </c>
      <c r="E18" s="334" t="s">
        <v>68</v>
      </c>
      <c r="F18" s="415"/>
      <c r="G18" s="345" t="s">
        <v>271</v>
      </c>
      <c r="H18" s="316">
        <v>0</v>
      </c>
      <c r="I18" s="316">
        <v>0</v>
      </c>
      <c r="J18" s="316">
        <v>0</v>
      </c>
      <c r="K18" s="316">
        <v>0.05</v>
      </c>
      <c r="L18" s="316">
        <v>0.1</v>
      </c>
      <c r="M18" s="316">
        <v>0.2</v>
      </c>
      <c r="N18" s="316">
        <v>0.3</v>
      </c>
      <c r="O18" s="316">
        <v>0.35</v>
      </c>
      <c r="P18" s="316">
        <v>0.4</v>
      </c>
    </row>
    <row r="19" spans="1:17" x14ac:dyDescent="0.25">
      <c r="A19" s="330"/>
      <c r="B19" s="331"/>
      <c r="C19" s="332" t="s">
        <v>67</v>
      </c>
      <c r="D19" s="336">
        <v>5.7</v>
      </c>
      <c r="E19" s="334" t="s">
        <v>69</v>
      </c>
      <c r="F19" s="415"/>
      <c r="G19" s="345" t="s">
        <v>152</v>
      </c>
      <c r="H19" s="316">
        <v>0.1</v>
      </c>
      <c r="I19" s="316">
        <v>0.2</v>
      </c>
      <c r="J19" s="316">
        <v>0.3</v>
      </c>
      <c r="K19" s="316">
        <v>0.3</v>
      </c>
      <c r="L19" s="316">
        <v>0.25</v>
      </c>
      <c r="M19" s="316">
        <v>0.2</v>
      </c>
      <c r="N19" s="316">
        <v>0.1</v>
      </c>
      <c r="O19" s="316">
        <v>0</v>
      </c>
      <c r="P19" s="316">
        <v>0</v>
      </c>
    </row>
    <row r="20" spans="1:17" ht="15.75" thickBot="1" x14ac:dyDescent="0.3">
      <c r="A20" s="330"/>
      <c r="B20" s="337"/>
      <c r="C20" s="338" t="s">
        <v>126</v>
      </c>
      <c r="D20" s="339">
        <f>D18*D19*60*60*24*30*3*D7/8/1000</f>
        <v>66484.800000000003</v>
      </c>
      <c r="E20" s="340"/>
      <c r="F20" s="415"/>
      <c r="G20" s="345" t="s">
        <v>153</v>
      </c>
      <c r="H20" s="316">
        <v>0</v>
      </c>
      <c r="I20" s="316">
        <v>0</v>
      </c>
      <c r="J20" s="316">
        <v>0</v>
      </c>
      <c r="K20" s="316">
        <v>0.02</v>
      </c>
      <c r="L20" s="316">
        <v>0.1</v>
      </c>
      <c r="M20" s="316">
        <v>0.2</v>
      </c>
      <c r="N20" s="316">
        <v>0.3</v>
      </c>
      <c r="O20" s="316">
        <v>0.4</v>
      </c>
      <c r="P20" s="316">
        <v>0.5</v>
      </c>
    </row>
    <row r="21" spans="1:17" s="317" customFormat="1" x14ac:dyDescent="0.25">
      <c r="A21" s="323"/>
      <c r="B21" s="342" t="s">
        <v>148</v>
      </c>
      <c r="C21" s="332"/>
      <c r="D21" s="333"/>
      <c r="E21" s="334"/>
      <c r="F21" s="415"/>
      <c r="G21" s="345" t="s">
        <v>119</v>
      </c>
      <c r="H21" s="316">
        <v>1E-3</v>
      </c>
      <c r="I21" s="316">
        <v>1E-3</v>
      </c>
      <c r="J21" s="316">
        <v>1E-3</v>
      </c>
      <c r="K21" s="316">
        <v>1E-3</v>
      </c>
      <c r="L21" s="316">
        <v>1E-3</v>
      </c>
      <c r="M21" s="316">
        <v>1E-3</v>
      </c>
      <c r="N21" s="316">
        <v>1E-3</v>
      </c>
      <c r="O21" s="316">
        <v>1E-3</v>
      </c>
      <c r="P21" s="316">
        <v>1E-3</v>
      </c>
      <c r="Q21" s="318"/>
    </row>
    <row r="22" spans="1:17" ht="15.75" thickBot="1" x14ac:dyDescent="0.3">
      <c r="A22" s="330"/>
      <c r="B22" s="331"/>
      <c r="C22" s="332" t="s">
        <v>74</v>
      </c>
      <c r="D22" s="336">
        <f>60+60</f>
        <v>120</v>
      </c>
      <c r="E22" s="334" t="s">
        <v>68</v>
      </c>
      <c r="F22" s="415"/>
      <c r="H22" s="346"/>
      <c r="I22" s="346"/>
      <c r="J22" s="346"/>
      <c r="K22" s="346"/>
      <c r="L22" s="346"/>
      <c r="M22" s="346"/>
      <c r="N22" s="346"/>
      <c r="O22" s="346"/>
      <c r="P22" s="346"/>
    </row>
    <row r="23" spans="1:17" x14ac:dyDescent="0.25">
      <c r="A23" s="330"/>
      <c r="B23" s="331"/>
      <c r="C23" s="332" t="s">
        <v>67</v>
      </c>
      <c r="D23" s="336">
        <v>2</v>
      </c>
      <c r="E23" s="334" t="s">
        <v>69</v>
      </c>
      <c r="F23" s="415"/>
      <c r="G23" s="347" t="s">
        <v>87</v>
      </c>
      <c r="H23" s="348" t="s">
        <v>8</v>
      </c>
      <c r="I23" s="348" t="s">
        <v>0</v>
      </c>
      <c r="J23" s="348" t="s">
        <v>1</v>
      </c>
      <c r="K23" s="348" t="s">
        <v>2</v>
      </c>
      <c r="L23" s="348" t="s">
        <v>3</v>
      </c>
      <c r="M23" s="348" t="s">
        <v>4</v>
      </c>
      <c r="N23" s="348" t="s">
        <v>5</v>
      </c>
      <c r="O23" s="348" t="s">
        <v>6</v>
      </c>
      <c r="P23" s="349" t="s">
        <v>7</v>
      </c>
    </row>
    <row r="24" spans="1:17" ht="15.75" thickBot="1" x14ac:dyDescent="0.3">
      <c r="A24" s="330"/>
      <c r="B24" s="331"/>
      <c r="C24" s="338" t="s">
        <v>126</v>
      </c>
      <c r="D24" s="339">
        <f>D22*D23*60*60*24*30*3*D7/8/1000</f>
        <v>34992</v>
      </c>
      <c r="E24" s="340"/>
      <c r="F24" s="415"/>
      <c r="G24" s="350" t="s">
        <v>269</v>
      </c>
      <c r="H24" s="351">
        <f t="shared" ref="H24:P24" si="4">H16*$D12*$D4</f>
        <v>506217600</v>
      </c>
      <c r="I24" s="351">
        <f t="shared" si="4"/>
        <v>569494800</v>
      </c>
      <c r="J24" s="351">
        <f t="shared" si="4"/>
        <v>632772000</v>
      </c>
      <c r="K24" s="351">
        <f t="shared" si="4"/>
        <v>670738320</v>
      </c>
      <c r="L24" s="351">
        <f t="shared" si="4"/>
        <v>702376920.00000012</v>
      </c>
      <c r="M24" s="351">
        <f t="shared" si="4"/>
        <v>734015520</v>
      </c>
      <c r="N24" s="351">
        <f t="shared" si="4"/>
        <v>759326400.00000012</v>
      </c>
      <c r="O24" s="351">
        <f t="shared" si="4"/>
        <v>860569920.00000012</v>
      </c>
      <c r="P24" s="352">
        <f t="shared" si="4"/>
        <v>885880800</v>
      </c>
    </row>
    <row r="25" spans="1:17" x14ac:dyDescent="0.25">
      <c r="A25" s="330"/>
      <c r="B25" s="324" t="s">
        <v>151</v>
      </c>
      <c r="C25" s="355"/>
      <c r="D25" s="356"/>
      <c r="E25" s="357"/>
      <c r="F25" s="415"/>
      <c r="G25" s="350" t="s">
        <v>270</v>
      </c>
      <c r="H25" s="351">
        <f t="shared" ref="H25:P25" si="5">H17*$D16*$D4</f>
        <v>379120824</v>
      </c>
      <c r="I25" s="351">
        <f t="shared" si="5"/>
        <v>405659281.68000001</v>
      </c>
      <c r="J25" s="351">
        <f t="shared" si="5"/>
        <v>434055431.39760005</v>
      </c>
      <c r="K25" s="351">
        <f t="shared" si="5"/>
        <v>464439311.5954321</v>
      </c>
      <c r="L25" s="351">
        <f t="shared" si="5"/>
        <v>496950063.40711242</v>
      </c>
      <c r="M25" s="351">
        <f t="shared" si="5"/>
        <v>531736567.84561032</v>
      </c>
      <c r="N25" s="351">
        <f t="shared" si="5"/>
        <v>568958127.59480298</v>
      </c>
      <c r="O25" s="351">
        <f t="shared" si="5"/>
        <v>608785196.52643931</v>
      </c>
      <c r="P25" s="352">
        <f t="shared" si="5"/>
        <v>651400160.28329003</v>
      </c>
    </row>
    <row r="26" spans="1:17" x14ac:dyDescent="0.25">
      <c r="A26" s="330"/>
      <c r="B26" s="331"/>
      <c r="C26" s="332" t="s">
        <v>74</v>
      </c>
      <c r="D26" s="333">
        <f>60+40+D18</f>
        <v>180</v>
      </c>
      <c r="E26" s="334" t="s">
        <v>68</v>
      </c>
      <c r="F26" s="415"/>
      <c r="G26" s="350" t="s">
        <v>271</v>
      </c>
      <c r="H26" s="351">
        <f t="shared" ref="H26:P26" si="6">+H18*$D20*$D4</f>
        <v>0</v>
      </c>
      <c r="I26" s="351">
        <f t="shared" si="6"/>
        <v>0</v>
      </c>
      <c r="J26" s="351">
        <f t="shared" si="6"/>
        <v>0</v>
      </c>
      <c r="K26" s="351">
        <f t="shared" si="6"/>
        <v>103051440</v>
      </c>
      <c r="L26" s="351">
        <f t="shared" si="6"/>
        <v>206102880</v>
      </c>
      <c r="M26" s="351">
        <f t="shared" si="6"/>
        <v>412205760</v>
      </c>
      <c r="N26" s="351">
        <f t="shared" si="6"/>
        <v>618308640</v>
      </c>
      <c r="O26" s="351">
        <f t="shared" si="6"/>
        <v>721360080</v>
      </c>
      <c r="P26" s="352">
        <f t="shared" si="6"/>
        <v>824411520</v>
      </c>
    </row>
    <row r="27" spans="1:17" x14ac:dyDescent="0.25">
      <c r="A27" s="330"/>
      <c r="B27" s="331"/>
      <c r="C27" s="332" t="s">
        <v>67</v>
      </c>
      <c r="D27" s="336">
        <v>2</v>
      </c>
      <c r="E27" s="334" t="s">
        <v>69</v>
      </c>
      <c r="F27" s="415"/>
      <c r="G27" s="350" t="s">
        <v>149</v>
      </c>
      <c r="H27" s="351">
        <f t="shared" ref="H27:P27" si="7">H19*$D$24*$D$5</f>
        <v>17496000</v>
      </c>
      <c r="I27" s="351">
        <f t="shared" si="7"/>
        <v>34992000</v>
      </c>
      <c r="J27" s="351">
        <f t="shared" si="7"/>
        <v>52488000</v>
      </c>
      <c r="K27" s="351">
        <f t="shared" si="7"/>
        <v>52488000</v>
      </c>
      <c r="L27" s="351">
        <f t="shared" si="7"/>
        <v>43740000</v>
      </c>
      <c r="M27" s="351">
        <f t="shared" si="7"/>
        <v>34992000</v>
      </c>
      <c r="N27" s="351">
        <f t="shared" si="7"/>
        <v>17496000</v>
      </c>
      <c r="O27" s="351">
        <f t="shared" si="7"/>
        <v>0</v>
      </c>
      <c r="P27" s="352">
        <f t="shared" si="7"/>
        <v>0</v>
      </c>
    </row>
    <row r="28" spans="1:17" ht="15.75" thickBot="1" x14ac:dyDescent="0.3">
      <c r="A28" s="330"/>
      <c r="B28" s="337"/>
      <c r="C28" s="338" t="s">
        <v>126</v>
      </c>
      <c r="D28" s="339">
        <f>D26*D27*60*60*24*30*3*D7/8/1000</f>
        <v>52488</v>
      </c>
      <c r="E28" s="340"/>
      <c r="F28" s="415"/>
      <c r="G28" s="350" t="s">
        <v>150</v>
      </c>
      <c r="H28" s="351">
        <f t="shared" ref="H28:P28" si="8">H20*$D5*$D28</f>
        <v>0</v>
      </c>
      <c r="I28" s="351">
        <f t="shared" si="8"/>
        <v>0</v>
      </c>
      <c r="J28" s="351">
        <f t="shared" si="8"/>
        <v>0</v>
      </c>
      <c r="K28" s="351">
        <f t="shared" si="8"/>
        <v>5248800</v>
      </c>
      <c r="L28" s="351">
        <f t="shared" si="8"/>
        <v>26244000</v>
      </c>
      <c r="M28" s="351">
        <f t="shared" si="8"/>
        <v>52488000</v>
      </c>
      <c r="N28" s="351">
        <f t="shared" si="8"/>
        <v>78732000</v>
      </c>
      <c r="O28" s="351">
        <f t="shared" si="8"/>
        <v>104976000</v>
      </c>
      <c r="P28" s="352">
        <f t="shared" si="8"/>
        <v>131220000</v>
      </c>
    </row>
    <row r="29" spans="1:17" x14ac:dyDescent="0.25">
      <c r="A29" s="330"/>
      <c r="B29" s="324" t="s">
        <v>114</v>
      </c>
      <c r="C29" s="325"/>
      <c r="D29" s="325"/>
      <c r="E29" s="326"/>
      <c r="F29" s="415"/>
      <c r="G29" s="358" t="s">
        <v>139</v>
      </c>
      <c r="H29" s="359">
        <f t="shared" ref="H29:P29" si="9">SUM(H24:H28)</f>
        <v>902834424</v>
      </c>
      <c r="I29" s="359">
        <f t="shared" si="9"/>
        <v>1010146081.6800001</v>
      </c>
      <c r="J29" s="359">
        <f t="shared" si="9"/>
        <v>1119315431.3976002</v>
      </c>
      <c r="K29" s="359">
        <f t="shared" si="9"/>
        <v>1295965871.595432</v>
      </c>
      <c r="L29" s="359">
        <f t="shared" si="9"/>
        <v>1475413863.4071126</v>
      </c>
      <c r="M29" s="359">
        <f t="shared" si="9"/>
        <v>1765437847.8456104</v>
      </c>
      <c r="N29" s="359">
        <f t="shared" si="9"/>
        <v>2042821167.5948031</v>
      </c>
      <c r="O29" s="359">
        <f t="shared" si="9"/>
        <v>2295691196.5264397</v>
      </c>
      <c r="P29" s="360">
        <f t="shared" si="9"/>
        <v>2492912480.2832899</v>
      </c>
    </row>
    <row r="30" spans="1:17" x14ac:dyDescent="0.25">
      <c r="A30" s="330"/>
      <c r="B30" s="331"/>
      <c r="C30" s="332" t="s">
        <v>74</v>
      </c>
      <c r="D30" s="336">
        <v>200</v>
      </c>
      <c r="E30" s="334" t="s">
        <v>68</v>
      </c>
      <c r="F30" s="415"/>
      <c r="G30" s="350" t="s">
        <v>140</v>
      </c>
      <c r="H30" s="361">
        <f t="shared" ref="H30:P30" si="10">+H21*$D32*$D5</f>
        <v>911250</v>
      </c>
      <c r="I30" s="361">
        <f t="shared" si="10"/>
        <v>911250</v>
      </c>
      <c r="J30" s="361">
        <f t="shared" si="10"/>
        <v>911250</v>
      </c>
      <c r="K30" s="361">
        <f t="shared" si="10"/>
        <v>911250</v>
      </c>
      <c r="L30" s="361">
        <f t="shared" si="10"/>
        <v>911250</v>
      </c>
      <c r="M30" s="361">
        <f t="shared" si="10"/>
        <v>911250</v>
      </c>
      <c r="N30" s="361">
        <f t="shared" si="10"/>
        <v>911250</v>
      </c>
      <c r="O30" s="361">
        <f t="shared" si="10"/>
        <v>911250</v>
      </c>
      <c r="P30" s="362">
        <f t="shared" si="10"/>
        <v>911250</v>
      </c>
      <c r="Q30" s="330"/>
    </row>
    <row r="31" spans="1:17" ht="15.75" thickBot="1" x14ac:dyDescent="0.3">
      <c r="A31" s="330"/>
      <c r="B31" s="331"/>
      <c r="C31" s="332" t="s">
        <v>67</v>
      </c>
      <c r="D31" s="366">
        <f>5000/800</f>
        <v>6.25</v>
      </c>
      <c r="E31" s="334" t="s">
        <v>69</v>
      </c>
      <c r="F31" s="415"/>
      <c r="G31" s="363" t="s">
        <v>125</v>
      </c>
      <c r="H31" s="364">
        <f>+H29+H30</f>
        <v>903745674</v>
      </c>
      <c r="I31" s="364">
        <f t="shared" ref="I31:P31" si="11">+I29+I30</f>
        <v>1011057331.6800001</v>
      </c>
      <c r="J31" s="364">
        <f t="shared" si="11"/>
        <v>1120226681.3976002</v>
      </c>
      <c r="K31" s="364">
        <f t="shared" si="11"/>
        <v>1296877121.595432</v>
      </c>
      <c r="L31" s="364">
        <f t="shared" si="11"/>
        <v>1476325113.4071126</v>
      </c>
      <c r="M31" s="364">
        <f t="shared" si="11"/>
        <v>1766349097.8456104</v>
      </c>
      <c r="N31" s="364">
        <f t="shared" si="11"/>
        <v>2043732417.5948031</v>
      </c>
      <c r="O31" s="364">
        <f t="shared" si="11"/>
        <v>2296602446.5264397</v>
      </c>
      <c r="P31" s="365">
        <f t="shared" si="11"/>
        <v>2493823730.2832899</v>
      </c>
      <c r="Q31" s="330"/>
    </row>
    <row r="32" spans="1:17" ht="15.75" thickBot="1" x14ac:dyDescent="0.3">
      <c r="A32" s="330"/>
      <c r="B32" s="337"/>
      <c r="C32" s="338" t="s">
        <v>126</v>
      </c>
      <c r="D32" s="339">
        <f>D30*D31*60*60*24*30*3*D7/8/1000</f>
        <v>182250</v>
      </c>
      <c r="E32" s="340"/>
      <c r="F32" s="415"/>
      <c r="G32" s="366"/>
      <c r="H32" s="367"/>
      <c r="I32" s="367"/>
      <c r="J32" s="367"/>
      <c r="K32" s="367"/>
      <c r="L32" s="367"/>
      <c r="M32" s="367"/>
      <c r="N32" s="367"/>
      <c r="O32" s="367"/>
      <c r="P32" s="367"/>
    </row>
    <row r="33" spans="1:18" x14ac:dyDescent="0.25">
      <c r="A33" s="330"/>
      <c r="B33" s="330"/>
      <c r="C33" s="330"/>
      <c r="D33" s="394">
        <f>D32/1.5</f>
        <v>121500</v>
      </c>
      <c r="E33" s="330"/>
      <c r="G33" s="347" t="s">
        <v>91</v>
      </c>
      <c r="H33" s="348" t="s">
        <v>8</v>
      </c>
      <c r="I33" s="348" t="s">
        <v>0</v>
      </c>
      <c r="J33" s="348" t="s">
        <v>1</v>
      </c>
      <c r="K33" s="348" t="s">
        <v>2</v>
      </c>
      <c r="L33" s="348" t="s">
        <v>3</v>
      </c>
      <c r="M33" s="348" t="s">
        <v>4</v>
      </c>
      <c r="N33" s="348" t="s">
        <v>5</v>
      </c>
      <c r="O33" s="348" t="s">
        <v>6</v>
      </c>
      <c r="P33" s="349" t="s">
        <v>7</v>
      </c>
    </row>
    <row r="34" spans="1:18" x14ac:dyDescent="0.25">
      <c r="A34" s="330"/>
      <c r="B34" s="330"/>
      <c r="C34" s="330"/>
      <c r="D34" s="330"/>
      <c r="E34" s="330"/>
      <c r="G34" s="368" t="s">
        <v>19</v>
      </c>
      <c r="H34" s="295"/>
      <c r="I34" s="295"/>
      <c r="J34" s="295"/>
      <c r="K34" s="295"/>
      <c r="L34" s="295"/>
      <c r="M34" s="295"/>
      <c r="N34" s="295"/>
      <c r="O34" s="295"/>
      <c r="P34" s="296"/>
    </row>
    <row r="35" spans="1:18" x14ac:dyDescent="0.25">
      <c r="A35" s="330"/>
      <c r="B35" s="330"/>
      <c r="C35" s="330"/>
      <c r="D35" s="330"/>
      <c r="E35" s="330"/>
      <c r="G35" s="369" t="s">
        <v>268</v>
      </c>
      <c r="H35" s="298"/>
      <c r="I35" s="287">
        <v>2602880000</v>
      </c>
      <c r="J35" s="287"/>
      <c r="K35" s="287"/>
      <c r="L35" s="287"/>
      <c r="M35" s="287"/>
      <c r="N35" s="287"/>
      <c r="O35" s="287"/>
      <c r="P35" s="291"/>
    </row>
    <row r="36" spans="1:18" x14ac:dyDescent="0.25">
      <c r="A36" s="330"/>
      <c r="B36" s="330"/>
      <c r="C36" s="330"/>
      <c r="D36" s="330"/>
      <c r="E36" s="330"/>
      <c r="F36" s="317"/>
      <c r="G36" s="369" t="s">
        <v>253</v>
      </c>
      <c r="H36" s="298"/>
      <c r="I36" s="287">
        <v>72053889.361702144</v>
      </c>
      <c r="J36" s="287"/>
      <c r="K36" s="287"/>
      <c r="L36" s="287"/>
      <c r="M36" s="287"/>
      <c r="N36" s="287"/>
      <c r="O36" s="287"/>
      <c r="P36" s="291"/>
    </row>
    <row r="37" spans="1:18" x14ac:dyDescent="0.25">
      <c r="A37" s="330"/>
      <c r="B37" s="330"/>
      <c r="C37" s="330"/>
      <c r="D37" s="330"/>
      <c r="E37" s="330"/>
      <c r="G37" s="368" t="s">
        <v>48</v>
      </c>
      <c r="H37" s="287"/>
      <c r="I37" s="287"/>
      <c r="J37" s="287"/>
      <c r="K37" s="287"/>
      <c r="L37" s="287"/>
      <c r="M37" s="287"/>
      <c r="N37" s="287"/>
      <c r="O37" s="287"/>
      <c r="P37" s="291"/>
    </row>
    <row r="38" spans="1:18" x14ac:dyDescent="0.25">
      <c r="A38" s="330"/>
      <c r="B38" s="330"/>
      <c r="C38" s="330"/>
      <c r="D38" s="330"/>
      <c r="E38" s="330"/>
      <c r="G38" s="370" t="s">
        <v>269</v>
      </c>
      <c r="H38" s="287">
        <f>+(H16-70%)*$D4*('Cost per Cell'!$M6+'Cost per Cell'!$M7)</f>
        <v>139500000.00000012</v>
      </c>
      <c r="I38" s="287">
        <f>+(I16-H16)*$D4*('Cost per Cell'!$M6+'Cost per Cell'!$M7)</f>
        <v>139499999.99999997</v>
      </c>
      <c r="J38" s="287">
        <f>+(J16-I16)*$D4*('Cost per Cell'!$M6+'Cost per Cell'!$M7)</f>
        <v>139499999.99999997</v>
      </c>
      <c r="K38" s="287">
        <f>+(K16-J16)*$D4*('Cost per Cell'!$M6+'Cost per Cell'!$M7)</f>
        <v>83700000.000000075</v>
      </c>
      <c r="L38" s="287">
        <f>+(L16-K16)*$D4*('Cost per Cell'!$M6+'Cost per Cell'!$M7)</f>
        <v>69750000.00000006</v>
      </c>
      <c r="M38" s="287">
        <f>+(M16-L16)*$D4*('Cost per Cell'!$M6+'Cost per Cell'!$M7)</f>
        <v>69750000.00000006</v>
      </c>
      <c r="N38" s="287">
        <f>+(N16-M16)*$D4*('Cost per Cell'!$M6+'Cost per Cell'!$M7)</f>
        <v>55800000.000000052</v>
      </c>
      <c r="O38" s="287">
        <f>+(O16-N16)*$D4*('Cost per Cell'!$M6+'Cost per Cell'!$M7)</f>
        <v>223199999.99999988</v>
      </c>
      <c r="P38" s="291">
        <f>+(P16-O16)*$D4*('Cost per Cell'!$M6+'Cost per Cell'!$M7)</f>
        <v>55799999.999999747</v>
      </c>
    </row>
    <row r="39" spans="1:18" x14ac:dyDescent="0.25">
      <c r="A39" s="330"/>
      <c r="B39" s="330"/>
      <c r="C39" s="330"/>
      <c r="D39" s="330"/>
      <c r="E39" s="330"/>
      <c r="G39" s="370" t="s">
        <v>270</v>
      </c>
      <c r="H39" s="287">
        <f>+(H17-30%)*$D4*('Cost per Cell'!$M6+'Cost per Cell'!$M7)</f>
        <v>0</v>
      </c>
      <c r="I39" s="287">
        <f>+(I17-H17)*$D4*('Cost per Cell'!$M6+'Cost per Cell'!$M7)</f>
        <v>29295000.000000026</v>
      </c>
      <c r="J39" s="287">
        <f>+(J17-I17)*$D4*('Cost per Cell'!$M6+'Cost per Cell'!$M7)</f>
        <v>31345650.000000063</v>
      </c>
      <c r="K39" s="287">
        <f>+(K17-J17)*$D4*('Cost per Cell'!$M6+'Cost per Cell'!$M7)</f>
        <v>33539845.500000048</v>
      </c>
      <c r="L39" s="287">
        <f>+(L17-K17)*$D4*('Cost per Cell'!$M6+'Cost per Cell'!$M7)</f>
        <v>35887634.685000069</v>
      </c>
      <c r="M39" s="287">
        <f>+(M17-L17)*$D4*('Cost per Cell'!$M6+'Cost per Cell'!$M7)</f>
        <v>38399769.112950034</v>
      </c>
      <c r="N39" s="287">
        <f>+(N17-M17)*$D4*('Cost per Cell'!$M6+'Cost per Cell'!$M7)</f>
        <v>41087752.950856529</v>
      </c>
      <c r="O39" s="287">
        <f>+(O17-N17)*$D4*('Cost per Cell'!$M6+'Cost per Cell'!$M7)</f>
        <v>43963895.657416537</v>
      </c>
      <c r="P39" s="291">
        <f>+(P17-O17)*$D4*('Cost per Cell'!$M6+'Cost per Cell'!$M7)</f>
        <v>47041368.353435606</v>
      </c>
    </row>
    <row r="40" spans="1:18" x14ac:dyDescent="0.25">
      <c r="A40" s="330"/>
      <c r="B40" s="330"/>
      <c r="C40" s="330"/>
      <c r="D40" s="330"/>
      <c r="E40" s="330"/>
      <c r="G40" s="370" t="s">
        <v>271</v>
      </c>
      <c r="H40" s="287"/>
      <c r="I40" s="287">
        <f>+(I18-H18)*$D4*('Cost per Cell'!$E6+'Cost per Cell'!$E7)</f>
        <v>0</v>
      </c>
      <c r="J40" s="287">
        <f>+(J18-I18)*$D4*('Cost per Cell'!$E6+'Cost per Cell'!$E7)</f>
        <v>0</v>
      </c>
      <c r="K40" s="287">
        <f>+(K18-J18)*$D4*('Cost per Cell'!$E6+'Cost per Cell'!$E7)</f>
        <v>108500000</v>
      </c>
      <c r="L40" s="287">
        <f>+(L18-K18)*$D4*('Cost per Cell'!$E6+'Cost per Cell'!$E7)</f>
        <v>108500000</v>
      </c>
      <c r="M40" s="287">
        <f>+(M18-L18)*$D4*('Cost per Cell'!$E6+'Cost per Cell'!$E7)</f>
        <v>217000000</v>
      </c>
      <c r="N40" s="287">
        <f>+(N18-M18)*$D4*('Cost per Cell'!$E6+'Cost per Cell'!$E7)</f>
        <v>216999999.99999994</v>
      </c>
      <c r="O40" s="287">
        <f>+(O18-N18)*$D4*('Cost per Cell'!$E6+'Cost per Cell'!$E7)</f>
        <v>108499999.99999997</v>
      </c>
      <c r="P40" s="291">
        <f>+(P18-O18)*$D4*('Cost per Cell'!$E6+'Cost per Cell'!$E7)</f>
        <v>108500000.00000009</v>
      </c>
    </row>
    <row r="41" spans="1:18" x14ac:dyDescent="0.25">
      <c r="A41" s="330"/>
      <c r="G41" s="371" t="s">
        <v>255</v>
      </c>
      <c r="H41" s="287">
        <f>IF((H19-5%)&gt;0, (H19-5%),0)*$D5*('Cost per Cell'!$O6+'Cost per Cell'!$O7)</f>
        <v>1750000</v>
      </c>
      <c r="I41" s="287">
        <f>IF((I19-H19)&gt;0, (I19-H19),0)*$D5*('Cost per Cell'!$O6+'Cost per Cell'!$O7)</f>
        <v>3500000</v>
      </c>
      <c r="J41" s="287">
        <f>IF((J19-I19)&gt;0, (J19-I19),0)*$D5*('Cost per Cell'!$O6+'Cost per Cell'!$O7)</f>
        <v>3499999.9999999991</v>
      </c>
      <c r="K41" s="287">
        <f>IF((K19-J19)&gt;0, (K19-J19),0)*$D5*('Cost per Cell'!$O6+'Cost per Cell'!$O7)</f>
        <v>0</v>
      </c>
      <c r="L41" s="287">
        <f>IF((L19-K19)&gt;0, (L19-K19),0)*$D5*('Cost per Cell'!$O6+'Cost per Cell'!$O7)</f>
        <v>0</v>
      </c>
      <c r="M41" s="287">
        <f>IF((M19-L19)&gt;0, (M19-L19),0)*$D5*('Cost per Cell'!$O6+'Cost per Cell'!$O7)</f>
        <v>0</v>
      </c>
      <c r="N41" s="287">
        <f>IF((N19-M19)&gt;0, (N19-M19),0)*$D5*('Cost per Cell'!$O6+'Cost per Cell'!$O7)</f>
        <v>0</v>
      </c>
      <c r="O41" s="287">
        <f>IF((O19-N19)&gt;0, (O19-N19),0)*$D5*('Cost per Cell'!$O6+'Cost per Cell'!$O7)</f>
        <v>0</v>
      </c>
      <c r="P41" s="291">
        <f>IF((P19-O19)&gt;0, (P19-O19),0)*$D5*('Cost per Cell'!$O6+'Cost per Cell'!$O7)</f>
        <v>0</v>
      </c>
    </row>
    <row r="42" spans="1:18" ht="15.75" thickBot="1" x14ac:dyDescent="0.3">
      <c r="A42" s="330"/>
      <c r="G42" s="371" t="s">
        <v>256</v>
      </c>
      <c r="H42" s="287"/>
      <c r="I42" s="287">
        <f>IF((I20-H20)&gt;0, (I20-H20),0)*$D5*('Cost per Cell'!$O6+'Cost per Cell'!$O7)</f>
        <v>0</v>
      </c>
      <c r="J42" s="287">
        <f>IF((J20-I20)&gt;0, (J20-I20),0)*$D5*('Cost per Cell'!$O6+'Cost per Cell'!$O7)</f>
        <v>0</v>
      </c>
      <c r="K42" s="287">
        <f>IF((K20-J20)&gt;0, (K20-J20),0)*$D5*('Cost per Cell'!$O6+'Cost per Cell'!$O7)</f>
        <v>700000</v>
      </c>
      <c r="L42" s="287">
        <f>IF((L20-K20)&gt;0, (L20-K20),0)*$D5*('Cost per Cell'!$O6+'Cost per Cell'!$O7)</f>
        <v>2800000</v>
      </c>
      <c r="M42" s="287">
        <f>IF((M20-L20)&gt;0, (M20-L20),0)*$D5*('Cost per Cell'!$O6+'Cost per Cell'!$O7)</f>
        <v>3500000</v>
      </c>
      <c r="N42" s="287">
        <f>IF((N20-M20)&gt;0, (N20-M20),0)*$D5*('Cost per Cell'!$O6+'Cost per Cell'!$O7)</f>
        <v>3499999.9999999991</v>
      </c>
      <c r="O42" s="287">
        <f>IF((O20-N20)&gt;0, (O20-N20),0)*$D5*('Cost per Cell'!$O6+'Cost per Cell'!$O7)</f>
        <v>3500000.0000000014</v>
      </c>
      <c r="P42" s="291">
        <f>IF((P20-O20)&gt;0, (P20-O20),0)*$D5*('Cost per Cell'!$O6+'Cost per Cell'!$O7)</f>
        <v>3499999.9999999991</v>
      </c>
    </row>
    <row r="43" spans="1:18" ht="15.75" thickBot="1" x14ac:dyDescent="0.3">
      <c r="A43" s="330"/>
      <c r="D43" s="417"/>
      <c r="G43" s="369" t="s">
        <v>129</v>
      </c>
      <c r="H43" s="287"/>
      <c r="I43" s="287">
        <f>IF((I21-H21)&gt;0, (I21-H21),0)*$D5*('Cost per Cell'!$I6+'Cost per Cell'!$I7)</f>
        <v>0</v>
      </c>
      <c r="J43" s="287">
        <f>IF((J21-I21)&gt;0, (J21-I21),0)*$D5*('Cost per Cell'!$I6+'Cost per Cell'!$I7)</f>
        <v>0</v>
      </c>
      <c r="K43" s="287">
        <f>IF((K21-J21)&gt;0, (K21-J21),0)*$D5*('Cost per Cell'!$I6+'Cost per Cell'!$I7)</f>
        <v>0</v>
      </c>
      <c r="L43" s="287">
        <f>IF((L21-K21)&gt;0, (L21-K21),0)*$D5*('Cost per Cell'!$I6+'Cost per Cell'!$I7)</f>
        <v>0</v>
      </c>
      <c r="M43" s="287">
        <f>IF((M21-L21)&gt;0, (M21-L21),0)*$D5*('Cost per Cell'!$I6+'Cost per Cell'!$I7)</f>
        <v>0</v>
      </c>
      <c r="N43" s="287">
        <f>IF((N21-M21)&gt;0, (N21-M21),0)*$D5*('Cost per Cell'!$I6+'Cost per Cell'!$I7)</f>
        <v>0</v>
      </c>
      <c r="O43" s="287">
        <f>IF((O21-N21)&gt;0, (O21-N21),0)*$D5*('Cost per Cell'!$I6+'Cost per Cell'!$I7)</f>
        <v>0</v>
      </c>
      <c r="P43" s="291">
        <f>IF((P21-O21)&gt;0, (P21-O21),0)*$D5*('Cost per Cell'!$I6+'Cost per Cell'!$I7)</f>
        <v>0</v>
      </c>
    </row>
    <row r="44" spans="1:18" ht="15" customHeight="1" x14ac:dyDescent="0.25">
      <c r="A44" s="330"/>
      <c r="G44" s="368" t="s">
        <v>47</v>
      </c>
      <c r="H44" s="287"/>
      <c r="I44" s="287"/>
      <c r="J44" s="287"/>
      <c r="K44" s="287"/>
      <c r="L44" s="287"/>
      <c r="M44" s="287"/>
      <c r="N44" s="287"/>
      <c r="O44" s="287"/>
      <c r="P44" s="291"/>
      <c r="Q44" s="354"/>
      <c r="R44" s="354"/>
    </row>
    <row r="45" spans="1:18" x14ac:dyDescent="0.25">
      <c r="A45" s="330"/>
      <c r="G45" s="370" t="s">
        <v>269</v>
      </c>
      <c r="H45" s="287">
        <f>$D4*H16*SUM('Cost per Cell'!$M11:$M14)*12</f>
        <v>1014816000</v>
      </c>
      <c r="I45" s="287">
        <f>$D4*I16*SUM('Cost per Cell'!$M11:$M14)*12</f>
        <v>1141668000</v>
      </c>
      <c r="J45" s="287">
        <f>$D4*J16*SUM('Cost per Cell'!$M11:$M14)*12</f>
        <v>1268520000</v>
      </c>
      <c r="K45" s="287">
        <f>$D4*K16*SUM('Cost per Cell'!$M11:$M14)*12</f>
        <v>1344631200</v>
      </c>
      <c r="L45" s="287">
        <f>$D4*L16*SUM('Cost per Cell'!$M11:$M14)*12</f>
        <v>1408057200</v>
      </c>
      <c r="M45" s="287">
        <f>$D4*M16*SUM('Cost per Cell'!$M11:$M14)*12</f>
        <v>1471483200.0000005</v>
      </c>
      <c r="N45" s="287">
        <f>$D4*N16*SUM('Cost per Cell'!$M11:$M14)*12</f>
        <v>1522224000.0000005</v>
      </c>
      <c r="O45" s="287">
        <f>$D4*O16*SUM('Cost per Cell'!$M11:$M14)*12</f>
        <v>1725187200</v>
      </c>
      <c r="P45" s="291">
        <f>$D4*P16*SUM('Cost per Cell'!$M11:$M14)*12</f>
        <v>1775928000</v>
      </c>
      <c r="Q45" s="354"/>
      <c r="R45" s="354"/>
    </row>
    <row r="46" spans="1:18" x14ac:dyDescent="0.25">
      <c r="A46" s="330"/>
      <c r="G46" s="370" t="s">
        <v>270</v>
      </c>
      <c r="H46" s="287">
        <f>$D4*H17*SUM('Cost per Cell'!$M11:$M14)*12</f>
        <v>380556000</v>
      </c>
      <c r="I46" s="287">
        <f>$D4*I17*SUM('Cost per Cell'!$M11:$M14)*12</f>
        <v>407194920</v>
      </c>
      <c r="J46" s="287">
        <f>$D4*J17*SUM('Cost per Cell'!$M11:$M14)*12</f>
        <v>435698564.40000004</v>
      </c>
      <c r="K46" s="287">
        <f>$D4*K17*SUM('Cost per Cell'!$M11:$M14)*12</f>
        <v>466197463.90800011</v>
      </c>
      <c r="L46" s="287">
        <f>$D4*L17*SUM('Cost per Cell'!$M11:$M14)*12</f>
        <v>498831286.38156021</v>
      </c>
      <c r="M46" s="287">
        <f>$D4*M17*SUM('Cost per Cell'!$M11:$M14)*12</f>
        <v>533749476.42826939</v>
      </c>
      <c r="N46" s="287">
        <f>$D4*N17*SUM('Cost per Cell'!$M11:$M14)*12</f>
        <v>571111939.77824831</v>
      </c>
      <c r="O46" s="287">
        <f>$D4*O17*SUM('Cost per Cell'!$M11:$M14)*12</f>
        <v>611089775.56272578</v>
      </c>
      <c r="P46" s="291">
        <f>$D4*P17*SUM('Cost per Cell'!$M11:$M14)*12</f>
        <v>653866059.85211647</v>
      </c>
      <c r="Q46" s="354"/>
      <c r="R46" s="354"/>
    </row>
    <row r="47" spans="1:18" x14ac:dyDescent="0.25">
      <c r="A47" s="330"/>
      <c r="G47" s="370" t="s">
        <v>271</v>
      </c>
      <c r="H47" s="287">
        <f>$D4*H18*SUM('Cost per Cell'!$E11:$E14)*12</f>
        <v>0</v>
      </c>
      <c r="I47" s="287">
        <f>$D4*I18*SUM('Cost per Cell'!$E11:$E14)*12</f>
        <v>0</v>
      </c>
      <c r="J47" s="287">
        <f>$D4*J18*SUM('Cost per Cell'!$E11:$E14)*12</f>
        <v>0</v>
      </c>
      <c r="K47" s="287">
        <f>$D4*K18*SUM('Cost per Cell'!$E11:$E14)*12</f>
        <v>63705000</v>
      </c>
      <c r="L47" s="287">
        <f>$D4*L18*SUM('Cost per Cell'!$E11:$E14)*12</f>
        <v>127410000</v>
      </c>
      <c r="M47" s="287">
        <f>$D4*M18*SUM('Cost per Cell'!$E11:$E14)*12</f>
        <v>254820000</v>
      </c>
      <c r="N47" s="287">
        <f>$D4*N18*SUM('Cost per Cell'!$E11:$E14)*12</f>
        <v>382230000</v>
      </c>
      <c r="O47" s="287">
        <f>$D4*O18*SUM('Cost per Cell'!$E11:$E14)*12</f>
        <v>445935000</v>
      </c>
      <c r="P47" s="291">
        <f>$D4*P18*SUM('Cost per Cell'!$E11:$E14)*12</f>
        <v>509640000</v>
      </c>
      <c r="Q47" s="354"/>
      <c r="R47" s="354"/>
    </row>
    <row r="48" spans="1:18" x14ac:dyDescent="0.25">
      <c r="A48" s="330"/>
      <c r="G48" s="371" t="s">
        <v>255</v>
      </c>
      <c r="H48" s="287">
        <f>$D5*H19*SUM('Cost per Cell'!$O11:$O14)*12</f>
        <v>3081600</v>
      </c>
      <c r="I48" s="287">
        <f>$D5*I19*SUM('Cost per Cell'!$O11:$O14)*12</f>
        <v>6163200</v>
      </c>
      <c r="J48" s="287">
        <f>$D5*J19*SUM('Cost per Cell'!$O11:$O14)*12</f>
        <v>9244800</v>
      </c>
      <c r="K48" s="287">
        <f>$D5*K19*SUM('Cost per Cell'!$O11:$O14)*12</f>
        <v>9244800</v>
      </c>
      <c r="L48" s="287">
        <f>$D5*L19*SUM('Cost per Cell'!$O11:$O14)*12</f>
        <v>7704000</v>
      </c>
      <c r="M48" s="287">
        <f>$D5*M19*SUM('Cost per Cell'!$O11:$O14)*12</f>
        <v>6163200</v>
      </c>
      <c r="N48" s="287">
        <f>$D5*N19*SUM('Cost per Cell'!$O11:$O14)*12</f>
        <v>3081600</v>
      </c>
      <c r="O48" s="287">
        <f>$D5*O19*SUM('Cost per Cell'!$O11:$O14)*12</f>
        <v>0</v>
      </c>
      <c r="P48" s="291">
        <f>$D5*P19*SUM('Cost per Cell'!$O11:$O14)*12</f>
        <v>0</v>
      </c>
      <c r="Q48" s="354"/>
      <c r="R48" s="354"/>
    </row>
    <row r="49" spans="1:20" x14ac:dyDescent="0.25">
      <c r="A49" s="330"/>
      <c r="G49" s="371" t="s">
        <v>256</v>
      </c>
      <c r="H49" s="287">
        <f>$D5*H20*SUM('Cost per Cell'!$O11:$O14)*12</f>
        <v>0</v>
      </c>
      <c r="I49" s="287">
        <f>$D5*I20*SUM('Cost per Cell'!$O11:$O14)*12</f>
        <v>0</v>
      </c>
      <c r="J49" s="287">
        <f>$D5*J20*SUM('Cost per Cell'!$O11:$O14)*12</f>
        <v>0</v>
      </c>
      <c r="K49" s="287">
        <f>$D5*K20*SUM('Cost per Cell'!$O11:$O14)*12</f>
        <v>616320</v>
      </c>
      <c r="L49" s="287">
        <f>$D5*L20*SUM('Cost per Cell'!$O11:$O14)*12</f>
        <v>3081600</v>
      </c>
      <c r="M49" s="287">
        <f>$D5*M20*SUM('Cost per Cell'!$O11:$O14)*12</f>
        <v>6163200</v>
      </c>
      <c r="N49" s="287">
        <f>$D5*N20*SUM('Cost per Cell'!$O11:$O14)*12</f>
        <v>9244800</v>
      </c>
      <c r="O49" s="287">
        <f>$D5*O20*SUM('Cost per Cell'!$O11:$O14)*12</f>
        <v>12326400</v>
      </c>
      <c r="P49" s="291">
        <f>$D5*P20*SUM('Cost per Cell'!$O11:$O14)*12</f>
        <v>15408000</v>
      </c>
      <c r="Q49" s="354"/>
      <c r="R49" s="354"/>
    </row>
    <row r="50" spans="1:20" x14ac:dyDescent="0.25">
      <c r="A50" s="330"/>
      <c r="G50" s="369" t="s">
        <v>129</v>
      </c>
      <c r="H50" s="287">
        <f>$D5*H21*SUM('Cost per Cell'!$I11:$I14)*12</f>
        <v>205500</v>
      </c>
      <c r="I50" s="287">
        <f>$D5*I21*SUM('Cost per Cell'!$I11:$I14)*12</f>
        <v>205500</v>
      </c>
      <c r="J50" s="287">
        <f>$D5*J21*SUM('Cost per Cell'!$I11:$I14)*12</f>
        <v>205500</v>
      </c>
      <c r="K50" s="287">
        <f>$D5*K21*SUM('Cost per Cell'!$I11:$I14)*12</f>
        <v>205500</v>
      </c>
      <c r="L50" s="287">
        <f>$D5*L21*SUM('Cost per Cell'!$I11:$I14)*12</f>
        <v>205500</v>
      </c>
      <c r="M50" s="287">
        <f>$D5*M21*SUM('Cost per Cell'!$I11:$I14)*12</f>
        <v>205500</v>
      </c>
      <c r="N50" s="287">
        <f>$D5*N21*SUM('Cost per Cell'!$I11:$I14)*12</f>
        <v>205500</v>
      </c>
      <c r="O50" s="287">
        <f>$D5*O21*SUM('Cost per Cell'!$I11:$I14)*12</f>
        <v>205500</v>
      </c>
      <c r="P50" s="291">
        <f>$D5*P21*SUM('Cost per Cell'!$I11:$I14)*12</f>
        <v>205500</v>
      </c>
      <c r="Q50" s="354"/>
      <c r="R50" s="354"/>
    </row>
    <row r="51" spans="1:20" ht="15.75" thickBot="1" x14ac:dyDescent="0.3">
      <c r="A51" s="330"/>
      <c r="G51" s="376" t="s">
        <v>12</v>
      </c>
      <c r="H51" s="304">
        <f t="shared" ref="H51:P51" si="12">SUM(H34:H50)</f>
        <v>1539909100</v>
      </c>
      <c r="I51" s="304">
        <f t="shared" si="12"/>
        <v>4402460509.361702</v>
      </c>
      <c r="J51" s="304">
        <f t="shared" si="12"/>
        <v>1888014514.4000001</v>
      </c>
      <c r="K51" s="304">
        <f t="shared" si="12"/>
        <v>2111040129.408</v>
      </c>
      <c r="L51" s="304">
        <f t="shared" si="12"/>
        <v>2262227221.0665603</v>
      </c>
      <c r="M51" s="304">
        <f t="shared" si="12"/>
        <v>2601234345.5412197</v>
      </c>
      <c r="N51" s="304">
        <f t="shared" si="12"/>
        <v>2805485592.729105</v>
      </c>
      <c r="O51" s="304">
        <f t="shared" si="12"/>
        <v>3173907771.2201424</v>
      </c>
      <c r="P51" s="305">
        <f t="shared" si="12"/>
        <v>3169888928.2055521</v>
      </c>
      <c r="Q51" s="354"/>
      <c r="R51" s="354"/>
    </row>
    <row r="52" spans="1:20" x14ac:dyDescent="0.25">
      <c r="A52" s="330"/>
      <c r="G52" s="418"/>
      <c r="H52" s="354"/>
      <c r="I52" s="354"/>
      <c r="J52" s="354"/>
      <c r="K52" s="354"/>
      <c r="L52" s="354"/>
      <c r="M52" s="354"/>
      <c r="N52" s="354"/>
      <c r="O52" s="354"/>
      <c r="P52" s="354"/>
    </row>
    <row r="53" spans="1:20" ht="15.75" thickBot="1" x14ac:dyDescent="0.3">
      <c r="G53" s="354"/>
      <c r="H53" s="354"/>
      <c r="I53" s="354"/>
      <c r="J53" s="354"/>
      <c r="K53" s="354"/>
      <c r="L53" s="354"/>
      <c r="M53" s="354"/>
      <c r="N53" s="354"/>
      <c r="O53" s="354"/>
      <c r="P53" s="354"/>
    </row>
    <row r="54" spans="1:20" x14ac:dyDescent="0.25">
      <c r="G54" s="347" t="s">
        <v>100</v>
      </c>
      <c r="H54" s="348" t="s">
        <v>8</v>
      </c>
      <c r="I54" s="348" t="s">
        <v>0</v>
      </c>
      <c r="J54" s="348" t="s">
        <v>1</v>
      </c>
      <c r="K54" s="348" t="s">
        <v>2</v>
      </c>
      <c r="L54" s="348" t="s">
        <v>3</v>
      </c>
      <c r="M54" s="348" t="s">
        <v>4</v>
      </c>
      <c r="N54" s="348" t="s">
        <v>5</v>
      </c>
      <c r="O54" s="348" t="s">
        <v>6</v>
      </c>
      <c r="P54" s="349" t="s">
        <v>7</v>
      </c>
      <c r="Q54" s="354"/>
      <c r="R54" s="354"/>
    </row>
    <row r="55" spans="1:20" x14ac:dyDescent="0.25">
      <c r="G55" s="377" t="s">
        <v>16</v>
      </c>
      <c r="H55" s="378">
        <f t="shared" ref="H55:P55" si="13">H56/H12/12</f>
        <v>23.534370719027716</v>
      </c>
      <c r="I55" s="378">
        <f t="shared" si="13"/>
        <v>23.534370719027716</v>
      </c>
      <c r="J55" s="378">
        <f t="shared" si="13"/>
        <v>23.543422400073496</v>
      </c>
      <c r="K55" s="378">
        <f t="shared" si="13"/>
        <v>23.44569498633734</v>
      </c>
      <c r="L55" s="378">
        <f t="shared" si="13"/>
        <v>23.356688181296608</v>
      </c>
      <c r="M55" s="378">
        <f t="shared" si="13"/>
        <v>23.276001440306672</v>
      </c>
      <c r="N55" s="378">
        <f t="shared" si="13"/>
        <v>23.203263935805712</v>
      </c>
      <c r="O55" s="378">
        <f t="shared" si="13"/>
        <v>23.138131966863103</v>
      </c>
      <c r="P55" s="379">
        <f t="shared" si="13"/>
        <v>23.080286636945942</v>
      </c>
      <c r="Q55" s="354"/>
      <c r="R55" s="354"/>
    </row>
    <row r="56" spans="1:20" ht="15.75" thickBot="1" x14ac:dyDescent="0.3">
      <c r="G56" s="380" t="s">
        <v>263</v>
      </c>
      <c r="H56" s="419">
        <f>(6.7*10^9)*1.2</f>
        <v>8040000000</v>
      </c>
      <c r="I56" s="419">
        <f>H56*1.02</f>
        <v>8200800000</v>
      </c>
      <c r="J56" s="419">
        <f>I56*1.02</f>
        <v>8364816000</v>
      </c>
      <c r="K56" s="419">
        <f>J56*1.015</f>
        <v>8490288239.999999</v>
      </c>
      <c r="L56" s="419">
        <f t="shared" ref="L56:P56" si="14">K56*1.015</f>
        <v>8617642563.5999985</v>
      </c>
      <c r="M56" s="419">
        <f t="shared" si="14"/>
        <v>8746907202.053997</v>
      </c>
      <c r="N56" s="419">
        <f t="shared" si="14"/>
        <v>8878110810.0848064</v>
      </c>
      <c r="O56" s="419">
        <f t="shared" si="14"/>
        <v>9011282472.2360783</v>
      </c>
      <c r="P56" s="420">
        <f t="shared" si="14"/>
        <v>9146451709.3196182</v>
      </c>
      <c r="Q56" s="354"/>
      <c r="R56" s="354"/>
    </row>
    <row r="57" spans="1:20" x14ac:dyDescent="0.25">
      <c r="G57" s="354"/>
      <c r="H57" s="354"/>
      <c r="I57" s="354"/>
      <c r="J57" s="354"/>
      <c r="K57" s="354"/>
      <c r="L57" s="354"/>
      <c r="M57" s="354"/>
      <c r="N57" s="354"/>
      <c r="O57" s="354"/>
      <c r="P57" s="354"/>
      <c r="Q57" s="374"/>
      <c r="R57" s="374"/>
      <c r="S57" s="374"/>
      <c r="T57" s="374"/>
    </row>
    <row r="58" spans="1:20" ht="15.75" thickBot="1" x14ac:dyDescent="0.3">
      <c r="G58" s="354"/>
      <c r="H58" s="354"/>
      <c r="I58" s="354"/>
      <c r="J58" s="354"/>
      <c r="K58" s="354"/>
      <c r="L58" s="354"/>
      <c r="M58" s="354"/>
      <c r="N58" s="354"/>
      <c r="O58" s="354"/>
      <c r="P58" s="354"/>
      <c r="Q58" s="354"/>
      <c r="R58" s="354"/>
    </row>
    <row r="59" spans="1:20" x14ac:dyDescent="0.25">
      <c r="G59" s="347" t="s">
        <v>105</v>
      </c>
      <c r="H59" s="348" t="s">
        <v>8</v>
      </c>
      <c r="I59" s="348" t="s">
        <v>0</v>
      </c>
      <c r="J59" s="348" t="s">
        <v>1</v>
      </c>
      <c r="K59" s="348" t="s">
        <v>2</v>
      </c>
      <c r="L59" s="348" t="s">
        <v>3</v>
      </c>
      <c r="M59" s="348" t="s">
        <v>4</v>
      </c>
      <c r="N59" s="348" t="s">
        <v>5</v>
      </c>
      <c r="O59" s="348" t="s">
        <v>6</v>
      </c>
      <c r="P59" s="349" t="s">
        <v>7</v>
      </c>
      <c r="Q59" s="354"/>
      <c r="R59" s="354"/>
    </row>
    <row r="60" spans="1:20" x14ac:dyDescent="0.25">
      <c r="G60" s="377" t="s">
        <v>107</v>
      </c>
      <c r="H60" s="374">
        <f t="shared" ref="H60:P60" si="15">+H56</f>
        <v>8040000000</v>
      </c>
      <c r="I60" s="374">
        <f t="shared" si="15"/>
        <v>8200800000</v>
      </c>
      <c r="J60" s="374">
        <f t="shared" si="15"/>
        <v>8364816000</v>
      </c>
      <c r="K60" s="374">
        <f t="shared" si="15"/>
        <v>8490288239.999999</v>
      </c>
      <c r="L60" s="374">
        <f t="shared" si="15"/>
        <v>8617642563.5999985</v>
      </c>
      <c r="M60" s="374">
        <f t="shared" si="15"/>
        <v>8746907202.053997</v>
      </c>
      <c r="N60" s="374">
        <f t="shared" si="15"/>
        <v>8878110810.0848064</v>
      </c>
      <c r="O60" s="374">
        <f t="shared" si="15"/>
        <v>9011282472.2360783</v>
      </c>
      <c r="P60" s="421">
        <f t="shared" si="15"/>
        <v>9146451709.3196182</v>
      </c>
      <c r="Q60" s="354"/>
      <c r="R60" s="354"/>
    </row>
    <row r="61" spans="1:20" x14ac:dyDescent="0.25">
      <c r="G61" s="377" t="s">
        <v>59</v>
      </c>
      <c r="H61" s="374">
        <f t="shared" ref="H61:P61" si="16">H51</f>
        <v>1539909100</v>
      </c>
      <c r="I61" s="374">
        <f t="shared" si="16"/>
        <v>4402460509.361702</v>
      </c>
      <c r="J61" s="374">
        <f t="shared" si="16"/>
        <v>1888014514.4000001</v>
      </c>
      <c r="K61" s="374">
        <f t="shared" si="16"/>
        <v>2111040129.408</v>
      </c>
      <c r="L61" s="374">
        <f t="shared" si="16"/>
        <v>2262227221.0665603</v>
      </c>
      <c r="M61" s="374">
        <f t="shared" si="16"/>
        <v>2601234345.5412197</v>
      </c>
      <c r="N61" s="374">
        <f t="shared" si="16"/>
        <v>2805485592.729105</v>
      </c>
      <c r="O61" s="374">
        <f t="shared" si="16"/>
        <v>3173907771.2201424</v>
      </c>
      <c r="P61" s="421">
        <f t="shared" si="16"/>
        <v>3169888928.2055521</v>
      </c>
      <c r="Q61" s="354"/>
      <c r="R61" s="354"/>
    </row>
    <row r="62" spans="1:20" x14ac:dyDescent="0.25">
      <c r="G62" s="377" t="s">
        <v>257</v>
      </c>
      <c r="H62" s="374">
        <f>H60*0.25</f>
        <v>2010000000</v>
      </c>
      <c r="I62" s="374">
        <f t="shared" ref="I62:P62" si="17">I60*0.25</f>
        <v>2050200000</v>
      </c>
      <c r="J62" s="374">
        <f t="shared" si="17"/>
        <v>2091204000</v>
      </c>
      <c r="K62" s="374">
        <f t="shared" si="17"/>
        <v>2122572059.9999998</v>
      </c>
      <c r="L62" s="374">
        <f t="shared" si="17"/>
        <v>2154410640.8999996</v>
      </c>
      <c r="M62" s="374">
        <f t="shared" si="17"/>
        <v>2186726800.5134993</v>
      </c>
      <c r="N62" s="374">
        <f t="shared" si="17"/>
        <v>2219527702.5212016</v>
      </c>
      <c r="O62" s="374">
        <f t="shared" si="17"/>
        <v>2252820618.0590196</v>
      </c>
      <c r="P62" s="421">
        <f t="shared" si="17"/>
        <v>2286612927.3299046</v>
      </c>
      <c r="R62" s="354"/>
    </row>
    <row r="63" spans="1:20" ht="15.75" thickBot="1" x14ac:dyDescent="0.3">
      <c r="G63" s="380" t="s">
        <v>9</v>
      </c>
      <c r="H63" s="422">
        <f t="shared" ref="H63:P63" si="18">H60-H62-H61</f>
        <v>4490090900</v>
      </c>
      <c r="I63" s="419">
        <f t="shared" si="18"/>
        <v>1748139490.638298</v>
      </c>
      <c r="J63" s="419">
        <f t="shared" si="18"/>
        <v>4385597485.6000004</v>
      </c>
      <c r="K63" s="419">
        <f t="shared" si="18"/>
        <v>4256676050.5919991</v>
      </c>
      <c r="L63" s="419">
        <f t="shared" si="18"/>
        <v>4201004701.6334386</v>
      </c>
      <c r="M63" s="419">
        <f t="shared" si="18"/>
        <v>3958946055.9992781</v>
      </c>
      <c r="N63" s="419">
        <f t="shared" si="18"/>
        <v>3853097514.8344994</v>
      </c>
      <c r="O63" s="419">
        <f t="shared" si="18"/>
        <v>3584554082.9569168</v>
      </c>
      <c r="P63" s="420">
        <f t="shared" si="18"/>
        <v>3689949853.7841616</v>
      </c>
      <c r="Q63" s="354"/>
      <c r="R63" s="354"/>
    </row>
    <row r="64" spans="1:20" ht="15.75" thickBot="1" x14ac:dyDescent="0.3">
      <c r="G64" s="354"/>
      <c r="H64" s="354"/>
      <c r="I64" s="354"/>
      <c r="J64" s="354"/>
      <c r="K64" s="354"/>
      <c r="L64" s="354"/>
      <c r="M64" s="354"/>
      <c r="N64" s="354"/>
      <c r="O64" s="354"/>
      <c r="P64" s="354"/>
      <c r="Q64" s="354"/>
      <c r="R64" s="354"/>
    </row>
    <row r="65" spans="7:18" x14ac:dyDescent="0.25">
      <c r="G65" s="385" t="s">
        <v>108</v>
      </c>
      <c r="H65" s="386">
        <f>NPV(0.1,H63:P63)</f>
        <v>21786558904.339985</v>
      </c>
      <c r="I65" s="354"/>
      <c r="J65" s="354"/>
      <c r="K65" s="354"/>
      <c r="L65" s="354"/>
      <c r="M65" s="354"/>
      <c r="N65" s="354"/>
      <c r="O65" s="354"/>
      <c r="P65" s="354"/>
      <c r="Q65" s="354"/>
      <c r="R65" s="354"/>
    </row>
    <row r="66" spans="7:18" ht="15.75" thickBot="1" x14ac:dyDescent="0.3">
      <c r="G66" s="387" t="s">
        <v>109</v>
      </c>
      <c r="H66" s="388" t="str">
        <f>IFERROR(IRR(H63:P63,-99%), "N/A")</f>
        <v>N/A</v>
      </c>
      <c r="I66" s="354"/>
      <c r="J66" s="354"/>
      <c r="K66" s="354"/>
      <c r="L66" s="354"/>
      <c r="M66" s="354"/>
      <c r="N66" s="354"/>
      <c r="O66" s="354"/>
      <c r="P66" s="354"/>
      <c r="Q66" s="354"/>
      <c r="R66" s="354"/>
    </row>
    <row r="67" spans="7:18" x14ac:dyDescent="0.25">
      <c r="G67" s="354"/>
      <c r="H67" s="354"/>
      <c r="I67" s="354"/>
      <c r="J67" s="354"/>
      <c r="K67" s="354"/>
      <c r="L67" s="354"/>
      <c r="M67" s="354"/>
      <c r="N67" s="354"/>
      <c r="O67" s="354"/>
      <c r="P67" s="354"/>
      <c r="Q67" s="354"/>
      <c r="R67" s="354"/>
    </row>
    <row r="68" spans="7:18" x14ac:dyDescent="0.25">
      <c r="G68" s="423" t="s">
        <v>264</v>
      </c>
      <c r="H68" s="423"/>
      <c r="I68" s="354"/>
      <c r="J68" s="354"/>
      <c r="K68" s="354"/>
      <c r="L68" s="354"/>
      <c r="M68" s="354"/>
      <c r="N68" s="354"/>
      <c r="O68" s="354"/>
      <c r="P68" s="354"/>
      <c r="Q68" s="354"/>
    </row>
    <row r="69" spans="7:18" x14ac:dyDescent="0.25">
      <c r="Q69" s="354"/>
      <c r="R69" s="354"/>
    </row>
    <row r="70" spans="7:18" x14ac:dyDescent="0.25">
      <c r="Q70" s="354"/>
      <c r="R70" s="354"/>
    </row>
    <row r="71" spans="7:18" x14ac:dyDescent="0.25">
      <c r="Q71" s="354"/>
      <c r="R71" s="354"/>
    </row>
    <row r="72" spans="7:18" x14ac:dyDescent="0.25">
      <c r="Q72" s="354"/>
      <c r="R72" s="354"/>
    </row>
    <row r="73" spans="7:18" x14ac:dyDescent="0.25">
      <c r="Q73" s="354"/>
      <c r="R73" s="354"/>
    </row>
    <row r="74" spans="7:18" x14ac:dyDescent="0.25">
      <c r="Q74" s="354"/>
      <c r="R74" s="354"/>
    </row>
    <row r="75" spans="7:18" x14ac:dyDescent="0.25">
      <c r="Q75" s="354"/>
      <c r="R75" s="354"/>
    </row>
    <row r="76" spans="7:18" x14ac:dyDescent="0.25">
      <c r="Q76" s="354"/>
      <c r="R76" s="354"/>
    </row>
    <row r="77" spans="7:18" x14ac:dyDescent="0.25">
      <c r="Q77" s="354"/>
      <c r="R77" s="354"/>
    </row>
    <row r="78" spans="7:18" x14ac:dyDescent="0.25">
      <c r="Q78" s="354"/>
    </row>
    <row r="79" spans="7:18" x14ac:dyDescent="0.25">
      <c r="Q79" s="354"/>
      <c r="R79" s="354"/>
    </row>
    <row r="80" spans="7:18" x14ac:dyDescent="0.25">
      <c r="Q80" s="354"/>
      <c r="R80" s="354"/>
    </row>
  </sheetData>
  <sheetProtection algorithmName="SHA-512" hashValue="GAu3MbDN9XSOvMWZCCTGQXOu5RArmU+GkPp0xrHYAiiCAPBDBdcNCarVINlwgtpU9/H4WhRkSlFRFRNYV57L/w==" saltValue="l0IhG4bo3b9aeAHUawMgGA==" spinCount="100000" sheet="1" objects="1" scenarios="1"/>
  <protectedRanges>
    <protectedRange algorithmName="SHA-512" hashValue="sHvYYHwOqLs7LKd6AqyFeurLvbjdLvV/mTD+XPGMrJ0Fk56P1uwQrGNG+0KRgElFTlFPB/O3VKWha/jnysejbA==" saltValue="13yOTzXYe8qnIERoyy/Tag==" spinCount="100000" sqref="G9:P21" name="Range2"/>
    <protectedRange algorithmName="SHA-512" hashValue="PUXVKBEKqxoV/TQ18NBrn00BwFLIqHA8ECxyZGHZzvkPX8OVrBTsZkn83Z/A9IL3qRfp3c19JrbVExeAYzWXdw==" saltValue="wWhQhlYfZpyoyLL91uRB7w==" spinCount="100000" sqref="B4:D32" name="Range1"/>
  </protectedRanges>
  <conditionalFormatting sqref="A1:XFD1048576">
    <cfRule type="expression" dxfId="0" priority="1">
      <formula>"a1&lt;0"</formula>
    </cfRule>
  </conditionalFormatting>
  <pageMargins left="0.7" right="0.7" top="0.75" bottom="0.75" header="0.3" footer="0.3"/>
  <pageSetup orientation="portrait" horizontalDpi="4294967293"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8"/>
  <sheetViews>
    <sheetView zoomScaleNormal="100" workbookViewId="0">
      <selection activeCell="F28" sqref="F28"/>
    </sheetView>
  </sheetViews>
  <sheetFormatPr defaultColWidth="9.140625" defaultRowHeight="15" x14ac:dyDescent="0.25"/>
  <cols>
    <col min="1" max="1" width="9.140625" style="49"/>
    <col min="2" max="2" width="33.85546875" style="49" customWidth="1"/>
    <col min="3" max="3" width="15.7109375" style="49" customWidth="1"/>
    <col min="4" max="4" width="35.7109375" style="49" customWidth="1"/>
    <col min="5" max="5" width="15.7109375" style="49" customWidth="1"/>
    <col min="6" max="8" width="35.7109375" style="49" customWidth="1"/>
    <col min="9" max="9" width="15.5703125" style="49" bestFit="1" customWidth="1"/>
    <col min="10" max="10" width="32.5703125" style="49" customWidth="1"/>
    <col min="11" max="11" width="15.5703125" style="49" bestFit="1" customWidth="1"/>
    <col min="12" max="12" width="32.5703125" style="49" customWidth="1"/>
    <col min="13" max="13" width="15.5703125" style="49" bestFit="1" customWidth="1"/>
    <col min="14" max="14" width="32.5703125" style="49" customWidth="1"/>
    <col min="15" max="15" width="15.5703125" style="49" bestFit="1" customWidth="1"/>
    <col min="16" max="16" width="32.5703125" style="49" customWidth="1"/>
    <col min="17" max="16384" width="9.140625" style="49"/>
  </cols>
  <sheetData>
    <row r="1" spans="1:16" ht="15.75" thickBot="1" x14ac:dyDescent="0.3">
      <c r="A1" s="4"/>
    </row>
    <row r="2" spans="1:16" ht="15.75" thickBot="1" x14ac:dyDescent="0.3">
      <c r="B2" s="100"/>
      <c r="C2" s="15" t="s">
        <v>254</v>
      </c>
      <c r="D2" s="20"/>
      <c r="E2" s="15" t="s">
        <v>163</v>
      </c>
      <c r="F2" s="20"/>
      <c r="G2" s="15" t="s">
        <v>164</v>
      </c>
      <c r="H2" s="20"/>
      <c r="I2" s="15" t="s">
        <v>165</v>
      </c>
      <c r="J2" s="20"/>
      <c r="K2" s="16" t="s">
        <v>258</v>
      </c>
      <c r="L2" s="101"/>
      <c r="M2" s="16" t="s">
        <v>166</v>
      </c>
      <c r="N2" s="101"/>
      <c r="O2" s="102" t="s">
        <v>167</v>
      </c>
      <c r="P2" s="101"/>
    </row>
    <row r="3" spans="1:16" x14ac:dyDescent="0.25">
      <c r="B3" s="103" t="s">
        <v>168</v>
      </c>
      <c r="C3" s="104"/>
      <c r="D3" s="105"/>
      <c r="E3" s="104"/>
      <c r="F3" s="105"/>
      <c r="G3" s="104"/>
      <c r="H3" s="105"/>
      <c r="I3" s="106"/>
      <c r="J3" s="105"/>
      <c r="K3" s="107"/>
      <c r="L3" s="53"/>
      <c r="M3" s="107"/>
      <c r="N3" s="53"/>
      <c r="O3" s="108"/>
      <c r="P3" s="53"/>
    </row>
    <row r="4" spans="1:16" x14ac:dyDescent="0.25">
      <c r="B4" s="109" t="s">
        <v>169</v>
      </c>
      <c r="C4" s="110">
        <v>0.2</v>
      </c>
      <c r="D4" s="111" t="s">
        <v>170</v>
      </c>
      <c r="E4" s="110">
        <v>0.8</v>
      </c>
      <c r="F4" s="111" t="s">
        <v>170</v>
      </c>
      <c r="G4" s="110">
        <v>0.2</v>
      </c>
      <c r="H4" s="111" t="s">
        <v>170</v>
      </c>
      <c r="I4" s="221">
        <v>5.5364741641337391E-3</v>
      </c>
      <c r="J4" s="111" t="s">
        <v>171</v>
      </c>
      <c r="K4" s="112">
        <v>1.75</v>
      </c>
      <c r="L4" s="57"/>
      <c r="M4" s="112">
        <v>1.75</v>
      </c>
      <c r="N4" s="57"/>
      <c r="O4" s="113">
        <v>0</v>
      </c>
      <c r="P4" s="57"/>
    </row>
    <row r="5" spans="1:16" x14ac:dyDescent="0.25">
      <c r="B5" s="109" t="s">
        <v>172</v>
      </c>
      <c r="C5" s="114">
        <v>235500</v>
      </c>
      <c r="D5" s="111" t="s">
        <v>173</v>
      </c>
      <c r="E5" s="114">
        <v>942000</v>
      </c>
      <c r="F5" s="111" t="s">
        <v>173</v>
      </c>
      <c r="G5" s="114">
        <v>182371.20000000007</v>
      </c>
      <c r="H5" s="111" t="s">
        <v>174</v>
      </c>
      <c r="I5" s="115">
        <v>52153.586626139826</v>
      </c>
      <c r="J5" s="111" t="s">
        <v>272</v>
      </c>
      <c r="K5" s="116">
        <v>824250</v>
      </c>
      <c r="L5" s="57" t="s">
        <v>175</v>
      </c>
      <c r="M5" s="116">
        <v>824250</v>
      </c>
      <c r="N5" s="57" t="s">
        <v>175</v>
      </c>
      <c r="O5" s="117">
        <v>0</v>
      </c>
      <c r="P5" s="57" t="s">
        <v>176</v>
      </c>
    </row>
    <row r="6" spans="1:16" x14ac:dyDescent="0.25">
      <c r="B6" s="109" t="s">
        <v>177</v>
      </c>
      <c r="C6" s="178">
        <v>70000</v>
      </c>
      <c r="D6" s="111" t="s">
        <v>247</v>
      </c>
      <c r="E6" s="178">
        <v>60000</v>
      </c>
      <c r="F6" s="111" t="s">
        <v>247</v>
      </c>
      <c r="G6" s="178">
        <v>60000</v>
      </c>
      <c r="H6" s="111" t="s">
        <v>178</v>
      </c>
      <c r="I6" s="179">
        <v>70000</v>
      </c>
      <c r="J6" s="111" t="s">
        <v>244</v>
      </c>
      <c r="K6" s="116">
        <v>50000</v>
      </c>
      <c r="L6" s="57" t="s">
        <v>179</v>
      </c>
      <c r="M6" s="116">
        <v>35000</v>
      </c>
      <c r="N6" s="57" t="s">
        <v>259</v>
      </c>
      <c r="O6" s="117">
        <v>5000</v>
      </c>
      <c r="P6" s="57" t="s">
        <v>180</v>
      </c>
    </row>
    <row r="7" spans="1:16" x14ac:dyDescent="0.25">
      <c r="B7" s="109" t="s">
        <v>181</v>
      </c>
      <c r="C7" s="114">
        <v>10000</v>
      </c>
      <c r="D7" s="111"/>
      <c r="E7" s="114">
        <v>10000</v>
      </c>
      <c r="F7" s="111"/>
      <c r="G7" s="114">
        <v>10000</v>
      </c>
      <c r="H7" s="111"/>
      <c r="I7" s="115">
        <v>40000</v>
      </c>
      <c r="J7" s="111"/>
      <c r="K7" s="116">
        <v>10000</v>
      </c>
      <c r="L7" s="57"/>
      <c r="M7" s="116">
        <v>10000</v>
      </c>
      <c r="N7" s="57"/>
      <c r="O7" s="117">
        <v>2000</v>
      </c>
      <c r="P7" s="57"/>
    </row>
    <row r="8" spans="1:16" x14ac:dyDescent="0.25">
      <c r="B8" s="109"/>
      <c r="C8" s="114"/>
      <c r="D8" s="111"/>
      <c r="E8" s="114"/>
      <c r="F8" s="111"/>
      <c r="G8" s="114"/>
      <c r="H8" s="111"/>
      <c r="I8" s="118"/>
      <c r="J8" s="111"/>
      <c r="K8" s="111"/>
      <c r="L8" s="57"/>
      <c r="M8" s="111"/>
      <c r="N8" s="57"/>
      <c r="O8" s="56"/>
      <c r="P8" s="57"/>
    </row>
    <row r="9" spans="1:16" x14ac:dyDescent="0.25">
      <c r="B9" s="109" t="s">
        <v>182</v>
      </c>
      <c r="C9" s="114">
        <v>981.25</v>
      </c>
      <c r="D9" s="111" t="s">
        <v>183</v>
      </c>
      <c r="E9" s="114">
        <v>3925</v>
      </c>
      <c r="F9" s="111" t="s">
        <v>183</v>
      </c>
      <c r="G9" s="114">
        <v>759.88000000000022</v>
      </c>
      <c r="H9" s="111" t="s">
        <v>183</v>
      </c>
      <c r="I9" s="115">
        <v>217.30661094224925</v>
      </c>
      <c r="J9" s="111"/>
      <c r="K9" s="116">
        <v>3434.375</v>
      </c>
      <c r="L9" s="57"/>
      <c r="M9" s="116">
        <v>3434.375</v>
      </c>
      <c r="N9" s="57"/>
      <c r="O9" s="117">
        <v>0</v>
      </c>
      <c r="P9" s="57"/>
    </row>
    <row r="10" spans="1:16" x14ac:dyDescent="0.25">
      <c r="B10" s="109" t="s">
        <v>184</v>
      </c>
      <c r="C10" s="114">
        <v>1166.6666666666667</v>
      </c>
      <c r="D10" s="111" t="s">
        <v>185</v>
      </c>
      <c r="E10" s="114">
        <v>1000</v>
      </c>
      <c r="F10" s="111" t="s">
        <v>185</v>
      </c>
      <c r="G10" s="114">
        <v>1000</v>
      </c>
      <c r="H10" s="111" t="s">
        <v>185</v>
      </c>
      <c r="I10" s="115">
        <v>1166.6666666666667</v>
      </c>
      <c r="J10" s="111"/>
      <c r="K10" s="116">
        <v>833.33333333333337</v>
      </c>
      <c r="L10" s="57"/>
      <c r="M10" s="116">
        <v>583.33333333333337</v>
      </c>
      <c r="N10" s="57"/>
      <c r="O10" s="117">
        <v>83.333333333333329</v>
      </c>
      <c r="P10" s="57"/>
    </row>
    <row r="11" spans="1:16" x14ac:dyDescent="0.25">
      <c r="B11" s="109" t="s">
        <v>186</v>
      </c>
      <c r="C11" s="114">
        <v>360</v>
      </c>
      <c r="D11" s="111"/>
      <c r="E11" s="114">
        <v>360</v>
      </c>
      <c r="F11" s="111"/>
      <c r="G11" s="114">
        <v>360</v>
      </c>
      <c r="H11" s="111"/>
      <c r="I11" s="115">
        <v>360</v>
      </c>
      <c r="J11" s="111"/>
      <c r="K11" s="116">
        <v>360</v>
      </c>
      <c r="L11" s="57"/>
      <c r="M11" s="116">
        <v>360</v>
      </c>
      <c r="N11" s="57"/>
      <c r="O11" s="117">
        <v>3.5999999999999996</v>
      </c>
      <c r="P11" s="57"/>
    </row>
    <row r="12" spans="1:16" x14ac:dyDescent="0.25">
      <c r="B12" s="109" t="s">
        <v>187</v>
      </c>
      <c r="C12" s="114">
        <v>2000</v>
      </c>
      <c r="D12" s="111"/>
      <c r="E12" s="114">
        <v>2000</v>
      </c>
      <c r="F12" s="111"/>
      <c r="G12" s="114">
        <v>2000</v>
      </c>
      <c r="H12" s="111"/>
      <c r="I12" s="115">
        <v>2000</v>
      </c>
      <c r="J12" s="111"/>
      <c r="K12" s="116">
        <v>2000</v>
      </c>
      <c r="L12" s="57"/>
      <c r="M12" s="116">
        <v>2000</v>
      </c>
      <c r="N12" s="57"/>
      <c r="O12" s="117">
        <v>100</v>
      </c>
      <c r="P12" s="57" t="s">
        <v>188</v>
      </c>
    </row>
    <row r="13" spans="1:16" x14ac:dyDescent="0.25">
      <c r="B13" s="109" t="s">
        <v>189</v>
      </c>
      <c r="C13" s="114">
        <v>900</v>
      </c>
      <c r="D13" s="111"/>
      <c r="E13" s="114">
        <v>900</v>
      </c>
      <c r="F13" s="111"/>
      <c r="G13" s="114">
        <v>900</v>
      </c>
      <c r="H13" s="111"/>
      <c r="I13" s="115">
        <v>900</v>
      </c>
      <c r="J13" s="111"/>
      <c r="K13" s="116">
        <v>900</v>
      </c>
      <c r="L13" s="57"/>
      <c r="M13" s="116">
        <v>900</v>
      </c>
      <c r="N13" s="57"/>
      <c r="O13" s="117">
        <v>400</v>
      </c>
      <c r="P13" s="57" t="s">
        <v>190</v>
      </c>
    </row>
    <row r="14" spans="1:16" x14ac:dyDescent="0.25">
      <c r="B14" s="109" t="s">
        <v>191</v>
      </c>
      <c r="C14" s="114">
        <v>181.50000000000003</v>
      </c>
      <c r="D14" s="111" t="s">
        <v>192</v>
      </c>
      <c r="E14" s="114">
        <v>165</v>
      </c>
      <c r="F14" s="111" t="s">
        <v>192</v>
      </c>
      <c r="G14" s="114">
        <v>11</v>
      </c>
      <c r="H14" s="111" t="s">
        <v>192</v>
      </c>
      <c r="I14" s="115">
        <v>165</v>
      </c>
      <c r="J14" s="111" t="s">
        <v>192</v>
      </c>
      <c r="K14" s="116">
        <v>150</v>
      </c>
      <c r="L14" s="57"/>
      <c r="M14" s="116">
        <v>150</v>
      </c>
      <c r="N14" s="57"/>
      <c r="O14" s="117">
        <v>10</v>
      </c>
      <c r="P14" s="57"/>
    </row>
    <row r="15" spans="1:16" x14ac:dyDescent="0.25">
      <c r="B15" s="119" t="s">
        <v>12</v>
      </c>
      <c r="C15" s="36">
        <v>5589.416666666667</v>
      </c>
      <c r="D15" s="111"/>
      <c r="E15" s="36">
        <v>8350</v>
      </c>
      <c r="F15" s="111"/>
      <c r="G15" s="36">
        <v>5030.88</v>
      </c>
      <c r="H15" s="111"/>
      <c r="I15" s="120">
        <v>4808.9732776089159</v>
      </c>
      <c r="J15" s="111"/>
      <c r="K15" s="121">
        <v>7677.708333333333</v>
      </c>
      <c r="L15" s="57"/>
      <c r="M15" s="121">
        <v>7427.7083333333339</v>
      </c>
      <c r="N15" s="57"/>
      <c r="O15" s="122">
        <v>596.93333333333339</v>
      </c>
      <c r="P15" s="57"/>
    </row>
    <row r="16" spans="1:16" x14ac:dyDescent="0.25">
      <c r="B16" s="119"/>
      <c r="C16" s="114"/>
      <c r="D16" s="111"/>
      <c r="E16" s="114"/>
      <c r="F16" s="111"/>
      <c r="G16" s="114"/>
      <c r="H16" s="111"/>
      <c r="I16" s="118"/>
      <c r="J16" s="111"/>
      <c r="K16" s="111"/>
      <c r="L16" s="57"/>
      <c r="M16" s="111"/>
      <c r="N16" s="57"/>
      <c r="O16" s="56"/>
      <c r="P16" s="57"/>
    </row>
    <row r="17" spans="2:16" x14ac:dyDescent="0.25">
      <c r="B17" s="109" t="s">
        <v>193</v>
      </c>
      <c r="C17" s="123">
        <v>237304.6875</v>
      </c>
      <c r="D17" s="111" t="s">
        <v>194</v>
      </c>
      <c r="E17" s="123">
        <v>237304.6875</v>
      </c>
      <c r="F17" s="111" t="s">
        <v>194</v>
      </c>
      <c r="G17" s="123">
        <v>94921.875</v>
      </c>
      <c r="H17" s="111" t="s">
        <v>194</v>
      </c>
      <c r="I17" s="124">
        <v>474609.375</v>
      </c>
      <c r="J17" s="111"/>
      <c r="K17" s="125">
        <v>47460.9375</v>
      </c>
      <c r="L17" s="57"/>
      <c r="M17" s="125">
        <v>47460.9375</v>
      </c>
      <c r="N17" s="57"/>
      <c r="O17" s="77">
        <v>47460.9375</v>
      </c>
      <c r="P17" s="57"/>
    </row>
    <row r="18" spans="2:16" x14ac:dyDescent="0.25">
      <c r="B18" s="109" t="s">
        <v>195</v>
      </c>
      <c r="C18" s="123">
        <v>3</v>
      </c>
      <c r="D18" s="111" t="s">
        <v>196</v>
      </c>
      <c r="E18" s="123">
        <v>3</v>
      </c>
      <c r="F18" s="111" t="s">
        <v>196</v>
      </c>
      <c r="G18" s="123">
        <v>3</v>
      </c>
      <c r="H18" s="111" t="s">
        <v>196</v>
      </c>
      <c r="I18" s="124">
        <v>3</v>
      </c>
      <c r="J18" s="111"/>
      <c r="K18" s="125">
        <v>1</v>
      </c>
      <c r="L18" s="57"/>
      <c r="M18" s="125">
        <v>1</v>
      </c>
      <c r="N18" s="57"/>
      <c r="O18" s="77">
        <v>1</v>
      </c>
      <c r="P18" s="57"/>
    </row>
    <row r="19" spans="2:16" x14ac:dyDescent="0.25">
      <c r="B19" s="109" t="s">
        <v>197</v>
      </c>
      <c r="C19" s="126">
        <v>1.3</v>
      </c>
      <c r="D19" s="111" t="s">
        <v>198</v>
      </c>
      <c r="E19" s="126">
        <v>1.3</v>
      </c>
      <c r="F19" s="111" t="s">
        <v>198</v>
      </c>
      <c r="G19" s="126">
        <v>1.3</v>
      </c>
      <c r="H19" s="111" t="s">
        <v>198</v>
      </c>
      <c r="I19" s="127">
        <v>1.3</v>
      </c>
      <c r="J19" s="111"/>
      <c r="K19" s="128">
        <v>1</v>
      </c>
      <c r="L19" s="57"/>
      <c r="M19" s="128">
        <v>1</v>
      </c>
      <c r="N19" s="57"/>
      <c r="O19" s="129">
        <v>1</v>
      </c>
      <c r="P19" s="57"/>
    </row>
    <row r="20" spans="2:16" x14ac:dyDescent="0.25">
      <c r="B20" s="109"/>
      <c r="C20" s="126"/>
      <c r="D20" s="111"/>
      <c r="E20" s="126"/>
      <c r="F20" s="111"/>
      <c r="G20" s="126"/>
      <c r="H20" s="111"/>
      <c r="I20" s="127"/>
      <c r="J20" s="111"/>
      <c r="K20" s="111"/>
      <c r="L20" s="57"/>
      <c r="M20" s="111"/>
      <c r="N20" s="57"/>
      <c r="O20" s="56"/>
      <c r="P20" s="57"/>
    </row>
    <row r="21" spans="2:16" x14ac:dyDescent="0.25">
      <c r="B21" s="109" t="s">
        <v>199</v>
      </c>
      <c r="C21" s="123">
        <v>925488.28125</v>
      </c>
      <c r="D21" s="125"/>
      <c r="E21" s="123">
        <v>925488.28125</v>
      </c>
      <c r="F21" s="125"/>
      <c r="G21" s="123">
        <v>370195.3125</v>
      </c>
      <c r="H21" s="125"/>
      <c r="I21" s="124">
        <v>1850976.5625</v>
      </c>
      <c r="J21" s="111"/>
      <c r="K21" s="125">
        <v>47460.9375</v>
      </c>
      <c r="L21" s="57"/>
      <c r="M21" s="125">
        <v>47460.9375</v>
      </c>
      <c r="N21" s="57"/>
      <c r="O21" s="64">
        <v>17085.9375</v>
      </c>
      <c r="P21" s="57" t="s">
        <v>200</v>
      </c>
    </row>
    <row r="22" spans="2:16" x14ac:dyDescent="0.25">
      <c r="B22" s="109" t="s">
        <v>201</v>
      </c>
      <c r="C22" s="130">
        <v>92548.828125</v>
      </c>
      <c r="D22" s="111" t="s">
        <v>202</v>
      </c>
      <c r="E22" s="130">
        <v>92548.828125</v>
      </c>
      <c r="F22" s="111" t="s">
        <v>202</v>
      </c>
      <c r="G22" s="130">
        <v>37019.53125</v>
      </c>
      <c r="H22" s="111" t="s">
        <v>202</v>
      </c>
      <c r="I22" s="131">
        <v>148078.125</v>
      </c>
      <c r="J22" s="132" t="s">
        <v>203</v>
      </c>
      <c r="K22" s="133">
        <v>5932.6171875</v>
      </c>
      <c r="L22" s="57" t="s">
        <v>204</v>
      </c>
      <c r="M22" s="133">
        <v>5932.6171875</v>
      </c>
      <c r="N22" s="57" t="s">
        <v>204</v>
      </c>
      <c r="O22" s="80">
        <v>854.296875</v>
      </c>
      <c r="P22" s="57" t="s">
        <v>205</v>
      </c>
    </row>
    <row r="23" spans="2:16" x14ac:dyDescent="0.25">
      <c r="B23" s="109"/>
      <c r="C23" s="130"/>
      <c r="D23" s="111"/>
      <c r="E23" s="130"/>
      <c r="F23" s="111"/>
      <c r="G23" s="130"/>
      <c r="H23" s="111"/>
      <c r="I23" s="131"/>
      <c r="J23" s="111"/>
      <c r="K23" s="111"/>
      <c r="L23" s="57"/>
      <c r="M23" s="111"/>
      <c r="N23" s="57"/>
      <c r="O23" s="56"/>
      <c r="P23" s="57"/>
    </row>
    <row r="24" spans="2:16" x14ac:dyDescent="0.25">
      <c r="B24" s="109" t="s">
        <v>206</v>
      </c>
      <c r="C24" s="123">
        <v>1170</v>
      </c>
      <c r="D24" s="111" t="s">
        <v>207</v>
      </c>
      <c r="E24" s="123">
        <v>1170</v>
      </c>
      <c r="F24" s="111" t="s">
        <v>207</v>
      </c>
      <c r="G24" s="123">
        <v>1170</v>
      </c>
      <c r="H24" s="111" t="s">
        <v>207</v>
      </c>
      <c r="I24" s="124">
        <v>5850</v>
      </c>
      <c r="J24" s="111" t="s">
        <v>208</v>
      </c>
      <c r="K24" s="125">
        <v>75</v>
      </c>
      <c r="L24" s="57" t="s">
        <v>209</v>
      </c>
      <c r="M24" s="125">
        <v>75</v>
      </c>
      <c r="N24" s="57" t="s">
        <v>209</v>
      </c>
      <c r="O24" s="77">
        <v>25</v>
      </c>
      <c r="P24" s="57" t="s">
        <v>210</v>
      </c>
    </row>
    <row r="25" spans="2:16" x14ac:dyDescent="0.25">
      <c r="B25" s="109"/>
      <c r="C25" s="134"/>
      <c r="D25" s="111"/>
      <c r="E25" s="134"/>
      <c r="F25" s="111"/>
      <c r="G25" s="134"/>
      <c r="H25" s="111"/>
      <c r="I25" s="118"/>
      <c r="J25" s="111"/>
      <c r="K25" s="111"/>
      <c r="L25" s="57"/>
      <c r="M25" s="111"/>
      <c r="N25" s="57"/>
      <c r="O25" s="56"/>
      <c r="P25" s="57"/>
    </row>
    <row r="26" spans="2:16" x14ac:dyDescent="0.25">
      <c r="B26" s="119" t="s">
        <v>211</v>
      </c>
      <c r="C26" s="135">
        <v>6.0394245717702508E-2</v>
      </c>
      <c r="D26" s="111"/>
      <c r="E26" s="135">
        <v>9.0222644296718377E-2</v>
      </c>
      <c r="F26" s="111"/>
      <c r="G26" s="135">
        <v>0.13589799303577083</v>
      </c>
      <c r="H26" s="111"/>
      <c r="I26" s="136">
        <v>3.2475919570219544E-2</v>
      </c>
      <c r="J26" s="111"/>
      <c r="K26" s="45">
        <v>1.2941519890260631</v>
      </c>
      <c r="L26" s="57"/>
      <c r="M26" s="45">
        <v>1.25201207133059</v>
      </c>
      <c r="N26" s="57"/>
      <c r="O26" s="137">
        <v>0.69874226489864355</v>
      </c>
      <c r="P26" s="57"/>
    </row>
    <row r="27" spans="2:16" x14ac:dyDescent="0.25">
      <c r="B27" s="138" t="s">
        <v>212</v>
      </c>
      <c r="C27" s="139">
        <v>1.0602511343252083E-2</v>
      </c>
      <c r="D27" s="111"/>
      <c r="E27" s="139">
        <v>4.241004537300834E-2</v>
      </c>
      <c r="F27" s="111"/>
      <c r="G27" s="139">
        <v>2.0526461960536042E-2</v>
      </c>
      <c r="H27" s="111"/>
      <c r="I27" s="140">
        <v>1.4675132531712517E-3</v>
      </c>
      <c r="J27" s="111"/>
      <c r="K27" s="141">
        <v>0.57889711934156385</v>
      </c>
      <c r="L27" s="57"/>
      <c r="M27" s="141">
        <v>0.57889711934156374</v>
      </c>
      <c r="N27" s="57"/>
      <c r="O27" s="142">
        <v>0</v>
      </c>
      <c r="P27" s="57"/>
    </row>
    <row r="28" spans="2:16" x14ac:dyDescent="0.25">
      <c r="B28" s="138" t="s">
        <v>213</v>
      </c>
      <c r="C28" s="139">
        <v>1.6495796841475854E-2</v>
      </c>
      <c r="D28" s="111"/>
      <c r="E28" s="139">
        <v>1.4694945657908623E-2</v>
      </c>
      <c r="F28" s="111"/>
      <c r="G28" s="139">
        <v>3.673736414477155E-2</v>
      </c>
      <c r="H28" s="111"/>
      <c r="I28" s="140">
        <v>1.0309873025922409E-2</v>
      </c>
      <c r="J28" s="111"/>
      <c r="K28" s="141">
        <v>0.20114787379972568</v>
      </c>
      <c r="L28" s="57"/>
      <c r="M28" s="141">
        <v>0.15900795610425242</v>
      </c>
      <c r="N28" s="57"/>
      <c r="O28" s="142">
        <v>0.10176009754610575</v>
      </c>
      <c r="P28" s="57"/>
    </row>
    <row r="29" spans="2:16" x14ac:dyDescent="0.25">
      <c r="B29" s="138" t="s">
        <v>214</v>
      </c>
      <c r="C29" s="139">
        <v>2.1610214202806795E-2</v>
      </c>
      <c r="D29" s="111"/>
      <c r="E29" s="139">
        <v>2.1610214202806795E-2</v>
      </c>
      <c r="F29" s="111"/>
      <c r="G29" s="139">
        <v>5.4025535507016997E-2</v>
      </c>
      <c r="H29" s="111"/>
      <c r="I29" s="140">
        <v>1.3506383876754248E-2</v>
      </c>
      <c r="J29" s="111"/>
      <c r="K29" s="141">
        <v>0.33711934156378603</v>
      </c>
      <c r="L29" s="57"/>
      <c r="M29" s="141">
        <v>0.33711934156378603</v>
      </c>
      <c r="N29" s="57"/>
      <c r="O29" s="142">
        <v>0.11705532693187014</v>
      </c>
      <c r="P29" s="57"/>
    </row>
    <row r="30" spans="2:16" x14ac:dyDescent="0.25">
      <c r="B30" s="138" t="s">
        <v>215</v>
      </c>
      <c r="C30" s="139">
        <v>9.724596391263057E-3</v>
      </c>
      <c r="D30" s="111"/>
      <c r="E30" s="139">
        <v>9.7245963912630587E-3</v>
      </c>
      <c r="F30" s="111"/>
      <c r="G30" s="139">
        <v>2.4311490978157647E-2</v>
      </c>
      <c r="H30" s="111"/>
      <c r="I30" s="140">
        <v>6.0778727445394108E-3</v>
      </c>
      <c r="J30" s="111"/>
      <c r="K30" s="141">
        <v>0.1517037037037037</v>
      </c>
      <c r="L30" s="57"/>
      <c r="M30" s="141">
        <v>0.1517037037037037</v>
      </c>
      <c r="N30" s="57"/>
      <c r="O30" s="142">
        <v>0.46822130772748055</v>
      </c>
      <c r="P30" s="57"/>
    </row>
    <row r="31" spans="2:16" ht="15.75" thickBot="1" x14ac:dyDescent="0.3">
      <c r="B31" s="143" t="s">
        <v>216</v>
      </c>
      <c r="C31" s="144">
        <v>1.9611269389047171E-3</v>
      </c>
      <c r="D31" s="145"/>
      <c r="E31" s="144">
        <v>1.7828426717315608E-3</v>
      </c>
      <c r="F31" s="145"/>
      <c r="G31" s="144">
        <v>2.9714044528859342E-4</v>
      </c>
      <c r="H31" s="145"/>
      <c r="I31" s="146">
        <v>1.1142766698322255E-3</v>
      </c>
      <c r="J31" s="145"/>
      <c r="K31" s="147">
        <v>2.5283950617283953E-2</v>
      </c>
      <c r="L31" s="59"/>
      <c r="M31" s="147">
        <v>2.5283950617283949E-2</v>
      </c>
      <c r="N31" s="59"/>
      <c r="O31" s="148">
        <v>1.1705532693187014E-2</v>
      </c>
      <c r="P31" s="59"/>
    </row>
    <row r="32" spans="2:16" ht="15.75" thickBot="1" x14ac:dyDescent="0.3"/>
    <row r="33" spans="2:10" x14ac:dyDescent="0.25">
      <c r="B33" s="19" t="s">
        <v>217</v>
      </c>
      <c r="C33" s="149" t="s">
        <v>11</v>
      </c>
      <c r="D33" s="150" t="s">
        <v>17</v>
      </c>
      <c r="E33" s="149" t="s">
        <v>11</v>
      </c>
      <c r="F33" s="150" t="s">
        <v>17</v>
      </c>
      <c r="G33" s="151"/>
      <c r="H33" s="151"/>
    </row>
    <row r="34" spans="2:10" x14ac:dyDescent="0.25">
      <c r="B34" s="54" t="s">
        <v>218</v>
      </c>
      <c r="C34" s="134">
        <v>4</v>
      </c>
      <c r="D34" s="111">
        <v>7</v>
      </c>
      <c r="E34" s="134">
        <v>4</v>
      </c>
      <c r="F34" s="111">
        <v>7</v>
      </c>
      <c r="G34" s="134"/>
      <c r="H34" s="134"/>
      <c r="J34" s="49" t="s">
        <v>219</v>
      </c>
    </row>
    <row r="35" spans="2:10" x14ac:dyDescent="0.25">
      <c r="B35" s="54" t="s">
        <v>220</v>
      </c>
      <c r="C35" s="134">
        <v>2</v>
      </c>
      <c r="D35" s="111">
        <v>3.5</v>
      </c>
      <c r="E35" s="134">
        <v>2</v>
      </c>
      <c r="F35" s="111">
        <v>3.5</v>
      </c>
      <c r="G35" s="134"/>
      <c r="H35" s="134"/>
      <c r="J35" s="49" t="s">
        <v>219</v>
      </c>
    </row>
    <row r="36" spans="2:10" ht="15.75" thickBot="1" x14ac:dyDescent="0.3">
      <c r="B36" s="58" t="s">
        <v>221</v>
      </c>
      <c r="C36" s="152">
        <v>2.4</v>
      </c>
      <c r="D36" s="153">
        <v>5</v>
      </c>
      <c r="E36" s="152">
        <v>2.4</v>
      </c>
      <c r="F36" s="153">
        <v>5</v>
      </c>
      <c r="G36" s="154"/>
      <c r="H36" s="154"/>
      <c r="J36" s="49" t="s">
        <v>222</v>
      </c>
    </row>
    <row r="38" spans="2:10" x14ac:dyDescent="0.25">
      <c r="C38" s="137"/>
      <c r="D38" s="155"/>
      <c r="E38" s="137"/>
      <c r="F38" s="155"/>
      <c r="G38" s="155"/>
      <c r="H38" s="155"/>
      <c r="I38" s="155"/>
    </row>
  </sheetData>
  <sheetProtection algorithmName="SHA-512" hashValue="/DYWyJJsh/DSV0AMVjHnoixQu+MyZmDyF9XFDbDQ04lF+o2CJflArVw52ymbNdWiN6v6sW/cnCBXnr8Pcvwjxw==" saltValue="jnNJRGIHClILJj2P90tjYw==" spinCount="100000" sheet="1" objects="1" scenarios="1"/>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78"/>
  <sheetViews>
    <sheetView zoomScale="90" zoomScaleNormal="90" workbookViewId="0">
      <selection activeCell="A4" sqref="A4"/>
    </sheetView>
  </sheetViews>
  <sheetFormatPr defaultColWidth="9.140625" defaultRowHeight="15" x14ac:dyDescent="0.25"/>
  <cols>
    <col min="1" max="1" width="9.140625" style="3"/>
    <col min="2" max="2" width="28.42578125" style="3" customWidth="1"/>
    <col min="3" max="3" width="17.140625" style="3" customWidth="1"/>
    <col min="4" max="4" width="17" style="3" customWidth="1"/>
    <col min="5" max="5" width="15.28515625" style="3" customWidth="1"/>
    <col min="6" max="6" width="15.140625" style="3" customWidth="1"/>
    <col min="7" max="7" width="15.42578125" style="3" customWidth="1"/>
    <col min="8" max="8" width="14.140625" style="3" customWidth="1"/>
    <col min="9" max="9" width="12.7109375" style="3" customWidth="1"/>
    <col min="10" max="10" width="14.7109375" style="3" customWidth="1"/>
    <col min="11" max="11" width="13.28515625" style="3" customWidth="1"/>
    <col min="12" max="12" width="3.85546875" style="3" customWidth="1"/>
    <col min="13" max="18" width="9.140625" style="3"/>
    <col min="19" max="19" width="11.5703125" style="3" bestFit="1" customWidth="1"/>
    <col min="20" max="20" width="10.7109375" style="3" customWidth="1"/>
    <col min="21" max="21" width="10.85546875" style="3" customWidth="1"/>
    <col min="22" max="22" width="10.42578125" style="3" customWidth="1"/>
    <col min="23" max="16384" width="9.140625" style="3"/>
  </cols>
  <sheetData>
    <row r="1" spans="1:9" s="4" customFormat="1" x14ac:dyDescent="0.25">
      <c r="A1" s="4" t="s">
        <v>141</v>
      </c>
    </row>
    <row r="2" spans="1:9" x14ac:dyDescent="0.25">
      <c r="A2" s="4" t="s">
        <v>21</v>
      </c>
    </row>
    <row r="3" spans="1:9" x14ac:dyDescent="0.25">
      <c r="A3" s="3" t="s">
        <v>22</v>
      </c>
    </row>
    <row r="5" spans="1:9" x14ac:dyDescent="0.25">
      <c r="B5" s="3" t="s">
        <v>57</v>
      </c>
      <c r="C5" s="230">
        <v>70</v>
      </c>
      <c r="D5" s="3" t="s">
        <v>58</v>
      </c>
      <c r="E5" s="49" t="s">
        <v>223</v>
      </c>
    </row>
    <row r="6" spans="1:9" x14ac:dyDescent="0.25">
      <c r="B6" s="3" t="s">
        <v>27</v>
      </c>
      <c r="C6" s="231">
        <v>0.2</v>
      </c>
      <c r="D6" s="3" t="s">
        <v>28</v>
      </c>
      <c r="E6" s="49" t="s">
        <v>224</v>
      </c>
    </row>
    <row r="7" spans="1:9" x14ac:dyDescent="0.25">
      <c r="B7" s="3" t="s">
        <v>32</v>
      </c>
      <c r="C7" s="232">
        <v>2.5000000000000001E-2</v>
      </c>
      <c r="E7" s="161"/>
      <c r="F7" s="49"/>
    </row>
    <row r="8" spans="1:9" x14ac:dyDescent="0.25">
      <c r="B8" s="3" t="s">
        <v>41</v>
      </c>
      <c r="C8" s="230">
        <v>100</v>
      </c>
      <c r="E8" s="3" t="s">
        <v>42</v>
      </c>
    </row>
    <row r="9" spans="1:9" x14ac:dyDescent="0.25">
      <c r="B9" s="3" t="s">
        <v>34</v>
      </c>
      <c r="C9" s="18">
        <f>1/C7</f>
        <v>40</v>
      </c>
      <c r="D9" s="3" t="s">
        <v>33</v>
      </c>
    </row>
    <row r="10" spans="1:9" x14ac:dyDescent="0.25">
      <c r="C10" s="18"/>
    </row>
    <row r="11" spans="1:9" ht="15.75" thickBot="1" x14ac:dyDescent="0.3">
      <c r="C11" s="425" t="s">
        <v>52</v>
      </c>
      <c r="D11" s="426"/>
      <c r="E11" s="426"/>
      <c r="F11" s="426"/>
      <c r="G11" s="426"/>
      <c r="H11" s="427"/>
    </row>
    <row r="12" spans="1:9" ht="15.75" thickBot="1" x14ac:dyDescent="0.3">
      <c r="B12" s="19"/>
      <c r="C12" s="15">
        <v>5000</v>
      </c>
      <c r="D12" s="15">
        <v>2500</v>
      </c>
      <c r="E12" s="15">
        <v>2000</v>
      </c>
      <c r="F12" s="15">
        <v>1500</v>
      </c>
      <c r="G12" s="15">
        <v>1000</v>
      </c>
      <c r="H12" s="16">
        <v>500</v>
      </c>
    </row>
    <row r="13" spans="1:9" x14ac:dyDescent="0.25">
      <c r="B13" s="19" t="s">
        <v>23</v>
      </c>
      <c r="C13" s="151" t="s">
        <v>275</v>
      </c>
      <c r="D13" s="151" t="s">
        <v>273</v>
      </c>
      <c r="E13" s="151" t="s">
        <v>274</v>
      </c>
      <c r="F13" s="151" t="s">
        <v>276</v>
      </c>
      <c r="G13" s="151" t="s">
        <v>277</v>
      </c>
      <c r="H13" s="229" t="s">
        <v>278</v>
      </c>
    </row>
    <row r="14" spans="1:9" x14ac:dyDescent="0.25">
      <c r="B14" s="1" t="s">
        <v>53</v>
      </c>
      <c r="C14" s="26">
        <f t="shared" ref="C14:H14" si="0">1/($C$6^2*3.14)</f>
        <v>7.9617834394904445</v>
      </c>
      <c r="D14" s="26">
        <f t="shared" si="0"/>
        <v>7.9617834394904445</v>
      </c>
      <c r="E14" s="26">
        <f t="shared" si="0"/>
        <v>7.9617834394904445</v>
      </c>
      <c r="F14" s="26">
        <f t="shared" si="0"/>
        <v>7.9617834394904445</v>
      </c>
      <c r="G14" s="26">
        <f t="shared" si="0"/>
        <v>7.9617834394904445</v>
      </c>
      <c r="H14" s="27">
        <f t="shared" si="0"/>
        <v>7.9617834394904445</v>
      </c>
      <c r="I14" s="17"/>
    </row>
    <row r="15" spans="1:9" x14ac:dyDescent="0.25">
      <c r="B15" s="1" t="s">
        <v>24</v>
      </c>
      <c r="C15" s="273">
        <v>60000</v>
      </c>
      <c r="D15" s="273">
        <v>60000</v>
      </c>
      <c r="E15" s="273">
        <v>60000</v>
      </c>
      <c r="F15" s="273">
        <v>60000</v>
      </c>
      <c r="G15" s="273">
        <v>60000</v>
      </c>
      <c r="H15" s="274">
        <v>60000</v>
      </c>
      <c r="I15" s="49"/>
    </row>
    <row r="16" spans="1:9" x14ac:dyDescent="0.25">
      <c r="B16" s="1" t="s">
        <v>49</v>
      </c>
      <c r="C16" s="273">
        <v>52153.586626139826</v>
      </c>
      <c r="D16" s="273">
        <v>52153.586626139826</v>
      </c>
      <c r="E16" s="273">
        <v>52153.586626139826</v>
      </c>
      <c r="F16" s="273">
        <v>52153.586626139826</v>
      </c>
      <c r="G16" s="273">
        <v>52153.586626139826</v>
      </c>
      <c r="H16" s="274">
        <v>52153.586626139826</v>
      </c>
      <c r="I16" s="220"/>
    </row>
    <row r="17" spans="2:31" x14ac:dyDescent="0.25">
      <c r="B17" s="54" t="s">
        <v>187</v>
      </c>
      <c r="C17" s="273">
        <v>270</v>
      </c>
      <c r="D17" s="273">
        <v>270</v>
      </c>
      <c r="E17" s="273">
        <v>270</v>
      </c>
      <c r="F17" s="273">
        <v>270</v>
      </c>
      <c r="G17" s="273">
        <v>270</v>
      </c>
      <c r="H17" s="274">
        <v>270</v>
      </c>
      <c r="I17" s="41"/>
    </row>
    <row r="18" spans="2:31" x14ac:dyDescent="0.25">
      <c r="B18" s="1" t="s">
        <v>25</v>
      </c>
      <c r="C18" s="273">
        <v>400</v>
      </c>
      <c r="D18" s="273">
        <v>400</v>
      </c>
      <c r="E18" s="273">
        <v>400</v>
      </c>
      <c r="F18" s="273">
        <v>400</v>
      </c>
      <c r="G18" s="273">
        <v>400</v>
      </c>
      <c r="H18" s="274">
        <v>400</v>
      </c>
      <c r="I18" s="41"/>
    </row>
    <row r="19" spans="2:31" x14ac:dyDescent="0.25">
      <c r="B19" s="1" t="s">
        <v>26</v>
      </c>
      <c r="C19" s="273">
        <v>165</v>
      </c>
      <c r="D19" s="273">
        <v>165</v>
      </c>
      <c r="E19" s="273">
        <v>165</v>
      </c>
      <c r="F19" s="273">
        <v>165</v>
      </c>
      <c r="G19" s="273">
        <v>165</v>
      </c>
      <c r="H19" s="274">
        <v>165</v>
      </c>
      <c r="I19" s="39"/>
    </row>
    <row r="20" spans="2:31" ht="15.75" thickBot="1" x14ac:dyDescent="0.3">
      <c r="B20" s="28" t="s">
        <v>50</v>
      </c>
      <c r="C20" s="21">
        <f t="shared" ref="C20:H20" si="1">C$14*(C$15+C$16+(C$17+C$18+C$19)*$C$9)/C$12</f>
        <v>231.77322711168756</v>
      </c>
      <c r="D20" s="21">
        <f t="shared" si="1"/>
        <v>463.54645422337512</v>
      </c>
      <c r="E20" s="21">
        <f t="shared" si="1"/>
        <v>579.43306777921885</v>
      </c>
      <c r="F20" s="21">
        <f t="shared" si="1"/>
        <v>772.57742370562516</v>
      </c>
      <c r="G20" s="21">
        <f t="shared" si="1"/>
        <v>1158.8661355584377</v>
      </c>
      <c r="H20" s="29">
        <f t="shared" si="1"/>
        <v>2317.7322711168754</v>
      </c>
      <c r="I20" s="44"/>
    </row>
    <row r="21" spans="2:31" ht="15.75" hidden="1" thickBot="1" x14ac:dyDescent="0.3">
      <c r="B21" s="1"/>
      <c r="C21" s="2"/>
      <c r="D21" s="2"/>
      <c r="E21" s="11"/>
      <c r="F21" s="2"/>
      <c r="G21" s="2"/>
      <c r="H21" s="9"/>
    </row>
    <row r="22" spans="2:31" x14ac:dyDescent="0.25">
      <c r="B22" s="19" t="s">
        <v>29</v>
      </c>
      <c r="C22" s="15">
        <v>5000</v>
      </c>
      <c r="D22" s="15">
        <v>2500</v>
      </c>
      <c r="E22" s="15">
        <v>2000</v>
      </c>
      <c r="F22" s="15">
        <v>1500</v>
      </c>
      <c r="G22" s="15">
        <v>1000</v>
      </c>
      <c r="H22" s="16">
        <v>500</v>
      </c>
    </row>
    <row r="23" spans="2:31" x14ac:dyDescent="0.25">
      <c r="B23" s="1" t="s">
        <v>30</v>
      </c>
      <c r="C23" s="273">
        <f>D23</f>
        <v>150</v>
      </c>
      <c r="D23" s="273">
        <f>E23</f>
        <v>150</v>
      </c>
      <c r="E23" s="275">
        <v>150</v>
      </c>
      <c r="F23" s="273">
        <f>E23</f>
        <v>150</v>
      </c>
      <c r="G23" s="273">
        <f t="shared" ref="G23:H24" si="2">F23</f>
        <v>150</v>
      </c>
      <c r="H23" s="274">
        <f t="shared" si="2"/>
        <v>150</v>
      </c>
    </row>
    <row r="24" spans="2:31" x14ac:dyDescent="0.25">
      <c r="B24" s="1" t="s">
        <v>31</v>
      </c>
      <c r="C24" s="273">
        <f>D24</f>
        <v>200</v>
      </c>
      <c r="D24" s="273">
        <f>E24</f>
        <v>200</v>
      </c>
      <c r="E24" s="275">
        <v>200</v>
      </c>
      <c r="F24" s="273">
        <f>E24</f>
        <v>200</v>
      </c>
      <c r="G24" s="273">
        <f t="shared" si="2"/>
        <v>200</v>
      </c>
      <c r="H24" s="274">
        <f t="shared" si="2"/>
        <v>200</v>
      </c>
      <c r="I24" s="49"/>
    </row>
    <row r="25" spans="2:31" ht="15.75" thickBot="1" x14ac:dyDescent="0.3">
      <c r="B25" s="28" t="s">
        <v>291</v>
      </c>
      <c r="C25" s="21">
        <f>SUM(C23:C24)</f>
        <v>350</v>
      </c>
      <c r="D25" s="21">
        <f>SUM(D23:D24)</f>
        <v>350</v>
      </c>
      <c r="E25" s="21">
        <f>SUM(E23:E24)</f>
        <v>350</v>
      </c>
      <c r="F25" s="21">
        <f t="shared" ref="F25:H25" si="3">SUM(F23:F24)</f>
        <v>350</v>
      </c>
      <c r="G25" s="21">
        <f t="shared" si="3"/>
        <v>350</v>
      </c>
      <c r="H25" s="29">
        <f t="shared" si="3"/>
        <v>350</v>
      </c>
      <c r="I25" s="36"/>
    </row>
    <row r="26" spans="2:31" ht="18" thickBot="1" x14ac:dyDescent="0.3">
      <c r="C26" s="263" t="s">
        <v>292</v>
      </c>
      <c r="D26" s="263" t="s">
        <v>293</v>
      </c>
      <c r="E26" s="263" t="s">
        <v>294</v>
      </c>
      <c r="F26" s="263" t="s">
        <v>295</v>
      </c>
      <c r="G26" s="263" t="s">
        <v>296</v>
      </c>
      <c r="H26" s="255"/>
      <c r="R26" s="214"/>
      <c r="S26" s="210"/>
      <c r="T26" s="214"/>
      <c r="U26" s="214"/>
      <c r="V26" s="214"/>
      <c r="W26" s="214"/>
      <c r="X26" s="214"/>
      <c r="Y26" s="214"/>
      <c r="Z26" s="214"/>
      <c r="AA26" s="214"/>
      <c r="AB26" s="214"/>
      <c r="AC26" s="214"/>
      <c r="AD26" s="214"/>
      <c r="AE26" s="214"/>
    </row>
    <row r="27" spans="2:31" ht="48" customHeight="1" x14ac:dyDescent="0.25">
      <c r="B27" s="30" t="s">
        <v>51</v>
      </c>
      <c r="C27" s="15">
        <v>5000</v>
      </c>
      <c r="D27" s="15">
        <v>2500</v>
      </c>
      <c r="E27" s="15">
        <v>2000</v>
      </c>
      <c r="F27" s="15">
        <v>1500</v>
      </c>
      <c r="G27" s="15">
        <v>1000</v>
      </c>
      <c r="H27" s="16">
        <v>500</v>
      </c>
      <c r="R27" s="165"/>
      <c r="S27" s="215"/>
      <c r="T27" s="215"/>
      <c r="U27" s="215"/>
      <c r="V27" s="214"/>
      <c r="W27" s="214"/>
      <c r="X27" s="214"/>
      <c r="Y27" s="214"/>
      <c r="Z27" s="214"/>
      <c r="AA27" s="214"/>
      <c r="AB27" s="214"/>
      <c r="AC27" s="214"/>
      <c r="AD27" s="214"/>
      <c r="AE27" s="214"/>
    </row>
    <row r="28" spans="2:31" x14ac:dyDescent="0.25">
      <c r="B28" s="270">
        <v>0.01</v>
      </c>
      <c r="C28" s="276">
        <f t="shared" ref="C28:H37" si="4">(C$20/$B28+C$25)/$C$9</f>
        <v>588.18306777921885</v>
      </c>
      <c r="D28" s="276">
        <f t="shared" si="4"/>
        <v>1167.6161355584377</v>
      </c>
      <c r="E28" s="276">
        <f t="shared" si="4"/>
        <v>1457.332669448047</v>
      </c>
      <c r="F28" s="276">
        <f t="shared" si="4"/>
        <v>1940.1935592640627</v>
      </c>
      <c r="G28" s="276">
        <f t="shared" si="4"/>
        <v>2905.915338896094</v>
      </c>
      <c r="H28" s="277">
        <f t="shared" si="4"/>
        <v>5803.080677792188</v>
      </c>
      <c r="R28" s="175"/>
      <c r="S28" s="37"/>
      <c r="T28" s="37"/>
      <c r="U28" s="37"/>
      <c r="V28" s="214"/>
      <c r="W28" s="214"/>
      <c r="X28" s="214"/>
      <c r="Y28" s="214"/>
      <c r="Z28" s="214"/>
      <c r="AA28" s="214"/>
      <c r="AB28" s="214"/>
      <c r="AC28" s="214"/>
      <c r="AD28" s="214"/>
      <c r="AE28" s="214"/>
    </row>
    <row r="29" spans="2:31" x14ac:dyDescent="0.25">
      <c r="B29" s="270">
        <v>0.02</v>
      </c>
      <c r="C29" s="276">
        <f t="shared" si="4"/>
        <v>298.46653388960942</v>
      </c>
      <c r="D29" s="276">
        <f t="shared" si="4"/>
        <v>588.18306777921885</v>
      </c>
      <c r="E29" s="276">
        <f t="shared" si="4"/>
        <v>733.0413347240235</v>
      </c>
      <c r="F29" s="276">
        <f t="shared" si="4"/>
        <v>974.47177963203137</v>
      </c>
      <c r="G29" s="276">
        <f t="shared" si="4"/>
        <v>1457.332669448047</v>
      </c>
      <c r="H29" s="277">
        <f t="shared" si="4"/>
        <v>2905.915338896094</v>
      </c>
      <c r="R29" s="175"/>
      <c r="S29" s="37"/>
      <c r="T29" s="37"/>
      <c r="U29" s="37"/>
      <c r="V29" s="214"/>
      <c r="W29" s="214"/>
      <c r="X29" s="214"/>
      <c r="Y29" s="214"/>
      <c r="Z29" s="214"/>
      <c r="AA29" s="214"/>
      <c r="AB29" s="214"/>
      <c r="AC29" s="214"/>
      <c r="AD29" s="214"/>
      <c r="AE29" s="214"/>
    </row>
    <row r="30" spans="2:31" x14ac:dyDescent="0.25">
      <c r="B30" s="270">
        <v>0.03</v>
      </c>
      <c r="C30" s="276">
        <f t="shared" si="4"/>
        <v>201.89435592640629</v>
      </c>
      <c r="D30" s="276">
        <f t="shared" si="4"/>
        <v>395.03871185281258</v>
      </c>
      <c r="E30" s="276">
        <f t="shared" si="4"/>
        <v>491.61088981601569</v>
      </c>
      <c r="F30" s="276">
        <f t="shared" si="4"/>
        <v>652.56451975468758</v>
      </c>
      <c r="G30" s="276">
        <f t="shared" si="4"/>
        <v>974.47177963203137</v>
      </c>
      <c r="H30" s="277">
        <f t="shared" si="4"/>
        <v>1940.1935592640627</v>
      </c>
      <c r="R30" s="175"/>
      <c r="S30" s="37"/>
      <c r="T30" s="37"/>
      <c r="U30" s="37"/>
      <c r="V30" s="214"/>
      <c r="W30" s="214"/>
      <c r="X30" s="214"/>
      <c r="Y30" s="214"/>
      <c r="Z30" s="214"/>
      <c r="AA30" s="214"/>
      <c r="AB30" s="214"/>
      <c r="AC30" s="214"/>
      <c r="AD30" s="214"/>
      <c r="AE30" s="214"/>
    </row>
    <row r="31" spans="2:31" x14ac:dyDescent="0.25">
      <c r="B31" s="270">
        <v>0.04</v>
      </c>
      <c r="C31" s="276">
        <f t="shared" si="4"/>
        <v>153.60826694480471</v>
      </c>
      <c r="D31" s="276">
        <f t="shared" si="4"/>
        <v>298.46653388960942</v>
      </c>
      <c r="E31" s="276">
        <f t="shared" si="4"/>
        <v>370.89566736201175</v>
      </c>
      <c r="F31" s="276">
        <f t="shared" si="4"/>
        <v>491.61088981601569</v>
      </c>
      <c r="G31" s="276">
        <f t="shared" si="4"/>
        <v>733.0413347240235</v>
      </c>
      <c r="H31" s="277">
        <f t="shared" si="4"/>
        <v>1457.332669448047</v>
      </c>
      <c r="R31" s="175"/>
      <c r="S31" s="37"/>
      <c r="T31" s="37"/>
      <c r="U31" s="37"/>
      <c r="V31" s="214"/>
      <c r="W31" s="214"/>
      <c r="X31" s="214"/>
      <c r="Y31" s="214"/>
      <c r="Z31" s="214"/>
      <c r="AA31" s="214"/>
      <c r="AB31" s="214"/>
      <c r="AC31" s="214"/>
      <c r="AD31" s="214"/>
      <c r="AE31" s="214"/>
    </row>
    <row r="32" spans="2:31" x14ac:dyDescent="0.25">
      <c r="B32" s="271">
        <v>0.05</v>
      </c>
      <c r="C32" s="276">
        <f t="shared" si="4"/>
        <v>124.63661355584377</v>
      </c>
      <c r="D32" s="276">
        <f t="shared" si="4"/>
        <v>240.52322711168753</v>
      </c>
      <c r="E32" s="276">
        <f t="shared" si="4"/>
        <v>298.46653388960942</v>
      </c>
      <c r="F32" s="276">
        <f t="shared" si="4"/>
        <v>395.03871185281253</v>
      </c>
      <c r="G32" s="276">
        <f t="shared" si="4"/>
        <v>588.18306777921885</v>
      </c>
      <c r="H32" s="277">
        <f t="shared" si="4"/>
        <v>1167.6161355584377</v>
      </c>
      <c r="R32" s="175"/>
      <c r="S32" s="37"/>
      <c r="T32" s="37"/>
      <c r="U32" s="37"/>
      <c r="V32" s="214"/>
      <c r="W32" s="214"/>
      <c r="X32" s="214"/>
      <c r="Y32" s="214"/>
      <c r="Z32" s="214"/>
      <c r="AA32" s="214"/>
      <c r="AB32" s="214"/>
      <c r="AC32" s="214"/>
      <c r="AD32" s="214"/>
      <c r="AE32" s="214"/>
    </row>
    <row r="33" spans="2:31" x14ac:dyDescent="0.25">
      <c r="B33" s="270">
        <v>0.06</v>
      </c>
      <c r="C33" s="276">
        <f t="shared" si="4"/>
        <v>105.32217796320315</v>
      </c>
      <c r="D33" s="276">
        <f t="shared" si="4"/>
        <v>201.89435592640629</v>
      </c>
      <c r="E33" s="276">
        <f t="shared" si="4"/>
        <v>250.18044490800784</v>
      </c>
      <c r="F33" s="276">
        <f t="shared" si="4"/>
        <v>330.65725987734379</v>
      </c>
      <c r="G33" s="276">
        <f t="shared" si="4"/>
        <v>491.61088981601569</v>
      </c>
      <c r="H33" s="277">
        <f t="shared" si="4"/>
        <v>974.47177963203137</v>
      </c>
      <c r="R33" s="175"/>
      <c r="S33" s="37"/>
      <c r="T33" s="37"/>
      <c r="U33" s="37"/>
      <c r="V33" s="214"/>
      <c r="W33" s="214"/>
      <c r="X33" s="214"/>
      <c r="Y33" s="214"/>
      <c r="Z33" s="214"/>
      <c r="AA33" s="214"/>
      <c r="AB33" s="214"/>
      <c r="AC33" s="214"/>
      <c r="AD33" s="214"/>
      <c r="AE33" s="214"/>
    </row>
    <row r="34" spans="2:31" x14ac:dyDescent="0.25">
      <c r="B34" s="270">
        <v>7.0000000000000007E-2</v>
      </c>
      <c r="C34" s="276">
        <f t="shared" si="4"/>
        <v>91.5261525398884</v>
      </c>
      <c r="D34" s="276">
        <f t="shared" si="4"/>
        <v>174.3023050797768</v>
      </c>
      <c r="E34" s="276">
        <f t="shared" si="4"/>
        <v>215.69038134972098</v>
      </c>
      <c r="F34" s="276">
        <f t="shared" si="4"/>
        <v>284.67050846629468</v>
      </c>
      <c r="G34" s="276">
        <f t="shared" si="4"/>
        <v>422.63076269944196</v>
      </c>
      <c r="H34" s="277">
        <f t="shared" si="4"/>
        <v>836.51152539888392</v>
      </c>
      <c r="R34" s="175"/>
      <c r="S34" s="37"/>
      <c r="T34" s="37"/>
      <c r="U34" s="37"/>
      <c r="V34" s="214"/>
      <c r="W34" s="214"/>
      <c r="X34" s="214"/>
      <c r="Y34" s="214"/>
      <c r="Z34" s="214"/>
      <c r="AA34" s="214"/>
      <c r="AB34" s="214"/>
      <c r="AC34" s="214"/>
      <c r="AD34" s="214"/>
      <c r="AE34" s="214"/>
    </row>
    <row r="35" spans="2:31" x14ac:dyDescent="0.25">
      <c r="B35" s="270">
        <v>0.08</v>
      </c>
      <c r="C35" s="276">
        <f t="shared" si="4"/>
        <v>81.179133472402356</v>
      </c>
      <c r="D35" s="276">
        <f t="shared" si="4"/>
        <v>153.60826694480471</v>
      </c>
      <c r="E35" s="276">
        <f t="shared" si="4"/>
        <v>189.82283368100587</v>
      </c>
      <c r="F35" s="276">
        <f t="shared" si="4"/>
        <v>250.18044490800784</v>
      </c>
      <c r="G35" s="276">
        <f t="shared" si="4"/>
        <v>370.89566736201175</v>
      </c>
      <c r="H35" s="277">
        <f t="shared" si="4"/>
        <v>733.0413347240235</v>
      </c>
      <c r="R35" s="175"/>
      <c r="S35" s="37"/>
      <c r="T35" s="37"/>
      <c r="U35" s="37"/>
      <c r="V35" s="214"/>
      <c r="W35" s="214"/>
      <c r="X35" s="214"/>
      <c r="Y35" s="214"/>
      <c r="Z35" s="214"/>
      <c r="AA35" s="214"/>
      <c r="AB35" s="214"/>
      <c r="AC35" s="214"/>
      <c r="AD35" s="214"/>
      <c r="AE35" s="214"/>
    </row>
    <row r="36" spans="2:31" x14ac:dyDescent="0.25">
      <c r="B36" s="270">
        <v>0.09</v>
      </c>
      <c r="C36" s="276">
        <f t="shared" si="4"/>
        <v>73.131451975468764</v>
      </c>
      <c r="D36" s="276">
        <f t="shared" si="4"/>
        <v>137.51290395093753</v>
      </c>
      <c r="E36" s="276">
        <f t="shared" si="4"/>
        <v>169.7036299386719</v>
      </c>
      <c r="F36" s="276">
        <f t="shared" si="4"/>
        <v>223.3548399182292</v>
      </c>
      <c r="G36" s="276">
        <f t="shared" si="4"/>
        <v>330.65725987734379</v>
      </c>
      <c r="H36" s="277">
        <f t="shared" si="4"/>
        <v>652.56451975468758</v>
      </c>
      <c r="R36" s="175"/>
      <c r="S36" s="37"/>
      <c r="T36" s="37"/>
      <c r="U36" s="37"/>
      <c r="V36" s="214"/>
      <c r="W36" s="214"/>
      <c r="X36" s="214"/>
      <c r="Y36" s="214"/>
      <c r="Z36" s="214"/>
      <c r="AA36" s="214"/>
      <c r="AB36" s="214"/>
      <c r="AC36" s="214"/>
      <c r="AD36" s="214"/>
      <c r="AE36" s="214"/>
    </row>
    <row r="37" spans="2:31" x14ac:dyDescent="0.25">
      <c r="B37" s="270">
        <v>0.1</v>
      </c>
      <c r="C37" s="278">
        <f t="shared" si="4"/>
        <v>66.69330677792189</v>
      </c>
      <c r="D37" s="276">
        <f t="shared" si="4"/>
        <v>124.63661355584377</v>
      </c>
      <c r="E37" s="276">
        <f t="shared" si="4"/>
        <v>153.60826694480471</v>
      </c>
      <c r="F37" s="276">
        <f t="shared" si="4"/>
        <v>201.89435592640626</v>
      </c>
      <c r="G37" s="276">
        <f t="shared" si="4"/>
        <v>298.46653388960942</v>
      </c>
      <c r="H37" s="277">
        <f t="shared" si="4"/>
        <v>588.18306777921885</v>
      </c>
      <c r="R37" s="175"/>
      <c r="S37" s="37"/>
      <c r="T37" s="37"/>
      <c r="U37" s="37"/>
      <c r="V37" s="214"/>
      <c r="W37" s="214"/>
      <c r="X37" s="214"/>
      <c r="Y37" s="214"/>
      <c r="Z37" s="214"/>
      <c r="AA37" s="214"/>
      <c r="AB37" s="214"/>
      <c r="AC37" s="214"/>
      <c r="AD37" s="214"/>
      <c r="AE37" s="214"/>
    </row>
    <row r="38" spans="2:31" x14ac:dyDescent="0.25">
      <c r="B38" s="270">
        <v>0.11</v>
      </c>
      <c r="C38" s="278">
        <f t="shared" ref="C38:H47" si="5">(C$20/$B38+C$25)/$C$9</f>
        <v>61.425733434474445</v>
      </c>
      <c r="D38" s="276">
        <f t="shared" si="5"/>
        <v>114.10146686894889</v>
      </c>
      <c r="E38" s="276">
        <f t="shared" si="5"/>
        <v>140.43933358618611</v>
      </c>
      <c r="F38" s="276">
        <f t="shared" si="5"/>
        <v>184.33577811491483</v>
      </c>
      <c r="G38" s="276">
        <f t="shared" si="5"/>
        <v>272.12866717237222</v>
      </c>
      <c r="H38" s="277">
        <f t="shared" si="5"/>
        <v>535.50733434474444</v>
      </c>
      <c r="R38" s="175"/>
      <c r="S38" s="37"/>
      <c r="T38" s="37"/>
      <c r="U38" s="37"/>
      <c r="V38" s="214"/>
      <c r="W38" s="214"/>
      <c r="X38" s="214"/>
      <c r="Y38" s="214"/>
      <c r="Z38" s="214"/>
      <c r="AA38" s="214"/>
      <c r="AB38" s="214"/>
      <c r="AC38" s="214"/>
      <c r="AD38" s="214"/>
      <c r="AE38" s="214"/>
    </row>
    <row r="39" spans="2:31" x14ac:dyDescent="0.25">
      <c r="B39" s="270">
        <v>0.12</v>
      </c>
      <c r="C39" s="278">
        <f t="shared" si="5"/>
        <v>57.036088981601573</v>
      </c>
      <c r="D39" s="276">
        <f t="shared" si="5"/>
        <v>105.32217796320315</v>
      </c>
      <c r="E39" s="276">
        <f t="shared" si="5"/>
        <v>129.46522245400394</v>
      </c>
      <c r="F39" s="276">
        <f t="shared" si="5"/>
        <v>169.7036299386719</v>
      </c>
      <c r="G39" s="276">
        <f t="shared" si="5"/>
        <v>250.18044490800784</v>
      </c>
      <c r="H39" s="277">
        <f t="shared" si="5"/>
        <v>491.61088981601569</v>
      </c>
      <c r="R39" s="175"/>
      <c r="S39" s="37"/>
      <c r="T39" s="37"/>
      <c r="U39" s="37"/>
      <c r="V39" s="214"/>
      <c r="W39" s="214"/>
      <c r="X39" s="214"/>
      <c r="Y39" s="214"/>
      <c r="Z39" s="214"/>
      <c r="AA39" s="214"/>
      <c r="AB39" s="214"/>
      <c r="AC39" s="214"/>
      <c r="AD39" s="214"/>
      <c r="AE39" s="214"/>
    </row>
    <row r="40" spans="2:31" x14ac:dyDescent="0.25">
      <c r="B40" s="270">
        <v>0.13</v>
      </c>
      <c r="C40" s="278">
        <f t="shared" si="5"/>
        <v>53.321774444555295</v>
      </c>
      <c r="D40" s="276">
        <f t="shared" si="5"/>
        <v>97.89354888911059</v>
      </c>
      <c r="E40" s="276">
        <f t="shared" si="5"/>
        <v>120.17943611138824</v>
      </c>
      <c r="F40" s="276">
        <f t="shared" si="5"/>
        <v>157.32258148185099</v>
      </c>
      <c r="G40" s="276">
        <f t="shared" si="5"/>
        <v>231.60887222277648</v>
      </c>
      <c r="H40" s="277">
        <f t="shared" si="5"/>
        <v>454.46774444555297</v>
      </c>
      <c r="R40" s="175"/>
      <c r="S40" s="37"/>
      <c r="T40" s="37"/>
      <c r="U40" s="37"/>
      <c r="V40" s="214"/>
      <c r="W40" s="214"/>
      <c r="X40" s="214"/>
      <c r="Y40" s="214"/>
      <c r="Z40" s="214"/>
      <c r="AA40" s="214"/>
      <c r="AB40" s="214"/>
      <c r="AC40" s="214"/>
      <c r="AD40" s="214"/>
      <c r="AE40" s="214"/>
    </row>
    <row r="41" spans="2:31" x14ac:dyDescent="0.25">
      <c r="B41" s="270">
        <v>0.14000000000000001</v>
      </c>
      <c r="C41" s="278">
        <f t="shared" si="5"/>
        <v>50.1380762699442</v>
      </c>
      <c r="D41" s="276">
        <f t="shared" si="5"/>
        <v>91.5261525398884</v>
      </c>
      <c r="E41" s="276">
        <f t="shared" si="5"/>
        <v>112.22019067486049</v>
      </c>
      <c r="F41" s="276">
        <f t="shared" si="5"/>
        <v>146.71025423314734</v>
      </c>
      <c r="G41" s="276">
        <f t="shared" si="5"/>
        <v>215.69038134972098</v>
      </c>
      <c r="H41" s="277">
        <f t="shared" si="5"/>
        <v>422.63076269944196</v>
      </c>
      <c r="R41" s="175"/>
      <c r="S41" s="37"/>
      <c r="T41" s="37"/>
      <c r="U41" s="37"/>
      <c r="V41" s="214"/>
      <c r="W41" s="214"/>
      <c r="X41" s="214"/>
      <c r="Y41" s="214"/>
      <c r="Z41" s="214"/>
      <c r="AA41" s="214"/>
      <c r="AB41" s="214"/>
      <c r="AC41" s="214"/>
      <c r="AD41" s="214"/>
      <c r="AE41" s="214"/>
    </row>
    <row r="42" spans="2:31" x14ac:dyDescent="0.25">
      <c r="B42" s="270">
        <v>0.15</v>
      </c>
      <c r="C42" s="278">
        <f t="shared" si="5"/>
        <v>47.378871185281263</v>
      </c>
      <c r="D42" s="276">
        <f t="shared" si="5"/>
        <v>86.007742370562525</v>
      </c>
      <c r="E42" s="276">
        <f t="shared" si="5"/>
        <v>105.32217796320315</v>
      </c>
      <c r="F42" s="276">
        <f t="shared" si="5"/>
        <v>137.51290395093753</v>
      </c>
      <c r="G42" s="276">
        <f t="shared" si="5"/>
        <v>201.89435592640629</v>
      </c>
      <c r="H42" s="277">
        <f t="shared" si="5"/>
        <v>395.03871185281258</v>
      </c>
      <c r="R42" s="175"/>
      <c r="S42" s="37"/>
      <c r="T42" s="37"/>
      <c r="U42" s="37"/>
      <c r="V42" s="214"/>
      <c r="W42" s="214"/>
      <c r="X42" s="214"/>
      <c r="Y42" s="214"/>
      <c r="Z42" s="214"/>
      <c r="AA42" s="214"/>
      <c r="AB42" s="214"/>
      <c r="AC42" s="214"/>
      <c r="AD42" s="214"/>
      <c r="AE42" s="214"/>
    </row>
    <row r="43" spans="2:31" x14ac:dyDescent="0.25">
      <c r="B43" s="270">
        <v>0.16</v>
      </c>
      <c r="C43" s="278">
        <f t="shared" si="5"/>
        <v>44.964566736201178</v>
      </c>
      <c r="D43" s="276">
        <f t="shared" si="5"/>
        <v>81.179133472402356</v>
      </c>
      <c r="E43" s="276">
        <f t="shared" si="5"/>
        <v>99.286416840502937</v>
      </c>
      <c r="F43" s="276">
        <f t="shared" si="5"/>
        <v>129.46522245400394</v>
      </c>
      <c r="G43" s="276">
        <f t="shared" si="5"/>
        <v>189.82283368100587</v>
      </c>
      <c r="H43" s="277">
        <f t="shared" si="5"/>
        <v>370.89566736201175</v>
      </c>
      <c r="R43" s="175"/>
      <c r="S43" s="37"/>
      <c r="T43" s="37"/>
      <c r="U43" s="37"/>
      <c r="V43" s="214"/>
      <c r="W43" s="214"/>
      <c r="X43" s="214"/>
      <c r="Y43" s="214"/>
      <c r="Z43" s="214"/>
      <c r="AA43" s="214"/>
      <c r="AB43" s="214"/>
      <c r="AC43" s="214"/>
      <c r="AD43" s="214"/>
      <c r="AE43" s="214"/>
    </row>
    <row r="44" spans="2:31" x14ac:dyDescent="0.25">
      <c r="B44" s="270">
        <v>0.17</v>
      </c>
      <c r="C44" s="278">
        <f t="shared" si="5"/>
        <v>42.834298104659936</v>
      </c>
      <c r="D44" s="276">
        <f t="shared" si="5"/>
        <v>76.918596209319873</v>
      </c>
      <c r="E44" s="276">
        <f t="shared" si="5"/>
        <v>93.960745261649819</v>
      </c>
      <c r="F44" s="276">
        <f t="shared" si="5"/>
        <v>122.36432701553311</v>
      </c>
      <c r="G44" s="276">
        <f t="shared" si="5"/>
        <v>179.17149052329964</v>
      </c>
      <c r="H44" s="277">
        <f t="shared" si="5"/>
        <v>349.59298104659928</v>
      </c>
      <c r="R44" s="175"/>
      <c r="S44" s="37"/>
      <c r="T44" s="37"/>
      <c r="U44" s="37"/>
      <c r="V44" s="214"/>
      <c r="W44" s="214"/>
      <c r="X44" s="214"/>
      <c r="Y44" s="214"/>
      <c r="Z44" s="214"/>
      <c r="AA44" s="214"/>
      <c r="AB44" s="214"/>
      <c r="AC44" s="214"/>
      <c r="AD44" s="214"/>
      <c r="AE44" s="214"/>
    </row>
    <row r="45" spans="2:31" x14ac:dyDescent="0.25">
      <c r="B45" s="270">
        <v>0.18</v>
      </c>
      <c r="C45" s="278">
        <f t="shared" si="5"/>
        <v>40.940725987734382</v>
      </c>
      <c r="D45" s="276">
        <f t="shared" si="5"/>
        <v>73.131451975468764</v>
      </c>
      <c r="E45" s="276">
        <f t="shared" si="5"/>
        <v>89.226814969335948</v>
      </c>
      <c r="F45" s="276">
        <f t="shared" si="5"/>
        <v>116.0524199591146</v>
      </c>
      <c r="G45" s="276">
        <f t="shared" si="5"/>
        <v>169.7036299386719</v>
      </c>
      <c r="H45" s="277">
        <f t="shared" si="5"/>
        <v>330.65725987734379</v>
      </c>
      <c r="R45" s="175"/>
      <c r="S45" s="37"/>
      <c r="T45" s="37"/>
      <c r="U45" s="37"/>
      <c r="V45" s="214"/>
      <c r="W45" s="214"/>
      <c r="X45" s="214"/>
      <c r="Y45" s="214"/>
      <c r="Z45" s="214"/>
      <c r="AA45" s="214"/>
      <c r="AB45" s="214"/>
      <c r="AC45" s="214"/>
      <c r="AD45" s="214"/>
      <c r="AE45" s="214"/>
    </row>
    <row r="46" spans="2:31" x14ac:dyDescent="0.25">
      <c r="B46" s="270">
        <v>0.19</v>
      </c>
      <c r="C46" s="278">
        <f t="shared" si="5"/>
        <v>39.246477251537833</v>
      </c>
      <c r="D46" s="278">
        <f t="shared" si="5"/>
        <v>69.742954503075666</v>
      </c>
      <c r="E46" s="276">
        <f t="shared" si="5"/>
        <v>84.991193128844586</v>
      </c>
      <c r="F46" s="276">
        <f t="shared" si="5"/>
        <v>110.4049241717928</v>
      </c>
      <c r="G46" s="276">
        <f t="shared" si="5"/>
        <v>161.23238625768917</v>
      </c>
      <c r="H46" s="277">
        <f t="shared" si="5"/>
        <v>313.71477251537834</v>
      </c>
      <c r="R46" s="175"/>
      <c r="S46" s="37"/>
      <c r="T46" s="37"/>
      <c r="U46" s="37"/>
      <c r="V46" s="214"/>
      <c r="W46" s="214"/>
      <c r="X46" s="214"/>
      <c r="Y46" s="214"/>
      <c r="Z46" s="214"/>
      <c r="AA46" s="214"/>
      <c r="AB46" s="214"/>
      <c r="AC46" s="214"/>
      <c r="AD46" s="214"/>
      <c r="AE46" s="214"/>
    </row>
    <row r="47" spans="2:31" x14ac:dyDescent="0.25">
      <c r="B47" s="270">
        <v>0.2</v>
      </c>
      <c r="C47" s="278">
        <f t="shared" si="5"/>
        <v>37.721653388960945</v>
      </c>
      <c r="D47" s="278">
        <f t="shared" si="5"/>
        <v>66.69330677792189</v>
      </c>
      <c r="E47" s="276">
        <f t="shared" si="5"/>
        <v>81.179133472402356</v>
      </c>
      <c r="F47" s="276">
        <f t="shared" si="5"/>
        <v>105.32217796320315</v>
      </c>
      <c r="G47" s="276">
        <f t="shared" si="5"/>
        <v>153.60826694480471</v>
      </c>
      <c r="H47" s="277">
        <f t="shared" si="5"/>
        <v>298.46653388960942</v>
      </c>
      <c r="R47" s="175"/>
      <c r="S47" s="37"/>
      <c r="T47" s="37"/>
      <c r="U47" s="37"/>
      <c r="V47" s="214"/>
      <c r="W47" s="214"/>
      <c r="X47" s="214"/>
      <c r="Y47" s="214"/>
      <c r="Z47" s="214"/>
      <c r="AA47" s="214"/>
      <c r="AB47" s="214"/>
      <c r="AC47" s="214"/>
      <c r="AD47" s="214"/>
      <c r="AE47" s="214"/>
    </row>
    <row r="48" spans="2:31" x14ac:dyDescent="0.25">
      <c r="B48" s="270">
        <v>0.21</v>
      </c>
      <c r="C48" s="278">
        <f t="shared" ref="C48:H57" si="6">(C$20/$B48+C$25)/$C$9</f>
        <v>36.342050846629476</v>
      </c>
      <c r="D48" s="278">
        <f t="shared" si="6"/>
        <v>63.934101693258945</v>
      </c>
      <c r="E48" s="276">
        <f t="shared" si="6"/>
        <v>77.730127116573669</v>
      </c>
      <c r="F48" s="276">
        <f t="shared" si="6"/>
        <v>100.72350282209824</v>
      </c>
      <c r="G48" s="276">
        <f t="shared" si="6"/>
        <v>146.71025423314734</v>
      </c>
      <c r="H48" s="277">
        <f t="shared" si="6"/>
        <v>284.67050846629468</v>
      </c>
      <c r="R48" s="175"/>
      <c r="S48" s="37"/>
      <c r="T48" s="37"/>
      <c r="U48" s="37"/>
      <c r="V48" s="214"/>
      <c r="W48" s="214"/>
      <c r="X48" s="214"/>
      <c r="Y48" s="214"/>
      <c r="Z48" s="214"/>
      <c r="AA48" s="214"/>
      <c r="AB48" s="214"/>
      <c r="AC48" s="214"/>
      <c r="AD48" s="214"/>
      <c r="AE48" s="214"/>
    </row>
    <row r="49" spans="2:31" x14ac:dyDescent="0.25">
      <c r="B49" s="270">
        <v>0.22</v>
      </c>
      <c r="C49" s="278">
        <f t="shared" si="6"/>
        <v>35.087866717237219</v>
      </c>
      <c r="D49" s="278">
        <f t="shared" si="6"/>
        <v>61.425733434474445</v>
      </c>
      <c r="E49" s="276">
        <f t="shared" si="6"/>
        <v>74.594666793093054</v>
      </c>
      <c r="F49" s="276">
        <f t="shared" si="6"/>
        <v>96.542889057457415</v>
      </c>
      <c r="G49" s="276">
        <f t="shared" si="6"/>
        <v>140.43933358618611</v>
      </c>
      <c r="H49" s="277">
        <f t="shared" si="6"/>
        <v>272.12866717237222</v>
      </c>
      <c r="R49" s="175"/>
      <c r="S49" s="37"/>
      <c r="T49" s="37"/>
      <c r="U49" s="37"/>
      <c r="V49" s="214"/>
      <c r="W49" s="214"/>
      <c r="X49" s="214"/>
      <c r="Y49" s="214"/>
      <c r="Z49" s="214"/>
      <c r="AA49" s="214"/>
      <c r="AB49" s="214"/>
      <c r="AC49" s="214"/>
      <c r="AD49" s="214"/>
      <c r="AE49" s="214"/>
    </row>
    <row r="50" spans="2:31" x14ac:dyDescent="0.25">
      <c r="B50" s="270">
        <v>0.23</v>
      </c>
      <c r="C50" s="278">
        <f t="shared" si="6"/>
        <v>33.942742077357344</v>
      </c>
      <c r="D50" s="278">
        <f t="shared" si="6"/>
        <v>59.135484154714689</v>
      </c>
      <c r="E50" s="276">
        <f t="shared" si="6"/>
        <v>71.731855193393343</v>
      </c>
      <c r="F50" s="276">
        <f t="shared" si="6"/>
        <v>92.725806924524463</v>
      </c>
      <c r="G50" s="276">
        <f t="shared" si="6"/>
        <v>134.71371038678669</v>
      </c>
      <c r="H50" s="277">
        <f t="shared" si="6"/>
        <v>260.67742077357337</v>
      </c>
      <c r="R50" s="175"/>
      <c r="S50" s="37"/>
      <c r="T50" s="37"/>
      <c r="U50" s="37"/>
      <c r="V50" s="214"/>
      <c r="W50" s="214"/>
      <c r="X50" s="214"/>
      <c r="Y50" s="214"/>
      <c r="Z50" s="214"/>
      <c r="AA50" s="214"/>
      <c r="AB50" s="214"/>
      <c r="AC50" s="214"/>
      <c r="AD50" s="214"/>
      <c r="AE50" s="214"/>
    </row>
    <row r="51" spans="2:31" x14ac:dyDescent="0.25">
      <c r="B51" s="270">
        <v>0.24</v>
      </c>
      <c r="C51" s="278">
        <f t="shared" si="6"/>
        <v>32.89304449080079</v>
      </c>
      <c r="D51" s="278">
        <f t="shared" si="6"/>
        <v>57.036088981601573</v>
      </c>
      <c r="E51" s="278">
        <f t="shared" si="6"/>
        <v>69.107611227001968</v>
      </c>
      <c r="F51" s="276">
        <f t="shared" si="6"/>
        <v>89.226814969335948</v>
      </c>
      <c r="G51" s="276">
        <f t="shared" si="6"/>
        <v>129.46522245400394</v>
      </c>
      <c r="H51" s="277">
        <f t="shared" si="6"/>
        <v>250.18044490800784</v>
      </c>
      <c r="R51" s="175"/>
      <c r="S51" s="37"/>
      <c r="T51" s="37"/>
      <c r="U51" s="37"/>
      <c r="V51" s="214"/>
      <c r="W51" s="214"/>
      <c r="X51" s="214"/>
      <c r="Y51" s="214"/>
      <c r="Z51" s="214"/>
      <c r="AA51" s="214"/>
      <c r="AB51" s="214"/>
      <c r="AC51" s="214"/>
      <c r="AD51" s="214"/>
      <c r="AE51" s="214"/>
    </row>
    <row r="52" spans="2:31" x14ac:dyDescent="0.25">
      <c r="B52" s="270">
        <v>0.25</v>
      </c>
      <c r="C52" s="278">
        <f t="shared" si="6"/>
        <v>31.927322711168756</v>
      </c>
      <c r="D52" s="278">
        <f t="shared" si="6"/>
        <v>55.104645422337512</v>
      </c>
      <c r="E52" s="278">
        <f t="shared" si="6"/>
        <v>66.69330677792189</v>
      </c>
      <c r="F52" s="276">
        <f t="shared" si="6"/>
        <v>86.007742370562511</v>
      </c>
      <c r="G52" s="276">
        <f t="shared" si="6"/>
        <v>124.63661355584377</v>
      </c>
      <c r="H52" s="277">
        <f t="shared" si="6"/>
        <v>240.52322711168753</v>
      </c>
      <c r="R52" s="175"/>
      <c r="S52" s="37"/>
      <c r="T52" s="37"/>
      <c r="U52" s="37"/>
      <c r="V52" s="214"/>
      <c r="W52" s="214"/>
      <c r="X52" s="214"/>
      <c r="Y52" s="214"/>
      <c r="Z52" s="214"/>
      <c r="AA52" s="214"/>
      <c r="AB52" s="214"/>
      <c r="AC52" s="214"/>
      <c r="AD52" s="214"/>
      <c r="AE52" s="214"/>
    </row>
    <row r="53" spans="2:31" x14ac:dyDescent="0.25">
      <c r="B53" s="270">
        <v>0.26</v>
      </c>
      <c r="C53" s="278">
        <f t="shared" si="6"/>
        <v>31.035887222277648</v>
      </c>
      <c r="D53" s="278">
        <f t="shared" si="6"/>
        <v>53.321774444555295</v>
      </c>
      <c r="E53" s="278">
        <f t="shared" si="6"/>
        <v>64.464718055694121</v>
      </c>
      <c r="F53" s="276">
        <f t="shared" si="6"/>
        <v>83.036290740925494</v>
      </c>
      <c r="G53" s="276">
        <f t="shared" si="6"/>
        <v>120.17943611138824</v>
      </c>
      <c r="H53" s="277">
        <f t="shared" si="6"/>
        <v>231.60887222277648</v>
      </c>
      <c r="R53" s="175"/>
      <c r="S53" s="37"/>
      <c r="T53" s="37"/>
      <c r="U53" s="37"/>
      <c r="V53" s="214"/>
      <c r="W53" s="214"/>
      <c r="X53" s="214"/>
      <c r="Y53" s="214"/>
      <c r="Z53" s="214"/>
      <c r="AA53" s="214"/>
      <c r="AB53" s="214"/>
      <c r="AC53" s="214"/>
      <c r="AD53" s="214"/>
      <c r="AE53" s="214"/>
    </row>
    <row r="54" spans="2:31" x14ac:dyDescent="0.25">
      <c r="B54" s="270">
        <v>0.27</v>
      </c>
      <c r="C54" s="278">
        <f t="shared" si="6"/>
        <v>30.210483991822922</v>
      </c>
      <c r="D54" s="278">
        <f t="shared" si="6"/>
        <v>51.670967983645845</v>
      </c>
      <c r="E54" s="278">
        <f t="shared" si="6"/>
        <v>62.401209979557301</v>
      </c>
      <c r="F54" s="276">
        <f t="shared" si="6"/>
        <v>80.284946639409739</v>
      </c>
      <c r="G54" s="276">
        <f t="shared" si="6"/>
        <v>116.0524199591146</v>
      </c>
      <c r="H54" s="277">
        <f t="shared" si="6"/>
        <v>223.3548399182292</v>
      </c>
      <c r="R54" s="175"/>
      <c r="S54" s="37"/>
      <c r="T54" s="37"/>
      <c r="U54" s="37"/>
      <c r="V54" s="214"/>
      <c r="W54" s="214"/>
      <c r="X54" s="214"/>
      <c r="Y54" s="214"/>
      <c r="Z54" s="214"/>
      <c r="AA54" s="214"/>
      <c r="AB54" s="214"/>
      <c r="AC54" s="214"/>
      <c r="AD54" s="214"/>
      <c r="AE54" s="214"/>
    </row>
    <row r="55" spans="2:31" x14ac:dyDescent="0.25">
      <c r="B55" s="270">
        <v>0.28000000000000003</v>
      </c>
      <c r="C55" s="278">
        <f t="shared" si="6"/>
        <v>29.4440381349721</v>
      </c>
      <c r="D55" s="278">
        <f t="shared" si="6"/>
        <v>50.1380762699442</v>
      </c>
      <c r="E55" s="278">
        <f t="shared" si="6"/>
        <v>60.485095337430245</v>
      </c>
      <c r="F55" s="276">
        <f t="shared" si="6"/>
        <v>77.730127116573669</v>
      </c>
      <c r="G55" s="276">
        <f t="shared" si="6"/>
        <v>112.22019067486049</v>
      </c>
      <c r="H55" s="277">
        <f t="shared" si="6"/>
        <v>215.69038134972098</v>
      </c>
      <c r="R55" s="175"/>
      <c r="S55" s="37"/>
      <c r="T55" s="37"/>
      <c r="U55" s="37"/>
      <c r="V55" s="214"/>
      <c r="W55" s="214"/>
      <c r="X55" s="214"/>
      <c r="Y55" s="214"/>
      <c r="Z55" s="214"/>
      <c r="AA55" s="214"/>
      <c r="AB55" s="214"/>
      <c r="AC55" s="214"/>
      <c r="AD55" s="214"/>
      <c r="AE55" s="214"/>
    </row>
    <row r="56" spans="2:31" x14ac:dyDescent="0.25">
      <c r="B56" s="270">
        <v>0.28999999999999998</v>
      </c>
      <c r="C56" s="278">
        <f t="shared" si="6"/>
        <v>28.730450613076517</v>
      </c>
      <c r="D56" s="278">
        <f t="shared" si="6"/>
        <v>48.710901226153034</v>
      </c>
      <c r="E56" s="278">
        <f t="shared" si="6"/>
        <v>58.701126532691283</v>
      </c>
      <c r="F56" s="276">
        <f t="shared" si="6"/>
        <v>75.351502043588383</v>
      </c>
      <c r="G56" s="276">
        <f t="shared" si="6"/>
        <v>108.65225306538257</v>
      </c>
      <c r="H56" s="277">
        <f t="shared" si="6"/>
        <v>208.55450613076513</v>
      </c>
      <c r="R56" s="175"/>
      <c r="S56" s="37"/>
      <c r="T56" s="37"/>
      <c r="U56" s="37"/>
      <c r="V56" s="214"/>
      <c r="W56" s="214"/>
      <c r="X56" s="214"/>
      <c r="Y56" s="214"/>
      <c r="Z56" s="214"/>
      <c r="AA56" s="214"/>
      <c r="AB56" s="214"/>
      <c r="AC56" s="214"/>
      <c r="AD56" s="214"/>
      <c r="AE56" s="214"/>
    </row>
    <row r="57" spans="2:31" x14ac:dyDescent="0.25">
      <c r="B57" s="270">
        <v>0.3</v>
      </c>
      <c r="C57" s="278">
        <f t="shared" si="6"/>
        <v>28.064435592640631</v>
      </c>
      <c r="D57" s="278">
        <f t="shared" si="6"/>
        <v>47.378871185281263</v>
      </c>
      <c r="E57" s="278">
        <f t="shared" si="6"/>
        <v>57.036088981601573</v>
      </c>
      <c r="F57" s="276">
        <f t="shared" si="6"/>
        <v>73.131451975468764</v>
      </c>
      <c r="G57" s="276">
        <f t="shared" si="6"/>
        <v>105.32217796320315</v>
      </c>
      <c r="H57" s="277">
        <f t="shared" si="6"/>
        <v>201.89435592640629</v>
      </c>
      <c r="R57" s="175"/>
      <c r="S57" s="37"/>
      <c r="T57" s="37"/>
      <c r="U57" s="37"/>
      <c r="V57" s="214"/>
      <c r="W57" s="214"/>
      <c r="X57" s="214"/>
      <c r="Y57" s="214"/>
      <c r="Z57" s="214"/>
      <c r="AA57" s="214"/>
      <c r="AB57" s="214"/>
      <c r="AC57" s="214"/>
      <c r="AD57" s="214"/>
      <c r="AE57" s="214"/>
    </row>
    <row r="58" spans="2:31" x14ac:dyDescent="0.25">
      <c r="B58" s="270">
        <v>0.31</v>
      </c>
      <c r="C58" s="278">
        <f t="shared" ref="C58:H67" si="7">(C$20/$B58+C$25)/$C$9</f>
        <v>27.441389283200614</v>
      </c>
      <c r="D58" s="278">
        <f t="shared" si="7"/>
        <v>46.132778566401221</v>
      </c>
      <c r="E58" s="278">
        <f t="shared" si="7"/>
        <v>55.478473208001517</v>
      </c>
      <c r="F58" s="276">
        <f t="shared" si="7"/>
        <v>71.054630944002028</v>
      </c>
      <c r="G58" s="276">
        <f t="shared" si="7"/>
        <v>102.20694641600303</v>
      </c>
      <c r="H58" s="277">
        <f t="shared" si="7"/>
        <v>195.66389283200607</v>
      </c>
      <c r="R58" s="175"/>
      <c r="S58" s="37"/>
      <c r="T58" s="37"/>
      <c r="U58" s="37"/>
      <c r="V58" s="214"/>
      <c r="W58" s="214"/>
      <c r="X58" s="214"/>
      <c r="Y58" s="214"/>
      <c r="Z58" s="214"/>
      <c r="AA58" s="214"/>
      <c r="AB58" s="214"/>
      <c r="AC58" s="214"/>
      <c r="AD58" s="214"/>
      <c r="AE58" s="214"/>
    </row>
    <row r="59" spans="2:31" x14ac:dyDescent="0.25">
      <c r="B59" s="270">
        <v>0.32</v>
      </c>
      <c r="C59" s="278">
        <f t="shared" si="7"/>
        <v>26.857283368100592</v>
      </c>
      <c r="D59" s="278">
        <f t="shared" si="7"/>
        <v>44.964566736201178</v>
      </c>
      <c r="E59" s="278">
        <f t="shared" si="7"/>
        <v>54.018208420251469</v>
      </c>
      <c r="F59" s="278">
        <f t="shared" si="7"/>
        <v>69.107611227001968</v>
      </c>
      <c r="G59" s="276">
        <f t="shared" si="7"/>
        <v>99.286416840502937</v>
      </c>
      <c r="H59" s="277">
        <f t="shared" si="7"/>
        <v>189.82283368100587</v>
      </c>
      <c r="R59" s="175"/>
      <c r="S59" s="37"/>
      <c r="T59" s="37"/>
      <c r="U59" s="37"/>
      <c r="V59" s="214"/>
      <c r="W59" s="214"/>
      <c r="X59" s="214"/>
      <c r="Y59" s="214"/>
      <c r="Z59" s="214"/>
      <c r="AA59" s="214"/>
      <c r="AB59" s="214"/>
      <c r="AC59" s="214"/>
      <c r="AD59" s="214"/>
      <c r="AE59" s="214"/>
    </row>
    <row r="60" spans="2:31" x14ac:dyDescent="0.25">
      <c r="B60" s="270">
        <v>0.33</v>
      </c>
      <c r="C60" s="278">
        <f t="shared" si="7"/>
        <v>26.308577811491478</v>
      </c>
      <c r="D60" s="278">
        <f t="shared" si="7"/>
        <v>43.867155622982963</v>
      </c>
      <c r="E60" s="278">
        <f t="shared" si="7"/>
        <v>52.646444528728694</v>
      </c>
      <c r="F60" s="278">
        <f t="shared" si="7"/>
        <v>67.278592704971601</v>
      </c>
      <c r="G60" s="276">
        <f t="shared" si="7"/>
        <v>96.542889057457401</v>
      </c>
      <c r="H60" s="277">
        <f t="shared" si="7"/>
        <v>184.3357781149148</v>
      </c>
      <c r="R60" s="175"/>
      <c r="S60" s="37"/>
      <c r="T60" s="37"/>
      <c r="U60" s="37"/>
      <c r="V60" s="214"/>
      <c r="W60" s="214"/>
      <c r="X60" s="214"/>
      <c r="Y60" s="214"/>
      <c r="Z60" s="214"/>
      <c r="AA60" s="214"/>
      <c r="AB60" s="214"/>
      <c r="AC60" s="214"/>
      <c r="AD60" s="214"/>
      <c r="AE60" s="214"/>
    </row>
    <row r="61" spans="2:31" x14ac:dyDescent="0.25">
      <c r="B61" s="270">
        <v>0.34</v>
      </c>
      <c r="C61" s="278">
        <f t="shared" si="7"/>
        <v>25.792149052329968</v>
      </c>
      <c r="D61" s="278">
        <f t="shared" si="7"/>
        <v>42.834298104659936</v>
      </c>
      <c r="E61" s="278">
        <f t="shared" si="7"/>
        <v>51.35537263082491</v>
      </c>
      <c r="F61" s="278">
        <f t="shared" si="7"/>
        <v>65.557163507766546</v>
      </c>
      <c r="G61" s="276">
        <f t="shared" si="7"/>
        <v>93.960745261649819</v>
      </c>
      <c r="H61" s="277">
        <f t="shared" si="7"/>
        <v>179.17149052329964</v>
      </c>
      <c r="R61" s="175"/>
      <c r="S61" s="37"/>
      <c r="T61" s="37"/>
      <c r="U61" s="37"/>
      <c r="V61" s="214"/>
      <c r="W61" s="214"/>
      <c r="X61" s="214"/>
      <c r="Y61" s="214"/>
      <c r="Z61" s="214"/>
      <c r="AA61" s="214"/>
      <c r="AB61" s="214"/>
      <c r="AC61" s="214"/>
      <c r="AD61" s="214"/>
      <c r="AE61" s="214"/>
    </row>
    <row r="62" spans="2:31" x14ac:dyDescent="0.25">
      <c r="B62" s="270">
        <v>0.35</v>
      </c>
      <c r="C62" s="278">
        <f t="shared" si="7"/>
        <v>25.305230507977683</v>
      </c>
      <c r="D62" s="278">
        <f t="shared" si="7"/>
        <v>41.860461015955366</v>
      </c>
      <c r="E62" s="278">
        <f t="shared" si="7"/>
        <v>50.138076269944207</v>
      </c>
      <c r="F62" s="278">
        <f t="shared" si="7"/>
        <v>63.934101693258945</v>
      </c>
      <c r="G62" s="276">
        <f t="shared" si="7"/>
        <v>91.526152539888415</v>
      </c>
      <c r="H62" s="277">
        <f t="shared" si="7"/>
        <v>174.30230507977683</v>
      </c>
      <c r="R62" s="175"/>
      <c r="S62" s="37"/>
      <c r="T62" s="37"/>
      <c r="U62" s="37"/>
      <c r="V62" s="214"/>
      <c r="W62" s="214"/>
      <c r="X62" s="214"/>
      <c r="Y62" s="214"/>
      <c r="Z62" s="214"/>
      <c r="AA62" s="214"/>
      <c r="AB62" s="214"/>
      <c r="AC62" s="214"/>
      <c r="AD62" s="214"/>
      <c r="AE62" s="214"/>
    </row>
    <row r="63" spans="2:31" x14ac:dyDescent="0.25">
      <c r="B63" s="270">
        <v>0.36</v>
      </c>
      <c r="C63" s="278">
        <f t="shared" si="7"/>
        <v>24.845362993867191</v>
      </c>
      <c r="D63" s="278">
        <f t="shared" si="7"/>
        <v>40.940725987734382</v>
      </c>
      <c r="E63" s="278">
        <f t="shared" si="7"/>
        <v>48.988407484667974</v>
      </c>
      <c r="F63" s="278">
        <f t="shared" si="7"/>
        <v>62.401209979557301</v>
      </c>
      <c r="G63" s="276">
        <f t="shared" si="7"/>
        <v>89.226814969335948</v>
      </c>
      <c r="H63" s="277">
        <f t="shared" si="7"/>
        <v>169.7036299386719</v>
      </c>
      <c r="R63" s="175"/>
      <c r="S63" s="37"/>
      <c r="T63" s="37"/>
      <c r="U63" s="37"/>
      <c r="V63" s="214"/>
      <c r="W63" s="214"/>
      <c r="X63" s="214"/>
      <c r="Y63" s="214"/>
      <c r="Z63" s="214"/>
      <c r="AA63" s="214"/>
      <c r="AB63" s="214"/>
      <c r="AC63" s="214"/>
      <c r="AD63" s="214"/>
      <c r="AE63" s="214"/>
    </row>
    <row r="64" spans="2:31" x14ac:dyDescent="0.25">
      <c r="B64" s="270">
        <v>0.37</v>
      </c>
      <c r="C64" s="278">
        <f t="shared" si="7"/>
        <v>24.410353183222135</v>
      </c>
      <c r="D64" s="278">
        <f t="shared" si="7"/>
        <v>40.07070636644427</v>
      </c>
      <c r="E64" s="278">
        <f t="shared" si="7"/>
        <v>47.900882958055327</v>
      </c>
      <c r="F64" s="278">
        <f t="shared" si="7"/>
        <v>60.951177277407112</v>
      </c>
      <c r="G64" s="276">
        <f t="shared" si="7"/>
        <v>87.051765916110654</v>
      </c>
      <c r="H64" s="277">
        <f t="shared" si="7"/>
        <v>165.35353183222131</v>
      </c>
      <c r="R64" s="175"/>
      <c r="S64" s="37"/>
      <c r="T64" s="37"/>
      <c r="U64" s="37"/>
      <c r="V64" s="214"/>
      <c r="W64" s="214"/>
      <c r="X64" s="214"/>
      <c r="Y64" s="214"/>
      <c r="Z64" s="214"/>
      <c r="AA64" s="214"/>
      <c r="AB64" s="214"/>
      <c r="AC64" s="214"/>
      <c r="AD64" s="214"/>
      <c r="AE64" s="214"/>
    </row>
    <row r="65" spans="2:32" x14ac:dyDescent="0.25">
      <c r="B65" s="270">
        <v>0.38</v>
      </c>
      <c r="C65" s="278">
        <f t="shared" si="7"/>
        <v>23.998238625768916</v>
      </c>
      <c r="D65" s="278">
        <f t="shared" si="7"/>
        <v>39.246477251537833</v>
      </c>
      <c r="E65" s="278">
        <f t="shared" si="7"/>
        <v>46.870596564422293</v>
      </c>
      <c r="F65" s="278">
        <f t="shared" si="7"/>
        <v>59.5774620858964</v>
      </c>
      <c r="G65" s="276">
        <f t="shared" si="7"/>
        <v>84.991193128844586</v>
      </c>
      <c r="H65" s="277">
        <f t="shared" si="7"/>
        <v>161.23238625768917</v>
      </c>
      <c r="R65" s="175"/>
      <c r="S65" s="37"/>
      <c r="T65" s="37"/>
      <c r="U65" s="37"/>
      <c r="V65" s="214"/>
      <c r="W65" s="214"/>
      <c r="X65" s="214"/>
      <c r="Y65" s="214"/>
      <c r="Z65" s="214"/>
      <c r="AA65" s="214"/>
      <c r="AB65" s="214"/>
      <c r="AC65" s="214"/>
      <c r="AD65" s="214"/>
      <c r="AE65" s="214"/>
    </row>
    <row r="66" spans="2:32" x14ac:dyDescent="0.25">
      <c r="B66" s="270">
        <v>0.39</v>
      </c>
      <c r="C66" s="278">
        <f t="shared" si="7"/>
        <v>23.6072581481851</v>
      </c>
      <c r="D66" s="278">
        <f t="shared" si="7"/>
        <v>38.464516296370199</v>
      </c>
      <c r="E66" s="278">
        <f t="shared" si="7"/>
        <v>45.893145370462747</v>
      </c>
      <c r="F66" s="278">
        <f t="shared" si="7"/>
        <v>58.274193827283668</v>
      </c>
      <c r="G66" s="276">
        <f t="shared" si="7"/>
        <v>83.036290740925494</v>
      </c>
      <c r="H66" s="277">
        <f t="shared" si="7"/>
        <v>157.32258148185099</v>
      </c>
      <c r="R66" s="175"/>
      <c r="S66" s="37"/>
      <c r="T66" s="37"/>
      <c r="U66" s="37"/>
      <c r="V66" s="214"/>
      <c r="W66" s="214"/>
      <c r="X66" s="214"/>
      <c r="Y66" s="214"/>
      <c r="Z66" s="214"/>
      <c r="AA66" s="214"/>
      <c r="AB66" s="214"/>
      <c r="AC66" s="214"/>
      <c r="AD66" s="214"/>
      <c r="AE66" s="214"/>
    </row>
    <row r="67" spans="2:32" ht="15.75" thickBot="1" x14ac:dyDescent="0.3">
      <c r="B67" s="272">
        <v>0.4</v>
      </c>
      <c r="C67" s="279">
        <f t="shared" si="7"/>
        <v>23.235826694480473</v>
      </c>
      <c r="D67" s="279">
        <f t="shared" si="7"/>
        <v>37.721653388960945</v>
      </c>
      <c r="E67" s="279">
        <f t="shared" si="7"/>
        <v>44.964566736201178</v>
      </c>
      <c r="F67" s="279">
        <f t="shared" si="7"/>
        <v>57.036088981601573</v>
      </c>
      <c r="G67" s="280">
        <f t="shared" si="7"/>
        <v>81.179133472402356</v>
      </c>
      <c r="H67" s="281">
        <f t="shared" si="7"/>
        <v>153.60826694480471</v>
      </c>
      <c r="R67" s="175"/>
      <c r="S67" s="37"/>
      <c r="T67" s="37"/>
      <c r="U67" s="37"/>
      <c r="V67" s="214"/>
      <c r="W67" s="214"/>
      <c r="X67" s="214"/>
      <c r="Y67" s="214"/>
      <c r="Z67" s="214"/>
      <c r="AA67" s="214"/>
      <c r="AB67" s="214"/>
      <c r="AC67" s="214"/>
      <c r="AD67" s="214"/>
      <c r="AE67" s="214"/>
    </row>
    <row r="68" spans="2:32" x14ac:dyDescent="0.25">
      <c r="S68" s="214"/>
      <c r="T68" s="214"/>
      <c r="U68" s="214"/>
      <c r="V68" s="214"/>
      <c r="W68" s="214"/>
      <c r="X68" s="214"/>
      <c r="Y68" s="214"/>
      <c r="Z68" s="214"/>
      <c r="AA68" s="214"/>
      <c r="AB68" s="214"/>
      <c r="AC68" s="214"/>
      <c r="AD68" s="214"/>
      <c r="AE68" s="214"/>
      <c r="AF68" s="214"/>
    </row>
    <row r="69" spans="2:32" ht="15.75" thickBot="1" x14ac:dyDescent="0.3">
      <c r="S69" s="214"/>
      <c r="T69" s="214"/>
      <c r="U69" s="214"/>
      <c r="V69" s="214"/>
      <c r="W69" s="214"/>
      <c r="X69" s="214"/>
      <c r="Y69" s="214"/>
      <c r="Z69" s="214"/>
      <c r="AA69" s="214"/>
      <c r="AB69" s="214"/>
      <c r="AC69" s="214"/>
      <c r="AD69" s="214"/>
      <c r="AE69" s="214"/>
      <c r="AF69" s="214"/>
    </row>
    <row r="70" spans="2:32" ht="17.25" x14ac:dyDescent="0.25">
      <c r="B70" s="19" t="s">
        <v>236</v>
      </c>
      <c r="C70" s="15" t="s">
        <v>8</v>
      </c>
      <c r="D70" s="15" t="s">
        <v>0</v>
      </c>
      <c r="E70" s="15" t="s">
        <v>1</v>
      </c>
      <c r="F70" s="15" t="s">
        <v>2</v>
      </c>
      <c r="G70" s="15" t="s">
        <v>3</v>
      </c>
      <c r="H70" s="15" t="s">
        <v>4</v>
      </c>
      <c r="I70" s="15" t="s">
        <v>5</v>
      </c>
      <c r="J70" s="15" t="s">
        <v>6</v>
      </c>
      <c r="K70" s="16" t="s">
        <v>7</v>
      </c>
      <c r="S70" s="214"/>
      <c r="T70" s="214"/>
      <c r="U70" s="214"/>
      <c r="V70" s="214"/>
      <c r="W70" s="214"/>
      <c r="X70" s="214"/>
      <c r="Y70" s="214"/>
      <c r="Z70" s="214"/>
      <c r="AA70" s="214"/>
      <c r="AB70" s="214"/>
      <c r="AC70" s="214"/>
      <c r="AD70" s="214"/>
      <c r="AE70" s="214"/>
      <c r="AF70" s="214"/>
    </row>
    <row r="71" spans="2:32" x14ac:dyDescent="0.25">
      <c r="B71" s="1" t="s">
        <v>35</v>
      </c>
      <c r="C71" s="2"/>
      <c r="D71" s="236">
        <v>0.01</v>
      </c>
      <c r="E71" s="236">
        <v>0.03</v>
      </c>
      <c r="F71" s="236">
        <v>7.0000000000000007E-2</v>
      </c>
      <c r="G71" s="236">
        <v>0.12</v>
      </c>
      <c r="H71" s="236">
        <v>0.17</v>
      </c>
      <c r="I71" s="236">
        <v>0.22</v>
      </c>
      <c r="J71" s="236">
        <v>0.25</v>
      </c>
      <c r="K71" s="237">
        <v>0.28000000000000003</v>
      </c>
      <c r="S71" s="214"/>
      <c r="T71" s="214"/>
      <c r="U71" s="214"/>
      <c r="V71" s="214"/>
      <c r="W71" s="214"/>
      <c r="X71" s="214"/>
      <c r="Y71" s="214"/>
      <c r="Z71" s="214"/>
      <c r="AA71" s="214"/>
      <c r="AB71" s="214"/>
      <c r="AC71" s="214"/>
      <c r="AD71" s="214"/>
      <c r="AE71" s="214"/>
      <c r="AF71" s="214"/>
    </row>
    <row r="72" spans="2:32" ht="17.25" x14ac:dyDescent="0.25">
      <c r="B72" s="233" t="s">
        <v>279</v>
      </c>
      <c r="C72" s="2"/>
      <c r="D72" s="234">
        <f>D71*5000</f>
        <v>50</v>
      </c>
      <c r="E72" s="234">
        <f t="shared" ref="E72:K72" si="8">E71*5000</f>
        <v>150</v>
      </c>
      <c r="F72" s="234">
        <f t="shared" si="8"/>
        <v>350.00000000000006</v>
      </c>
      <c r="G72" s="234">
        <f t="shared" si="8"/>
        <v>600</v>
      </c>
      <c r="H72" s="234">
        <f t="shared" si="8"/>
        <v>850.00000000000011</v>
      </c>
      <c r="I72" s="234">
        <f t="shared" si="8"/>
        <v>1100</v>
      </c>
      <c r="J72" s="234">
        <f t="shared" si="8"/>
        <v>1250</v>
      </c>
      <c r="K72" s="235">
        <f t="shared" si="8"/>
        <v>1400.0000000000002</v>
      </c>
      <c r="S72" s="214"/>
      <c r="T72" s="214"/>
      <c r="U72" s="214"/>
      <c r="V72" s="214"/>
      <c r="W72" s="214"/>
      <c r="X72" s="214"/>
      <c r="Y72" s="214"/>
      <c r="Z72" s="214"/>
      <c r="AA72" s="214"/>
      <c r="AB72" s="214"/>
      <c r="AC72" s="214"/>
      <c r="AD72" s="214"/>
      <c r="AE72" s="214"/>
      <c r="AF72" s="214"/>
    </row>
    <row r="73" spans="2:32" x14ac:dyDescent="0.25">
      <c r="B73" s="1" t="s">
        <v>18</v>
      </c>
      <c r="C73" s="2"/>
      <c r="D73" s="32">
        <f>D74*D71*$C$12*12</f>
        <v>42000.000000000007</v>
      </c>
      <c r="E73" s="32">
        <f t="shared" ref="E73:K73" si="9">E74*E71*$C$12*12</f>
        <v>131039.99999999997</v>
      </c>
      <c r="F73" s="32">
        <f t="shared" si="9"/>
        <v>317990.40000000002</v>
      </c>
      <c r="G73" s="32">
        <f t="shared" si="9"/>
        <v>566931.45600000001</v>
      </c>
      <c r="H73" s="32">
        <f t="shared" si="9"/>
        <v>772262.40000000002</v>
      </c>
      <c r="I73" s="32">
        <f t="shared" si="9"/>
        <v>1039374.3360000001</v>
      </c>
      <c r="J73" s="32">
        <f t="shared" si="9"/>
        <v>1228351.4880000001</v>
      </c>
      <c r="K73" s="34">
        <f t="shared" si="9"/>
        <v>1430783.8132224004</v>
      </c>
      <c r="S73" s="214"/>
      <c r="T73" s="214"/>
      <c r="U73" s="214"/>
      <c r="V73" s="214"/>
      <c r="W73" s="214"/>
      <c r="X73" s="214"/>
      <c r="Y73" s="214"/>
      <c r="Z73" s="214"/>
      <c r="AA73" s="214"/>
      <c r="AB73" s="214"/>
      <c r="AC73" s="214"/>
      <c r="AD73" s="214"/>
      <c r="AE73" s="214"/>
      <c r="AF73" s="214"/>
    </row>
    <row r="74" spans="2:32" x14ac:dyDescent="0.25">
      <c r="B74" s="1" t="s">
        <v>16</v>
      </c>
      <c r="C74" s="2"/>
      <c r="D74" s="33">
        <f>$C$5*(1-C75)</f>
        <v>70</v>
      </c>
      <c r="E74" s="33">
        <f>D74*1.04</f>
        <v>72.8</v>
      </c>
      <c r="F74" s="33">
        <f t="shared" ref="F74" si="10">E74*1.04</f>
        <v>75.712000000000003</v>
      </c>
      <c r="G74" s="33">
        <f t="shared" ref="G74" si="11">F74*1.04</f>
        <v>78.740480000000005</v>
      </c>
      <c r="H74" s="33">
        <f>E74*1.04</f>
        <v>75.712000000000003</v>
      </c>
      <c r="I74" s="33">
        <f t="shared" ref="I74" si="12">H74*1.04</f>
        <v>78.740480000000005</v>
      </c>
      <c r="J74" s="33">
        <f>G74*1.04</f>
        <v>81.890099200000009</v>
      </c>
      <c r="K74" s="35">
        <f>J74*1.04</f>
        <v>85.165703168000007</v>
      </c>
      <c r="S74" s="214"/>
      <c r="T74" s="214"/>
      <c r="U74" s="214"/>
      <c r="V74" s="214"/>
      <c r="W74" s="214"/>
      <c r="X74" s="214"/>
      <c r="Y74" s="214"/>
      <c r="Z74" s="214"/>
      <c r="AA74" s="214"/>
      <c r="AB74" s="214"/>
      <c r="AC74" s="214"/>
      <c r="AD74" s="214"/>
      <c r="AE74" s="214"/>
      <c r="AF74" s="214"/>
    </row>
    <row r="75" spans="2:32" x14ac:dyDescent="0.25">
      <c r="B75" s="163" t="s">
        <v>226</v>
      </c>
      <c r="C75" s="236">
        <v>0</v>
      </c>
      <c r="D75" s="32"/>
      <c r="E75" s="32"/>
      <c r="F75" s="32"/>
      <c r="G75" s="32"/>
      <c r="H75" s="32"/>
      <c r="I75" s="32"/>
      <c r="J75" s="32"/>
      <c r="K75" s="34"/>
      <c r="S75" s="214"/>
      <c r="T75" s="214"/>
      <c r="U75" s="214"/>
      <c r="V75" s="214"/>
      <c r="W75" s="214"/>
      <c r="X75" s="214"/>
      <c r="Y75" s="214"/>
      <c r="Z75" s="214"/>
      <c r="AA75" s="214"/>
      <c r="AB75" s="214"/>
      <c r="AC75" s="214"/>
      <c r="AD75" s="214"/>
      <c r="AE75" s="214"/>
      <c r="AF75" s="214"/>
    </row>
    <row r="76" spans="2:32" x14ac:dyDescent="0.25">
      <c r="B76" s="1" t="s">
        <v>10</v>
      </c>
      <c r="C76" s="2"/>
      <c r="D76" s="32"/>
      <c r="E76" s="32"/>
      <c r="F76" s="32"/>
      <c r="G76" s="32"/>
      <c r="H76" s="32"/>
      <c r="I76" s="32"/>
      <c r="J76" s="32"/>
      <c r="K76" s="34"/>
      <c r="S76" s="214"/>
      <c r="T76" s="214"/>
      <c r="U76" s="214"/>
      <c r="V76" s="214"/>
      <c r="W76" s="214"/>
      <c r="X76" s="214"/>
      <c r="Y76" s="214"/>
      <c r="Z76" s="214"/>
      <c r="AA76" s="214"/>
      <c r="AB76" s="214"/>
      <c r="AC76" s="214"/>
      <c r="AD76" s="214"/>
      <c r="AE76" s="214"/>
      <c r="AF76" s="214"/>
    </row>
    <row r="77" spans="2:32" x14ac:dyDescent="0.25">
      <c r="B77" s="7" t="s">
        <v>36</v>
      </c>
      <c r="C77" s="2"/>
      <c r="D77" s="32">
        <f>VLOOKUP(D71,$B$28:$H$67,2)*D71*$C$12*12</f>
        <v>352909.8406675313</v>
      </c>
      <c r="E77" s="32">
        <f t="shared" ref="E77:K77" si="13">VLOOKUP(E71,$B$28:$H$67,2)*E71*$C$12*12</f>
        <v>363409.8406675313</v>
      </c>
      <c r="F77" s="32">
        <f t="shared" si="13"/>
        <v>384409.84066753136</v>
      </c>
      <c r="G77" s="32">
        <f t="shared" si="13"/>
        <v>410659.8406675313</v>
      </c>
      <c r="H77" s="32">
        <f t="shared" si="13"/>
        <v>436909.84066753136</v>
      </c>
      <c r="I77" s="32">
        <f t="shared" si="13"/>
        <v>463159.8406675313</v>
      </c>
      <c r="J77" s="32">
        <f t="shared" si="13"/>
        <v>478909.8406675313</v>
      </c>
      <c r="K77" s="34">
        <f t="shared" si="13"/>
        <v>494659.8406675313</v>
      </c>
      <c r="S77" s="214"/>
      <c r="T77" s="214"/>
      <c r="U77" s="214"/>
      <c r="V77" s="214"/>
      <c r="W77" s="214"/>
      <c r="X77" s="214"/>
      <c r="Y77" s="214"/>
      <c r="Z77" s="214"/>
      <c r="AA77" s="214"/>
      <c r="AB77" s="214"/>
      <c r="AC77" s="214"/>
      <c r="AD77" s="214"/>
      <c r="AE77" s="214"/>
      <c r="AF77" s="214"/>
    </row>
    <row r="78" spans="2:32" x14ac:dyDescent="0.25">
      <c r="B78" s="7" t="s">
        <v>55</v>
      </c>
      <c r="C78" s="10"/>
      <c r="D78" s="32">
        <f>D71*$C$12*$C$8</f>
        <v>5000</v>
      </c>
      <c r="E78" s="32">
        <f t="shared" ref="E78:K78" si="14">E71*$C$12*$C$8+12*$C$7*$C$8*(E$71-D$71)</f>
        <v>15000.6</v>
      </c>
      <c r="F78" s="32">
        <f t="shared" si="14"/>
        <v>35001.200000000004</v>
      </c>
      <c r="G78" s="32">
        <f t="shared" si="14"/>
        <v>60001.5</v>
      </c>
      <c r="H78" s="32">
        <f t="shared" si="14"/>
        <v>85001.500000000015</v>
      </c>
      <c r="I78" s="32">
        <f t="shared" si="14"/>
        <v>110001.5</v>
      </c>
      <c r="J78" s="32">
        <f t="shared" si="14"/>
        <v>125000.9</v>
      </c>
      <c r="K78" s="34">
        <f t="shared" si="14"/>
        <v>140000.90000000002</v>
      </c>
    </row>
    <row r="79" spans="2:32" x14ac:dyDescent="0.25">
      <c r="B79" s="7"/>
      <c r="C79" s="10"/>
      <c r="D79" s="11"/>
      <c r="E79" s="6"/>
      <c r="F79" s="6"/>
      <c r="G79" s="6"/>
      <c r="H79" s="6"/>
      <c r="I79" s="6"/>
      <c r="J79" s="6"/>
      <c r="K79" s="12"/>
    </row>
    <row r="80" spans="2:32" x14ac:dyDescent="0.25">
      <c r="B80" s="13" t="s">
        <v>9</v>
      </c>
      <c r="C80" s="14"/>
      <c r="D80" s="159">
        <f>D73-SUM(D77:D78)</f>
        <v>-315909.8406675313</v>
      </c>
      <c r="E80" s="159">
        <f t="shared" ref="E80:K80" si="15">E73-SUM(E77:E78)</f>
        <v>-247370.44066753131</v>
      </c>
      <c r="F80" s="159">
        <f t="shared" si="15"/>
        <v>-101420.64066753135</v>
      </c>
      <c r="G80" s="162">
        <f t="shared" si="15"/>
        <v>96270.115332468704</v>
      </c>
      <c r="H80" s="162">
        <f t="shared" si="15"/>
        <v>250351.05933246866</v>
      </c>
      <c r="I80" s="32">
        <f t="shared" si="15"/>
        <v>466212.99533246877</v>
      </c>
      <c r="J80" s="32">
        <f t="shared" si="15"/>
        <v>624440.74733246886</v>
      </c>
      <c r="K80" s="34">
        <f t="shared" si="15"/>
        <v>796123.07255486911</v>
      </c>
    </row>
    <row r="81" spans="2:32" x14ac:dyDescent="0.25">
      <c r="B81" s="217" t="s">
        <v>20</v>
      </c>
      <c r="C81" s="216">
        <f>NPV(0.1,C80:K80)</f>
        <v>608373.33116824843</v>
      </c>
      <c r="D81" s="2"/>
      <c r="E81" s="2"/>
      <c r="F81" s="2"/>
      <c r="G81" s="2"/>
      <c r="H81" s="2"/>
      <c r="I81" s="2"/>
      <c r="J81" s="2"/>
      <c r="K81" s="9"/>
    </row>
    <row r="82" spans="2:32" ht="15.75" thickBot="1" x14ac:dyDescent="0.3">
      <c r="B82" s="28" t="s">
        <v>109</v>
      </c>
      <c r="C82" s="218">
        <f>IFERROR(IRR(C80:K80,10%), "N/A")</f>
        <v>0.2740569797386565</v>
      </c>
      <c r="D82" s="40"/>
      <c r="E82" s="40"/>
      <c r="F82" s="40"/>
      <c r="G82" s="40"/>
      <c r="H82" s="40"/>
      <c r="I82" s="40"/>
      <c r="J82" s="40"/>
      <c r="K82" s="38"/>
    </row>
    <row r="83" spans="2:32" ht="15.75" thickBot="1" x14ac:dyDescent="0.3"/>
    <row r="84" spans="2:32" ht="17.25" x14ac:dyDescent="0.25">
      <c r="B84" s="19" t="s">
        <v>225</v>
      </c>
      <c r="C84" s="15" t="s">
        <v>8</v>
      </c>
      <c r="D84" s="15" t="s">
        <v>0</v>
      </c>
      <c r="E84" s="15" t="s">
        <v>1</v>
      </c>
      <c r="F84" s="15" t="s">
        <v>2</v>
      </c>
      <c r="G84" s="15" t="s">
        <v>3</v>
      </c>
      <c r="H84" s="15" t="s">
        <v>4</v>
      </c>
      <c r="I84" s="15" t="s">
        <v>5</v>
      </c>
      <c r="J84" s="15" t="s">
        <v>6</v>
      </c>
      <c r="K84" s="16" t="s">
        <v>7</v>
      </c>
    </row>
    <row r="85" spans="2:32" x14ac:dyDescent="0.25">
      <c r="B85" s="1" t="s">
        <v>35</v>
      </c>
      <c r="C85" s="2"/>
      <c r="D85" s="236">
        <v>0.02</v>
      </c>
      <c r="E85" s="236">
        <v>0.05</v>
      </c>
      <c r="F85" s="236">
        <v>0.09</v>
      </c>
      <c r="G85" s="236">
        <v>0.14000000000000001</v>
      </c>
      <c r="H85" s="236">
        <v>0.19</v>
      </c>
      <c r="I85" s="236">
        <v>0.24</v>
      </c>
      <c r="J85" s="236">
        <v>0.27</v>
      </c>
      <c r="K85" s="237">
        <v>0.3</v>
      </c>
    </row>
    <row r="86" spans="2:32" ht="17.25" x14ac:dyDescent="0.25">
      <c r="B86" s="233" t="s">
        <v>279</v>
      </c>
      <c r="C86" s="2"/>
      <c r="D86" s="234">
        <f>D85*2500</f>
        <v>50</v>
      </c>
      <c r="E86" s="234">
        <f t="shared" ref="E86:K86" si="16">E85*2500</f>
        <v>125</v>
      </c>
      <c r="F86" s="234">
        <f t="shared" si="16"/>
        <v>225</v>
      </c>
      <c r="G86" s="234">
        <f t="shared" si="16"/>
        <v>350.00000000000006</v>
      </c>
      <c r="H86" s="234">
        <f t="shared" si="16"/>
        <v>475</v>
      </c>
      <c r="I86" s="234">
        <f t="shared" si="16"/>
        <v>600</v>
      </c>
      <c r="J86" s="234">
        <f t="shared" si="16"/>
        <v>675</v>
      </c>
      <c r="K86" s="235">
        <f t="shared" si="16"/>
        <v>750</v>
      </c>
      <c r="S86" s="214"/>
      <c r="T86" s="214"/>
      <c r="U86" s="214"/>
      <c r="V86" s="214"/>
      <c r="W86" s="214"/>
      <c r="X86" s="214"/>
      <c r="Y86" s="214"/>
      <c r="Z86" s="214"/>
      <c r="AA86" s="214"/>
      <c r="AB86" s="214"/>
      <c r="AC86" s="214"/>
      <c r="AD86" s="214"/>
      <c r="AE86" s="214"/>
      <c r="AF86" s="214"/>
    </row>
    <row r="87" spans="2:32" x14ac:dyDescent="0.25">
      <c r="B87" s="1" t="s">
        <v>18</v>
      </c>
      <c r="C87" s="2"/>
      <c r="D87" s="32">
        <f t="shared" ref="D87:K87" si="17">D88*D85*$D$12*12</f>
        <v>42000.000000000007</v>
      </c>
      <c r="E87" s="32">
        <f t="shared" si="17"/>
        <v>109200</v>
      </c>
      <c r="F87" s="32">
        <f t="shared" si="17"/>
        <v>204422.40000000002</v>
      </c>
      <c r="G87" s="32">
        <f t="shared" si="17"/>
        <v>330710.01600000006</v>
      </c>
      <c r="H87" s="32">
        <f t="shared" si="17"/>
        <v>431558.40000000002</v>
      </c>
      <c r="I87" s="32">
        <f t="shared" si="17"/>
        <v>566931.45600000001</v>
      </c>
      <c r="J87" s="32">
        <f t="shared" si="17"/>
        <v>663309.80352000007</v>
      </c>
      <c r="K87" s="34">
        <f t="shared" si="17"/>
        <v>766491.32851200004</v>
      </c>
    </row>
    <row r="88" spans="2:32" x14ac:dyDescent="0.25">
      <c r="B88" s="1" t="s">
        <v>16</v>
      </c>
      <c r="C88" s="2"/>
      <c r="D88" s="33">
        <f>$C$5*(1-C89)</f>
        <v>70</v>
      </c>
      <c r="E88" s="33">
        <f>D88*1.04</f>
        <v>72.8</v>
      </c>
      <c r="F88" s="33">
        <f t="shared" ref="F88" si="18">E88*1.04</f>
        <v>75.712000000000003</v>
      </c>
      <c r="G88" s="33">
        <f t="shared" ref="G88" si="19">F88*1.04</f>
        <v>78.740480000000005</v>
      </c>
      <c r="H88" s="33">
        <f>E88*1.04</f>
        <v>75.712000000000003</v>
      </c>
      <c r="I88" s="33">
        <f t="shared" ref="I88" si="20">H88*1.04</f>
        <v>78.740480000000005</v>
      </c>
      <c r="J88" s="33">
        <f>G88*1.04</f>
        <v>81.890099200000009</v>
      </c>
      <c r="K88" s="35">
        <f>J88*1.04</f>
        <v>85.165703168000007</v>
      </c>
    </row>
    <row r="89" spans="2:32" x14ac:dyDescent="0.25">
      <c r="B89" s="163" t="s">
        <v>226</v>
      </c>
      <c r="C89" s="236">
        <v>0</v>
      </c>
      <c r="D89" s="32"/>
      <c r="E89" s="32"/>
      <c r="F89" s="32"/>
      <c r="G89" s="32"/>
      <c r="H89" s="32"/>
      <c r="I89" s="32"/>
      <c r="J89" s="32"/>
      <c r="K89" s="34"/>
    </row>
    <row r="90" spans="2:32" x14ac:dyDescent="0.25">
      <c r="B90" s="1" t="s">
        <v>10</v>
      </c>
      <c r="C90" s="2"/>
      <c r="D90" s="32"/>
      <c r="E90" s="32"/>
      <c r="F90" s="32"/>
      <c r="G90" s="32"/>
      <c r="H90" s="32"/>
      <c r="I90" s="32"/>
      <c r="J90" s="32"/>
      <c r="K90" s="34"/>
    </row>
    <row r="91" spans="2:32" x14ac:dyDescent="0.25">
      <c r="B91" s="7" t="s">
        <v>36</v>
      </c>
      <c r="C91" s="2"/>
      <c r="D91" s="32">
        <f>VLOOKUP(D85,$B$28:$H$67,3)*D85*$D$12*12</f>
        <v>352909.8406675313</v>
      </c>
      <c r="E91" s="32">
        <f t="shared" ref="E91:K91" si="21">VLOOKUP(E85,$B$28:$H$67,3)*E85*$D$12*12</f>
        <v>360784.84066753136</v>
      </c>
      <c r="F91" s="32">
        <f t="shared" si="21"/>
        <v>371284.84066753136</v>
      </c>
      <c r="G91" s="32">
        <f t="shared" si="21"/>
        <v>384409.84066753136</v>
      </c>
      <c r="H91" s="32">
        <f t="shared" si="21"/>
        <v>397534.8406675313</v>
      </c>
      <c r="I91" s="32">
        <f t="shared" si="21"/>
        <v>410659.8406675313</v>
      </c>
      <c r="J91" s="32">
        <f t="shared" si="21"/>
        <v>418534.84066753136</v>
      </c>
      <c r="K91" s="34">
        <f t="shared" si="21"/>
        <v>426409.8406675313</v>
      </c>
    </row>
    <row r="92" spans="2:32" x14ac:dyDescent="0.25">
      <c r="B92" s="7" t="s">
        <v>55</v>
      </c>
      <c r="C92" s="10"/>
      <c r="D92" s="32">
        <f>D85*$D$12*$C$8</f>
        <v>5000</v>
      </c>
      <c r="E92" s="32">
        <f t="shared" ref="E92:K92" si="22">E85*$D$12*$C$8+12*$C$7*$C$8*(E$85-D$85)</f>
        <v>12500.9</v>
      </c>
      <c r="F92" s="32">
        <f t="shared" si="22"/>
        <v>22501.200000000001</v>
      </c>
      <c r="G92" s="32">
        <f t="shared" si="22"/>
        <v>35001.500000000007</v>
      </c>
      <c r="H92" s="32">
        <f t="shared" si="22"/>
        <v>47501.5</v>
      </c>
      <c r="I92" s="32">
        <f t="shared" si="22"/>
        <v>60001.5</v>
      </c>
      <c r="J92" s="32">
        <f t="shared" si="22"/>
        <v>67500.899999999994</v>
      </c>
      <c r="K92" s="34">
        <f t="shared" si="22"/>
        <v>75000.899999999994</v>
      </c>
    </row>
    <row r="93" spans="2:32" x14ac:dyDescent="0.25">
      <c r="B93" s="7"/>
      <c r="C93" s="10"/>
      <c r="D93" s="11"/>
      <c r="E93" s="6"/>
      <c r="F93" s="6"/>
      <c r="G93" s="6"/>
      <c r="H93" s="6"/>
      <c r="I93" s="6"/>
      <c r="J93" s="6"/>
      <c r="K93" s="12"/>
    </row>
    <row r="94" spans="2:32" x14ac:dyDescent="0.25">
      <c r="B94" s="13" t="s">
        <v>9</v>
      </c>
      <c r="C94" s="14"/>
      <c r="D94" s="159">
        <f>D87-SUM(D91:D92)</f>
        <v>-315909.8406675313</v>
      </c>
      <c r="E94" s="159">
        <f t="shared" ref="E94:K94" si="23">E87-SUM(E91:E92)</f>
        <v>-264085.74066753138</v>
      </c>
      <c r="F94" s="159">
        <f t="shared" si="23"/>
        <v>-189363.64066753135</v>
      </c>
      <c r="G94" s="159">
        <f t="shared" si="23"/>
        <v>-88701.324667531298</v>
      </c>
      <c r="H94" s="159">
        <f t="shared" si="23"/>
        <v>-13477.940667531278</v>
      </c>
      <c r="I94" s="32">
        <f t="shared" si="23"/>
        <v>96270.115332468704</v>
      </c>
      <c r="J94" s="32">
        <f t="shared" si="23"/>
        <v>177274.06285246869</v>
      </c>
      <c r="K94" s="34">
        <f t="shared" si="23"/>
        <v>265080.58784446877</v>
      </c>
    </row>
    <row r="95" spans="2:32" x14ac:dyDescent="0.25">
      <c r="B95" s="217" t="s">
        <v>20</v>
      </c>
      <c r="C95" s="219">
        <f>NPV(0.1,C94:K94)</f>
        <v>-447694.44204227655</v>
      </c>
      <c r="D95" s="2"/>
      <c r="E95" s="2"/>
      <c r="F95" s="2"/>
      <c r="G95" s="2"/>
      <c r="H95" s="2"/>
      <c r="I95" s="2"/>
      <c r="J95" s="2"/>
      <c r="K95" s="9"/>
    </row>
    <row r="96" spans="2:32" ht="15.75" thickBot="1" x14ac:dyDescent="0.3">
      <c r="B96" s="28" t="s">
        <v>109</v>
      </c>
      <c r="C96" s="218">
        <f>IFERROR(IRR(C94:K94,10%), "N/A")</f>
        <v>-8.8684927429175553E-2</v>
      </c>
      <c r="D96" s="40"/>
      <c r="E96" s="40"/>
      <c r="F96" s="40"/>
      <c r="G96" s="40"/>
      <c r="H96" s="40"/>
      <c r="I96" s="40"/>
      <c r="J96" s="40"/>
      <c r="K96" s="38"/>
    </row>
    <row r="97" spans="2:32" ht="15.75" thickBot="1" x14ac:dyDescent="0.3">
      <c r="B97" s="4"/>
    </row>
    <row r="98" spans="2:32" ht="17.25" x14ac:dyDescent="0.25">
      <c r="B98" s="19" t="s">
        <v>43</v>
      </c>
      <c r="C98" s="15" t="s">
        <v>8</v>
      </c>
      <c r="D98" s="15" t="s">
        <v>0</v>
      </c>
      <c r="E98" s="15" t="s">
        <v>1</v>
      </c>
      <c r="F98" s="15" t="s">
        <v>2</v>
      </c>
      <c r="G98" s="15" t="s">
        <v>3</v>
      </c>
      <c r="H98" s="15" t="s">
        <v>4</v>
      </c>
      <c r="I98" s="15" t="s">
        <v>5</v>
      </c>
      <c r="J98" s="15" t="s">
        <v>6</v>
      </c>
      <c r="K98" s="16" t="s">
        <v>7</v>
      </c>
    </row>
    <row r="99" spans="2:32" x14ac:dyDescent="0.25">
      <c r="B99" s="1" t="s">
        <v>35</v>
      </c>
      <c r="C99" s="2"/>
      <c r="D99" s="236">
        <f>D85+1%</f>
        <v>0.03</v>
      </c>
      <c r="E99" s="236">
        <f t="shared" ref="E99:K99" si="24">E85+1%</f>
        <v>6.0000000000000005E-2</v>
      </c>
      <c r="F99" s="236">
        <f t="shared" si="24"/>
        <v>9.9999999999999992E-2</v>
      </c>
      <c r="G99" s="236">
        <f t="shared" si="24"/>
        <v>0.15000000000000002</v>
      </c>
      <c r="H99" s="236">
        <f t="shared" si="24"/>
        <v>0.2</v>
      </c>
      <c r="I99" s="236">
        <f t="shared" si="24"/>
        <v>0.25</v>
      </c>
      <c r="J99" s="236">
        <f t="shared" si="24"/>
        <v>0.28000000000000003</v>
      </c>
      <c r="K99" s="237">
        <f t="shared" si="24"/>
        <v>0.31</v>
      </c>
    </row>
    <row r="100" spans="2:32" ht="17.25" x14ac:dyDescent="0.25">
      <c r="B100" s="233" t="s">
        <v>279</v>
      </c>
      <c r="C100" s="2"/>
      <c r="D100" s="234">
        <f>D99*2000</f>
        <v>60</v>
      </c>
      <c r="E100" s="234">
        <f t="shared" ref="E100:K100" si="25">E99*2000</f>
        <v>120.00000000000001</v>
      </c>
      <c r="F100" s="234">
        <f t="shared" si="25"/>
        <v>199.99999999999997</v>
      </c>
      <c r="G100" s="234">
        <f t="shared" si="25"/>
        <v>300.00000000000006</v>
      </c>
      <c r="H100" s="234">
        <f t="shared" si="25"/>
        <v>400</v>
      </c>
      <c r="I100" s="234">
        <f t="shared" si="25"/>
        <v>500</v>
      </c>
      <c r="J100" s="234">
        <f t="shared" si="25"/>
        <v>560</v>
      </c>
      <c r="K100" s="235">
        <f t="shared" si="25"/>
        <v>620</v>
      </c>
      <c r="S100" s="214"/>
      <c r="T100" s="214"/>
      <c r="U100" s="214"/>
      <c r="V100" s="214"/>
      <c r="W100" s="214"/>
      <c r="X100" s="214"/>
      <c r="Y100" s="214"/>
      <c r="Z100" s="214"/>
      <c r="AA100" s="214"/>
      <c r="AB100" s="214"/>
      <c r="AC100" s="214"/>
      <c r="AD100" s="214"/>
      <c r="AE100" s="214"/>
      <c r="AF100" s="214"/>
    </row>
    <row r="101" spans="2:32" x14ac:dyDescent="0.25">
      <c r="B101" s="1" t="s">
        <v>18</v>
      </c>
      <c r="C101" s="2"/>
      <c r="D101" s="32">
        <f t="shared" ref="D101:K101" si="26">D102*D99*$E$12*12</f>
        <v>50400</v>
      </c>
      <c r="E101" s="32">
        <f t="shared" si="26"/>
        <v>104832</v>
      </c>
      <c r="F101" s="32">
        <f t="shared" si="26"/>
        <v>181708.79999999999</v>
      </c>
      <c r="G101" s="32">
        <f t="shared" si="26"/>
        <v>283465.72800000012</v>
      </c>
      <c r="H101" s="32">
        <f t="shared" si="26"/>
        <v>363417.60000000003</v>
      </c>
      <c r="I101" s="32">
        <f t="shared" si="26"/>
        <v>472442.88000000006</v>
      </c>
      <c r="J101" s="32">
        <f t="shared" si="26"/>
        <v>550301.46662400011</v>
      </c>
      <c r="K101" s="34">
        <f t="shared" si="26"/>
        <v>633632.83156992006</v>
      </c>
    </row>
    <row r="102" spans="2:32" x14ac:dyDescent="0.25">
      <c r="B102" s="1" t="s">
        <v>16</v>
      </c>
      <c r="C102" s="2"/>
      <c r="D102" s="33">
        <f>$C$5*(1-C103)</f>
        <v>70</v>
      </c>
      <c r="E102" s="33">
        <f>D102*1.04</f>
        <v>72.8</v>
      </c>
      <c r="F102" s="33">
        <f t="shared" ref="F102:G102" si="27">E102*1.04</f>
        <v>75.712000000000003</v>
      </c>
      <c r="G102" s="33">
        <f t="shared" si="27"/>
        <v>78.740480000000005</v>
      </c>
      <c r="H102" s="33">
        <f>E102*1.04</f>
        <v>75.712000000000003</v>
      </c>
      <c r="I102" s="33">
        <f t="shared" ref="I102" si="28">H102*1.04</f>
        <v>78.740480000000005</v>
      </c>
      <c r="J102" s="33">
        <f>G102*1.04</f>
        <v>81.890099200000009</v>
      </c>
      <c r="K102" s="35">
        <f>J102*1.04</f>
        <v>85.165703168000007</v>
      </c>
    </row>
    <row r="103" spans="2:32" x14ac:dyDescent="0.25">
      <c r="B103" s="163" t="s">
        <v>226</v>
      </c>
      <c r="C103" s="236">
        <v>0</v>
      </c>
      <c r="D103" s="32"/>
      <c r="E103" s="32"/>
      <c r="F103" s="32"/>
      <c r="G103" s="32"/>
      <c r="H103" s="32"/>
      <c r="I103" s="32"/>
      <c r="J103" s="32"/>
      <c r="K103" s="34"/>
    </row>
    <row r="104" spans="2:32" x14ac:dyDescent="0.25">
      <c r="B104" s="1" t="s">
        <v>10</v>
      </c>
      <c r="C104" s="2"/>
      <c r="D104" s="32"/>
      <c r="E104" s="32"/>
      <c r="F104" s="32"/>
      <c r="G104" s="32"/>
      <c r="H104" s="32"/>
      <c r="I104" s="32"/>
      <c r="J104" s="32"/>
      <c r="K104" s="34"/>
    </row>
    <row r="105" spans="2:32" x14ac:dyDescent="0.25">
      <c r="B105" s="7" t="s">
        <v>36</v>
      </c>
      <c r="C105" s="2"/>
      <c r="D105" s="32">
        <f>VLOOKUP(D99,$B$28:$H$67,4)*D99*$E$12*12</f>
        <v>353959.8406675313</v>
      </c>
      <c r="E105" s="32">
        <f t="shared" ref="E105:K105" si="29">VLOOKUP(E99,$B$28:$H$67,4)*E99*$E$12*12</f>
        <v>360259.8406675313</v>
      </c>
      <c r="F105" s="32">
        <f t="shared" si="29"/>
        <v>407288.7118528125</v>
      </c>
      <c r="G105" s="32">
        <f t="shared" si="29"/>
        <v>379159.84066753136</v>
      </c>
      <c r="H105" s="32">
        <f t="shared" si="29"/>
        <v>389659.84066753136</v>
      </c>
      <c r="I105" s="32">
        <f t="shared" si="29"/>
        <v>400159.8406675313</v>
      </c>
      <c r="J105" s="32">
        <f t="shared" si="29"/>
        <v>406459.8406675313</v>
      </c>
      <c r="K105" s="34">
        <f t="shared" si="29"/>
        <v>412759.8406675313</v>
      </c>
    </row>
    <row r="106" spans="2:32" x14ac:dyDescent="0.25">
      <c r="B106" s="7" t="s">
        <v>55</v>
      </c>
      <c r="C106" s="10"/>
      <c r="D106" s="32">
        <f>D99*$E$12*$C$8</f>
        <v>6000</v>
      </c>
      <c r="E106" s="32">
        <f t="shared" ref="E106:K106" si="30">E99*$E$12*$C$8+12*$C$7*$C$8*(E$99-D$99)</f>
        <v>12000.900000000001</v>
      </c>
      <c r="F106" s="32">
        <f t="shared" si="30"/>
        <v>20001.199999999997</v>
      </c>
      <c r="G106" s="32">
        <f t="shared" si="30"/>
        <v>30001.500000000007</v>
      </c>
      <c r="H106" s="32">
        <f t="shared" si="30"/>
        <v>40001.5</v>
      </c>
      <c r="I106" s="32">
        <f t="shared" si="30"/>
        <v>50001.5</v>
      </c>
      <c r="J106" s="32">
        <f t="shared" si="30"/>
        <v>56000.9</v>
      </c>
      <c r="K106" s="34">
        <f t="shared" si="30"/>
        <v>62000.9</v>
      </c>
    </row>
    <row r="107" spans="2:32" x14ac:dyDescent="0.25">
      <c r="B107" s="7"/>
      <c r="C107" s="10"/>
      <c r="D107" s="11"/>
      <c r="E107" s="6"/>
      <c r="F107" s="6"/>
      <c r="G107" s="6"/>
      <c r="H107" s="6"/>
      <c r="I107" s="6"/>
      <c r="J107" s="6"/>
      <c r="K107" s="12"/>
    </row>
    <row r="108" spans="2:32" x14ac:dyDescent="0.25">
      <c r="B108" s="13" t="s">
        <v>9</v>
      </c>
      <c r="C108" s="14"/>
      <c r="D108" s="159">
        <f>D101-SUM(D105:D106)</f>
        <v>-309559.8406675313</v>
      </c>
      <c r="E108" s="159">
        <f t="shared" ref="E108:K108" si="31">E101-SUM(E105:E106)</f>
        <v>-267428.74066753133</v>
      </c>
      <c r="F108" s="159">
        <f t="shared" si="31"/>
        <v>-245581.11185281252</v>
      </c>
      <c r="G108" s="159">
        <f t="shared" si="31"/>
        <v>-125695.61266753124</v>
      </c>
      <c r="H108" s="159">
        <f t="shared" si="31"/>
        <v>-66243.740667531325</v>
      </c>
      <c r="I108" s="32">
        <f t="shared" si="31"/>
        <v>22281.539332468761</v>
      </c>
      <c r="J108" s="32">
        <f t="shared" si="31"/>
        <v>87840.725956468785</v>
      </c>
      <c r="K108" s="34">
        <f t="shared" si="31"/>
        <v>158872.09090238874</v>
      </c>
    </row>
    <row r="109" spans="2:32" x14ac:dyDescent="0.25">
      <c r="B109" s="217" t="s">
        <v>20</v>
      </c>
      <c r="C109" s="219">
        <f>NPV(0.1,C108:K108)</f>
        <v>-682157.66248849954</v>
      </c>
      <c r="D109" s="2"/>
      <c r="E109" s="2"/>
      <c r="F109" s="2"/>
      <c r="G109" s="2"/>
      <c r="H109" s="2"/>
      <c r="I109" s="2"/>
      <c r="J109" s="2"/>
      <c r="K109" s="9"/>
    </row>
    <row r="110" spans="2:32" ht="15.75" thickBot="1" x14ac:dyDescent="0.3">
      <c r="B110" s="28" t="s">
        <v>109</v>
      </c>
      <c r="C110" s="218">
        <f>IFERROR(IRR(C108:K108,10%), "N/A")</f>
        <v>-0.23433651160774738</v>
      </c>
      <c r="D110" s="40"/>
      <c r="E110" s="40"/>
      <c r="F110" s="40"/>
      <c r="G110" s="40"/>
      <c r="H110" s="40"/>
      <c r="I110" s="40"/>
      <c r="J110" s="40"/>
      <c r="K110" s="38"/>
    </row>
    <row r="111" spans="2:32" ht="15.75" thickBot="1" x14ac:dyDescent="0.3">
      <c r="B111" s="4"/>
    </row>
    <row r="112" spans="2:32" ht="17.25" x14ac:dyDescent="0.25">
      <c r="B112" s="19" t="s">
        <v>44</v>
      </c>
      <c r="C112" s="15" t="s">
        <v>8</v>
      </c>
      <c r="D112" s="15" t="s">
        <v>0</v>
      </c>
      <c r="E112" s="15" t="s">
        <v>1</v>
      </c>
      <c r="F112" s="15" t="s">
        <v>2</v>
      </c>
      <c r="G112" s="15" t="s">
        <v>3</v>
      </c>
      <c r="H112" s="15" t="s">
        <v>4</v>
      </c>
      <c r="I112" s="15" t="s">
        <v>5</v>
      </c>
      <c r="J112" s="15" t="s">
        <v>6</v>
      </c>
      <c r="K112" s="16" t="s">
        <v>7</v>
      </c>
    </row>
    <row r="113" spans="2:32" x14ac:dyDescent="0.25">
      <c r="B113" s="1" t="s">
        <v>35</v>
      </c>
      <c r="C113" s="2"/>
      <c r="D113" s="236">
        <f>D99+1%</f>
        <v>0.04</v>
      </c>
      <c r="E113" s="236">
        <f t="shared" ref="E113:K113" si="32">E99+1%</f>
        <v>7.0000000000000007E-2</v>
      </c>
      <c r="F113" s="236">
        <f t="shared" si="32"/>
        <v>0.10999999999999999</v>
      </c>
      <c r="G113" s="236">
        <f t="shared" si="32"/>
        <v>0.16000000000000003</v>
      </c>
      <c r="H113" s="236">
        <f t="shared" si="32"/>
        <v>0.21000000000000002</v>
      </c>
      <c r="I113" s="236">
        <f t="shared" si="32"/>
        <v>0.26</v>
      </c>
      <c r="J113" s="236">
        <f t="shared" si="32"/>
        <v>0.29000000000000004</v>
      </c>
      <c r="K113" s="237">
        <f t="shared" si="32"/>
        <v>0.32</v>
      </c>
    </row>
    <row r="114" spans="2:32" ht="17.25" x14ac:dyDescent="0.25">
      <c r="B114" s="233" t="s">
        <v>279</v>
      </c>
      <c r="C114" s="2"/>
      <c r="D114" s="234">
        <f>D113*1500</f>
        <v>60</v>
      </c>
      <c r="E114" s="234">
        <f t="shared" ref="E114:K114" si="33">E113*1500</f>
        <v>105.00000000000001</v>
      </c>
      <c r="F114" s="234">
        <f t="shared" si="33"/>
        <v>164.99999999999997</v>
      </c>
      <c r="G114" s="234">
        <f t="shared" si="33"/>
        <v>240.00000000000006</v>
      </c>
      <c r="H114" s="234">
        <f t="shared" si="33"/>
        <v>315.00000000000006</v>
      </c>
      <c r="I114" s="234">
        <f t="shared" si="33"/>
        <v>390</v>
      </c>
      <c r="J114" s="234">
        <f t="shared" si="33"/>
        <v>435.00000000000006</v>
      </c>
      <c r="K114" s="235">
        <f t="shared" si="33"/>
        <v>480</v>
      </c>
      <c r="S114" s="214"/>
      <c r="T114" s="214"/>
      <c r="U114" s="214"/>
      <c r="V114" s="214"/>
      <c r="W114" s="214"/>
      <c r="X114" s="214"/>
      <c r="Y114" s="214"/>
      <c r="Z114" s="214"/>
      <c r="AA114" s="214"/>
      <c r="AB114" s="214"/>
      <c r="AC114" s="214"/>
      <c r="AD114" s="214"/>
      <c r="AE114" s="214"/>
      <c r="AF114" s="214"/>
    </row>
    <row r="115" spans="2:32" x14ac:dyDescent="0.25">
      <c r="B115" s="1" t="s">
        <v>18</v>
      </c>
      <c r="C115" s="2"/>
      <c r="D115" s="32">
        <f t="shared" ref="D115:K115" si="34">D116*D113*$F$12*12</f>
        <v>50400</v>
      </c>
      <c r="E115" s="32">
        <f t="shared" si="34"/>
        <v>91728</v>
      </c>
      <c r="F115" s="32">
        <f t="shared" si="34"/>
        <v>149909.76000000001</v>
      </c>
      <c r="G115" s="32">
        <f t="shared" si="34"/>
        <v>226772.58240000007</v>
      </c>
      <c r="H115" s="32">
        <f t="shared" si="34"/>
        <v>286191.36000000004</v>
      </c>
      <c r="I115" s="32">
        <f t="shared" si="34"/>
        <v>368505.44640000002</v>
      </c>
      <c r="J115" s="32">
        <f t="shared" si="34"/>
        <v>427466.31782400009</v>
      </c>
      <c r="K115" s="34">
        <f t="shared" si="34"/>
        <v>490554.45024768007</v>
      </c>
    </row>
    <row r="116" spans="2:32" x14ac:dyDescent="0.25">
      <c r="B116" s="1" t="s">
        <v>16</v>
      </c>
      <c r="C116" s="2"/>
      <c r="D116" s="33">
        <f>$C$5*(1-C117)</f>
        <v>70</v>
      </c>
      <c r="E116" s="33">
        <f>D116*1.04</f>
        <v>72.8</v>
      </c>
      <c r="F116" s="33">
        <f t="shared" ref="F116:G116" si="35">E116*1.04</f>
        <v>75.712000000000003</v>
      </c>
      <c r="G116" s="33">
        <f t="shared" si="35"/>
        <v>78.740480000000005</v>
      </c>
      <c r="H116" s="33">
        <f>E116*1.04</f>
        <v>75.712000000000003</v>
      </c>
      <c r="I116" s="33">
        <f t="shared" ref="I116" si="36">H116*1.04</f>
        <v>78.740480000000005</v>
      </c>
      <c r="J116" s="33">
        <f>G116*1.04</f>
        <v>81.890099200000009</v>
      </c>
      <c r="K116" s="35">
        <f>J116*1.04</f>
        <v>85.165703168000007</v>
      </c>
    </row>
    <row r="117" spans="2:32" x14ac:dyDescent="0.25">
      <c r="B117" s="163" t="s">
        <v>226</v>
      </c>
      <c r="C117" s="236">
        <v>0</v>
      </c>
      <c r="D117" s="32"/>
      <c r="E117" s="32"/>
      <c r="F117" s="32"/>
      <c r="G117" s="32"/>
      <c r="H117" s="32"/>
      <c r="I117" s="32"/>
      <c r="J117" s="32"/>
      <c r="K117" s="34"/>
    </row>
    <row r="118" spans="2:32" x14ac:dyDescent="0.25">
      <c r="B118" s="1" t="s">
        <v>10</v>
      </c>
      <c r="C118" s="2"/>
      <c r="D118" s="32"/>
      <c r="E118" s="32"/>
      <c r="F118" s="32"/>
      <c r="G118" s="32"/>
      <c r="H118" s="32"/>
      <c r="I118" s="32"/>
      <c r="J118" s="32"/>
      <c r="K118" s="34"/>
    </row>
    <row r="119" spans="2:32" x14ac:dyDescent="0.25">
      <c r="B119" s="7" t="s">
        <v>36</v>
      </c>
      <c r="C119" s="2"/>
      <c r="D119" s="32">
        <f>VLOOKUP(D113,$B$28:$H$67,5)*D113*$F$12*12</f>
        <v>353959.84066753136</v>
      </c>
      <c r="E119" s="32">
        <f t="shared" ref="E119:K119" si="37">VLOOKUP(E113,$B$28:$H$67,5)*E113*$F$12*12</f>
        <v>358684.8406675313</v>
      </c>
      <c r="F119" s="32">
        <f t="shared" si="37"/>
        <v>399750.82473428443</v>
      </c>
      <c r="G119" s="32">
        <f t="shared" si="37"/>
        <v>372859.84066753136</v>
      </c>
      <c r="H119" s="32">
        <f t="shared" si="37"/>
        <v>380734.84066753136</v>
      </c>
      <c r="I119" s="32">
        <f t="shared" si="37"/>
        <v>388609.84066753136</v>
      </c>
      <c r="J119" s="32">
        <f t="shared" si="37"/>
        <v>393334.84066753136</v>
      </c>
      <c r="K119" s="34">
        <f t="shared" si="37"/>
        <v>398059.8406675313</v>
      </c>
    </row>
    <row r="120" spans="2:32" x14ac:dyDescent="0.25">
      <c r="B120" s="7" t="s">
        <v>55</v>
      </c>
      <c r="C120" s="10"/>
      <c r="D120" s="32">
        <f>D113*$F$12*$C$8</f>
        <v>6000</v>
      </c>
      <c r="E120" s="32">
        <f t="shared" ref="E120:K120" si="38">E113*$F$12*$C$8+12*$C$7*$C$8*(E$113-D$113)</f>
        <v>10500.900000000001</v>
      </c>
      <c r="F120" s="32">
        <f t="shared" si="38"/>
        <v>16501.199999999997</v>
      </c>
      <c r="G120" s="32">
        <f t="shared" si="38"/>
        <v>24001.500000000007</v>
      </c>
      <c r="H120" s="32">
        <f t="shared" si="38"/>
        <v>31501.500000000007</v>
      </c>
      <c r="I120" s="32">
        <f t="shared" si="38"/>
        <v>39001.5</v>
      </c>
      <c r="J120" s="32">
        <f t="shared" si="38"/>
        <v>43500.900000000009</v>
      </c>
      <c r="K120" s="34">
        <f t="shared" si="38"/>
        <v>48000.9</v>
      </c>
    </row>
    <row r="121" spans="2:32" x14ac:dyDescent="0.25">
      <c r="B121" s="7"/>
      <c r="C121" s="10"/>
      <c r="D121" s="11"/>
      <c r="E121" s="6"/>
      <c r="F121" s="6"/>
      <c r="G121" s="6"/>
      <c r="H121" s="6"/>
      <c r="I121" s="6"/>
      <c r="J121" s="6"/>
      <c r="K121" s="12"/>
    </row>
    <row r="122" spans="2:32" x14ac:dyDescent="0.25">
      <c r="B122" s="13" t="s">
        <v>9</v>
      </c>
      <c r="C122" s="14"/>
      <c r="D122" s="159">
        <f>D115-SUM(D119:D120)</f>
        <v>-309559.84066753136</v>
      </c>
      <c r="E122" s="159">
        <f t="shared" ref="E122" si="39">E115-SUM(E119:E120)</f>
        <v>-277457.74066753133</v>
      </c>
      <c r="F122" s="159">
        <f t="shared" ref="F122:K122" si="40">F115-SUM(F119:F120)</f>
        <v>-266342.26473428443</v>
      </c>
      <c r="G122" s="159">
        <f t="shared" si="40"/>
        <v>-170088.75826753129</v>
      </c>
      <c r="H122" s="159">
        <f t="shared" si="40"/>
        <v>-126044.98066753132</v>
      </c>
      <c r="I122" s="159">
        <f t="shared" si="40"/>
        <v>-59105.894267531345</v>
      </c>
      <c r="J122" s="159">
        <f t="shared" si="40"/>
        <v>-9369.422843531298</v>
      </c>
      <c r="K122" s="34">
        <f t="shared" si="40"/>
        <v>44493.709580148745</v>
      </c>
    </row>
    <row r="123" spans="2:32" x14ac:dyDescent="0.25">
      <c r="B123" s="217" t="s">
        <v>20</v>
      </c>
      <c r="C123" s="219">
        <f>NPV(0.1,C122:K122)</f>
        <v>-922680.85507194058</v>
      </c>
      <c r="D123" s="2"/>
      <c r="E123" s="2"/>
      <c r="F123" s="2"/>
      <c r="G123" s="2"/>
      <c r="H123" s="2"/>
      <c r="I123" s="2"/>
      <c r="J123" s="2"/>
      <c r="K123" s="9"/>
    </row>
    <row r="124" spans="2:32" ht="15.75" thickBot="1" x14ac:dyDescent="0.3">
      <c r="B124" s="28" t="s">
        <v>109</v>
      </c>
      <c r="C124" s="267">
        <f>IFERROR(IRR(C122:K122,-99%), "N/A")</f>
        <v>-0.54523631154663654</v>
      </c>
      <c r="D124" s="40"/>
      <c r="E124" s="40"/>
      <c r="F124" s="40"/>
      <c r="G124" s="40"/>
      <c r="H124" s="40"/>
      <c r="I124" s="40"/>
      <c r="J124" s="40"/>
      <c r="K124" s="38"/>
    </row>
    <row r="125" spans="2:32" ht="15.75" thickBot="1" x14ac:dyDescent="0.3"/>
    <row r="126" spans="2:32" ht="17.25" x14ac:dyDescent="0.25">
      <c r="B126" s="19" t="s">
        <v>54</v>
      </c>
      <c r="C126" s="15" t="s">
        <v>8</v>
      </c>
      <c r="D126" s="15" t="s">
        <v>0</v>
      </c>
      <c r="E126" s="15" t="s">
        <v>1</v>
      </c>
      <c r="F126" s="15" t="s">
        <v>2</v>
      </c>
      <c r="G126" s="15" t="s">
        <v>3</v>
      </c>
      <c r="H126" s="15" t="s">
        <v>4</v>
      </c>
      <c r="I126" s="15" t="s">
        <v>5</v>
      </c>
      <c r="J126" s="15" t="s">
        <v>6</v>
      </c>
      <c r="K126" s="16" t="s">
        <v>7</v>
      </c>
    </row>
    <row r="127" spans="2:32" x14ac:dyDescent="0.25">
      <c r="B127" s="1" t="s">
        <v>35</v>
      </c>
      <c r="C127" s="2"/>
      <c r="D127" s="236">
        <f>D113+1%</f>
        <v>0.05</v>
      </c>
      <c r="E127" s="236">
        <f t="shared" ref="E127:K127" si="41">E113+1%</f>
        <v>0.08</v>
      </c>
      <c r="F127" s="236">
        <f t="shared" si="41"/>
        <v>0.11999999999999998</v>
      </c>
      <c r="G127" s="236">
        <f t="shared" si="41"/>
        <v>0.17000000000000004</v>
      </c>
      <c r="H127" s="236">
        <f t="shared" si="41"/>
        <v>0.22000000000000003</v>
      </c>
      <c r="I127" s="236">
        <f t="shared" si="41"/>
        <v>0.27</v>
      </c>
      <c r="J127" s="236">
        <f t="shared" si="41"/>
        <v>0.30000000000000004</v>
      </c>
      <c r="K127" s="237">
        <f t="shared" si="41"/>
        <v>0.33</v>
      </c>
    </row>
    <row r="128" spans="2:32" ht="17.25" x14ac:dyDescent="0.25">
      <c r="B128" s="233" t="s">
        <v>279</v>
      </c>
      <c r="C128" s="2"/>
      <c r="D128" s="234">
        <f>D127*1000</f>
        <v>50</v>
      </c>
      <c r="E128" s="234">
        <f t="shared" ref="E128:K128" si="42">E127*1000</f>
        <v>80</v>
      </c>
      <c r="F128" s="234">
        <f t="shared" si="42"/>
        <v>119.99999999999999</v>
      </c>
      <c r="G128" s="234">
        <f t="shared" si="42"/>
        <v>170.00000000000003</v>
      </c>
      <c r="H128" s="234">
        <f t="shared" si="42"/>
        <v>220.00000000000003</v>
      </c>
      <c r="I128" s="234">
        <f t="shared" si="42"/>
        <v>270</v>
      </c>
      <c r="J128" s="234">
        <f t="shared" si="42"/>
        <v>300.00000000000006</v>
      </c>
      <c r="K128" s="235">
        <f t="shared" si="42"/>
        <v>330</v>
      </c>
      <c r="S128" s="214"/>
      <c r="T128" s="214"/>
      <c r="U128" s="214"/>
      <c r="V128" s="214"/>
      <c r="W128" s="214"/>
      <c r="X128" s="214"/>
      <c r="Y128" s="214"/>
      <c r="Z128" s="214"/>
      <c r="AA128" s="214"/>
      <c r="AB128" s="214"/>
      <c r="AC128" s="214"/>
      <c r="AD128" s="214"/>
      <c r="AE128" s="214"/>
      <c r="AF128" s="214"/>
    </row>
    <row r="129" spans="2:32" x14ac:dyDescent="0.25">
      <c r="B129" s="1" t="s">
        <v>18</v>
      </c>
      <c r="C129" s="2"/>
      <c r="D129" s="32">
        <f t="shared" ref="D129:K129" si="43">D130*D127*$G$12*12</f>
        <v>42000</v>
      </c>
      <c r="E129" s="32">
        <f t="shared" si="43"/>
        <v>69888</v>
      </c>
      <c r="F129" s="32">
        <f t="shared" si="43"/>
        <v>109025.27999999998</v>
      </c>
      <c r="G129" s="32">
        <f t="shared" si="43"/>
        <v>160630.57920000004</v>
      </c>
      <c r="H129" s="32">
        <f t="shared" si="43"/>
        <v>199879.68000000005</v>
      </c>
      <c r="I129" s="32">
        <f t="shared" si="43"/>
        <v>255119.15520000004</v>
      </c>
      <c r="J129" s="32">
        <f t="shared" si="43"/>
        <v>294804.35712000012</v>
      </c>
      <c r="K129" s="34">
        <f t="shared" si="43"/>
        <v>337256.18454528006</v>
      </c>
    </row>
    <row r="130" spans="2:32" x14ac:dyDescent="0.25">
      <c r="B130" s="1" t="s">
        <v>16</v>
      </c>
      <c r="C130" s="2"/>
      <c r="D130" s="33">
        <f>$C$5*(1-C131)</f>
        <v>70</v>
      </c>
      <c r="E130" s="33">
        <f>D130*1.04</f>
        <v>72.8</v>
      </c>
      <c r="F130" s="33">
        <f t="shared" ref="F130:G130" si="44">E130*1.04</f>
        <v>75.712000000000003</v>
      </c>
      <c r="G130" s="33">
        <f t="shared" si="44"/>
        <v>78.740480000000005</v>
      </c>
      <c r="H130" s="33">
        <f>E130*1.04</f>
        <v>75.712000000000003</v>
      </c>
      <c r="I130" s="33">
        <f t="shared" ref="I130" si="45">H130*1.04</f>
        <v>78.740480000000005</v>
      </c>
      <c r="J130" s="33">
        <f>G130*1.04</f>
        <v>81.890099200000009</v>
      </c>
      <c r="K130" s="35">
        <f>J130*1.04</f>
        <v>85.165703168000007</v>
      </c>
    </row>
    <row r="131" spans="2:32" x14ac:dyDescent="0.25">
      <c r="B131" s="163" t="s">
        <v>226</v>
      </c>
      <c r="C131" s="236">
        <v>0</v>
      </c>
      <c r="D131" s="32"/>
      <c r="E131" s="32"/>
      <c r="F131" s="32"/>
      <c r="G131" s="32"/>
      <c r="H131" s="32"/>
      <c r="I131" s="32"/>
      <c r="J131" s="32"/>
      <c r="K131" s="34"/>
    </row>
    <row r="132" spans="2:32" x14ac:dyDescent="0.25">
      <c r="B132" s="1" t="s">
        <v>10</v>
      </c>
      <c r="C132" s="2"/>
      <c r="D132" s="32"/>
      <c r="E132" s="32"/>
      <c r="F132" s="32"/>
      <c r="G132" s="32"/>
      <c r="H132" s="32"/>
      <c r="I132" s="32"/>
      <c r="J132" s="32"/>
      <c r="K132" s="34"/>
    </row>
    <row r="133" spans="2:32" x14ac:dyDescent="0.25">
      <c r="B133" s="7" t="s">
        <v>36</v>
      </c>
      <c r="C133" s="2"/>
      <c r="D133" s="32">
        <f>VLOOKUP(D127,$B$28:$H$67,6)*D127*$G$12*12</f>
        <v>352909.84066753136</v>
      </c>
      <c r="E133" s="32">
        <f t="shared" ref="E133:K133" si="46">VLOOKUP(E127,$B$28:$H$67,6)*E127*$G$12*12</f>
        <v>356059.8406675313</v>
      </c>
      <c r="F133" s="32">
        <f t="shared" si="46"/>
        <v>391865.28072821593</v>
      </c>
      <c r="G133" s="32">
        <f t="shared" si="46"/>
        <v>365509.84066753136</v>
      </c>
      <c r="H133" s="32">
        <f t="shared" si="46"/>
        <v>370759.84066753136</v>
      </c>
      <c r="I133" s="32">
        <f t="shared" si="46"/>
        <v>376009.84066753136</v>
      </c>
      <c r="J133" s="32">
        <f t="shared" si="46"/>
        <v>379159.84066753136</v>
      </c>
      <c r="K133" s="34">
        <f t="shared" si="46"/>
        <v>382309.84066753136</v>
      </c>
    </row>
    <row r="134" spans="2:32" x14ac:dyDescent="0.25">
      <c r="B134" s="7" t="s">
        <v>55</v>
      </c>
      <c r="C134" s="10"/>
      <c r="D134" s="32">
        <f>D127*$G$12*$C$8</f>
        <v>5000</v>
      </c>
      <c r="E134" s="32">
        <f t="shared" ref="E134:K134" si="47">E127*$G$12*$C$8+12*$C$7*$C$8*(E$127-D$127)</f>
        <v>8000.9</v>
      </c>
      <c r="F134" s="32">
        <f t="shared" si="47"/>
        <v>12001.199999999999</v>
      </c>
      <c r="G134" s="32">
        <f t="shared" si="47"/>
        <v>17001.500000000004</v>
      </c>
      <c r="H134" s="32">
        <f t="shared" si="47"/>
        <v>22001.500000000004</v>
      </c>
      <c r="I134" s="32">
        <f t="shared" si="47"/>
        <v>27001.5</v>
      </c>
      <c r="J134" s="32">
        <f t="shared" si="47"/>
        <v>30000.900000000009</v>
      </c>
      <c r="K134" s="34">
        <f t="shared" si="47"/>
        <v>33000.9</v>
      </c>
    </row>
    <row r="135" spans="2:32" x14ac:dyDescent="0.25">
      <c r="B135" s="7"/>
      <c r="C135" s="10"/>
      <c r="D135" s="11"/>
      <c r="E135" s="6"/>
      <c r="F135" s="6"/>
      <c r="G135" s="6"/>
      <c r="H135" s="6"/>
      <c r="I135" s="6"/>
      <c r="J135" s="6"/>
      <c r="K135" s="12"/>
    </row>
    <row r="136" spans="2:32" x14ac:dyDescent="0.25">
      <c r="B136" s="13" t="s">
        <v>9</v>
      </c>
      <c r="C136" s="14"/>
      <c r="D136" s="159">
        <f>D129-SUM(D133:D134)</f>
        <v>-315909.84066753136</v>
      </c>
      <c r="E136" s="159">
        <f t="shared" ref="E136" si="48">E129-SUM(E133:E134)</f>
        <v>-294172.74066753133</v>
      </c>
      <c r="F136" s="159">
        <f t="shared" ref="F136:K136" si="49">F129-SUM(F133:F134)</f>
        <v>-294841.20072821598</v>
      </c>
      <c r="G136" s="159">
        <f t="shared" si="49"/>
        <v>-221880.76146753132</v>
      </c>
      <c r="H136" s="159">
        <f t="shared" si="49"/>
        <v>-192881.66066753131</v>
      </c>
      <c r="I136" s="159">
        <f t="shared" si="49"/>
        <v>-147892.18546753132</v>
      </c>
      <c r="J136" s="159">
        <f t="shared" si="49"/>
        <v>-114356.38354753127</v>
      </c>
      <c r="K136" s="160">
        <f t="shared" si="49"/>
        <v>-78054.556122251321</v>
      </c>
    </row>
    <row r="137" spans="2:32" x14ac:dyDescent="0.25">
      <c r="B137" s="217" t="s">
        <v>20</v>
      </c>
      <c r="C137" s="219">
        <f>NPV(0.1,C136:K136)</f>
        <v>-1201716.3874982859</v>
      </c>
      <c r="D137" s="2"/>
      <c r="E137" s="2"/>
      <c r="F137" s="2"/>
      <c r="G137" s="2"/>
      <c r="H137" s="2"/>
      <c r="I137" s="2"/>
      <c r="J137" s="2"/>
      <c r="K137" s="9"/>
    </row>
    <row r="138" spans="2:32" ht="15.75" thickBot="1" x14ac:dyDescent="0.3">
      <c r="B138" s="28" t="s">
        <v>109</v>
      </c>
      <c r="C138" s="267" t="str">
        <f>IFERROR(IRR(C136:K136,-99%), "N/A")</f>
        <v>N/A</v>
      </c>
      <c r="D138" s="40"/>
      <c r="E138" s="40"/>
      <c r="F138" s="40"/>
      <c r="G138" s="40"/>
      <c r="H138" s="40"/>
      <c r="I138" s="40"/>
      <c r="J138" s="40"/>
      <c r="K138" s="38"/>
    </row>
    <row r="139" spans="2:32" ht="15.75" thickBot="1" x14ac:dyDescent="0.3">
      <c r="B139" s="4"/>
    </row>
    <row r="140" spans="2:32" ht="17.25" x14ac:dyDescent="0.25">
      <c r="B140" s="19" t="s">
        <v>45</v>
      </c>
      <c r="C140" s="15" t="s">
        <v>8</v>
      </c>
      <c r="D140" s="15" t="s">
        <v>0</v>
      </c>
      <c r="E140" s="15" t="s">
        <v>1</v>
      </c>
      <c r="F140" s="15" t="s">
        <v>2</v>
      </c>
      <c r="G140" s="15" t="s">
        <v>3</v>
      </c>
      <c r="H140" s="15" t="s">
        <v>4</v>
      </c>
      <c r="I140" s="15" t="s">
        <v>5</v>
      </c>
      <c r="J140" s="15" t="s">
        <v>6</v>
      </c>
      <c r="K140" s="16" t="s">
        <v>7</v>
      </c>
    </row>
    <row r="141" spans="2:32" x14ac:dyDescent="0.25">
      <c r="B141" s="1" t="s">
        <v>35</v>
      </c>
      <c r="C141" s="2"/>
      <c r="D141" s="236">
        <f>D127+1%</f>
        <v>6.0000000000000005E-2</v>
      </c>
      <c r="E141" s="236">
        <f t="shared" ref="E141:K141" si="50">E127+1%</f>
        <v>0.09</v>
      </c>
      <c r="F141" s="236">
        <f t="shared" si="50"/>
        <v>0.12999999999999998</v>
      </c>
      <c r="G141" s="236">
        <f t="shared" si="50"/>
        <v>0.18000000000000005</v>
      </c>
      <c r="H141" s="236">
        <f t="shared" si="50"/>
        <v>0.23000000000000004</v>
      </c>
      <c r="I141" s="236">
        <f t="shared" si="50"/>
        <v>0.28000000000000003</v>
      </c>
      <c r="J141" s="236">
        <f t="shared" si="50"/>
        <v>0.31000000000000005</v>
      </c>
      <c r="K141" s="237">
        <f t="shared" si="50"/>
        <v>0.34</v>
      </c>
    </row>
    <row r="142" spans="2:32" ht="17.25" x14ac:dyDescent="0.25">
      <c r="B142" s="233" t="s">
        <v>279</v>
      </c>
      <c r="C142" s="2"/>
      <c r="D142" s="234">
        <f>D141*500</f>
        <v>30.000000000000004</v>
      </c>
      <c r="E142" s="234">
        <f t="shared" ref="E142:K142" si="51">E141*500</f>
        <v>45</v>
      </c>
      <c r="F142" s="234">
        <f t="shared" si="51"/>
        <v>64.999999999999986</v>
      </c>
      <c r="G142" s="234">
        <f t="shared" si="51"/>
        <v>90.000000000000028</v>
      </c>
      <c r="H142" s="234">
        <f t="shared" si="51"/>
        <v>115.00000000000001</v>
      </c>
      <c r="I142" s="234">
        <f t="shared" si="51"/>
        <v>140</v>
      </c>
      <c r="J142" s="234">
        <f t="shared" si="51"/>
        <v>155.00000000000003</v>
      </c>
      <c r="K142" s="235">
        <f t="shared" si="51"/>
        <v>170</v>
      </c>
      <c r="S142" s="214"/>
      <c r="T142" s="214"/>
      <c r="U142" s="214"/>
      <c r="V142" s="214"/>
      <c r="W142" s="214"/>
      <c r="X142" s="214"/>
      <c r="Y142" s="214"/>
      <c r="Z142" s="214"/>
      <c r="AA142" s="214"/>
      <c r="AB142" s="214"/>
      <c r="AC142" s="214"/>
      <c r="AD142" s="214"/>
      <c r="AE142" s="214"/>
      <c r="AF142" s="214"/>
    </row>
    <row r="143" spans="2:32" x14ac:dyDescent="0.25">
      <c r="B143" s="1" t="s">
        <v>18</v>
      </c>
      <c r="C143" s="2"/>
      <c r="D143" s="32">
        <f t="shared" ref="D143:K143" si="52">D144*D141*$H$12*12</f>
        <v>25200</v>
      </c>
      <c r="E143" s="32">
        <f t="shared" si="52"/>
        <v>39312</v>
      </c>
      <c r="F143" s="32">
        <f t="shared" si="52"/>
        <v>59055.360000000001</v>
      </c>
      <c r="G143" s="32">
        <f t="shared" si="52"/>
        <v>85039.718400000042</v>
      </c>
      <c r="H143" s="32">
        <f t="shared" si="52"/>
        <v>104482.56000000001</v>
      </c>
      <c r="I143" s="32">
        <f t="shared" si="52"/>
        <v>132284.00640000001</v>
      </c>
      <c r="J143" s="32">
        <f t="shared" si="52"/>
        <v>152315.58451200003</v>
      </c>
      <c r="K143" s="34">
        <f t="shared" si="52"/>
        <v>173738.03446272004</v>
      </c>
    </row>
    <row r="144" spans="2:32" x14ac:dyDescent="0.25">
      <c r="B144" s="1" t="s">
        <v>16</v>
      </c>
      <c r="C144" s="2"/>
      <c r="D144" s="33">
        <f>$C$5*(1-C145)</f>
        <v>70</v>
      </c>
      <c r="E144" s="33">
        <f>D144*1.04</f>
        <v>72.8</v>
      </c>
      <c r="F144" s="33">
        <f t="shared" ref="F144:G144" si="53">E144*1.04</f>
        <v>75.712000000000003</v>
      </c>
      <c r="G144" s="33">
        <f t="shared" si="53"/>
        <v>78.740480000000005</v>
      </c>
      <c r="H144" s="33">
        <f>E144*1.04</f>
        <v>75.712000000000003</v>
      </c>
      <c r="I144" s="33">
        <f t="shared" ref="I144" si="54">H144*1.04</f>
        <v>78.740480000000005</v>
      </c>
      <c r="J144" s="33">
        <f>G144*1.04</f>
        <v>81.890099200000009</v>
      </c>
      <c r="K144" s="35">
        <f>J144*1.04</f>
        <v>85.165703168000007</v>
      </c>
    </row>
    <row r="145" spans="2:11" x14ac:dyDescent="0.25">
      <c r="B145" s="163" t="s">
        <v>226</v>
      </c>
      <c r="C145" s="236">
        <v>0</v>
      </c>
      <c r="D145" s="32"/>
      <c r="E145" s="32"/>
      <c r="F145" s="32"/>
      <c r="G145" s="32"/>
      <c r="H145" s="32"/>
      <c r="I145" s="32"/>
      <c r="J145" s="32"/>
      <c r="K145" s="34"/>
    </row>
    <row r="146" spans="2:11" x14ac:dyDescent="0.25">
      <c r="B146" s="1" t="s">
        <v>10</v>
      </c>
      <c r="C146" s="2"/>
      <c r="D146" s="32"/>
      <c r="E146" s="32"/>
      <c r="F146" s="32"/>
      <c r="G146" s="32"/>
      <c r="H146" s="32"/>
      <c r="I146" s="32"/>
      <c r="J146" s="32"/>
      <c r="K146" s="34"/>
    </row>
    <row r="147" spans="2:11" x14ac:dyDescent="0.25">
      <c r="B147" s="7" t="s">
        <v>36</v>
      </c>
      <c r="C147" s="2"/>
      <c r="D147" s="32">
        <f>VLOOKUP(D141,$B$28:$H$67,7)*D141*$H$12*12</f>
        <v>350809.84066753136</v>
      </c>
      <c r="E147" s="32">
        <f t="shared" ref="E147:K147" si="55">VLOOKUP(E141,$B$28:$H$67,7)*E141*$H$12*12</f>
        <v>352384.84066753124</v>
      </c>
      <c r="F147" s="32">
        <f t="shared" si="55"/>
        <v>383456.49405649217</v>
      </c>
      <c r="G147" s="32">
        <f t="shared" si="55"/>
        <v>357109.84066753136</v>
      </c>
      <c r="H147" s="32">
        <f t="shared" si="55"/>
        <v>359734.8406675313</v>
      </c>
      <c r="I147" s="32">
        <f t="shared" si="55"/>
        <v>362359.84066753124</v>
      </c>
      <c r="J147" s="32">
        <f t="shared" si="55"/>
        <v>363934.84066753136</v>
      </c>
      <c r="K147" s="34">
        <f t="shared" si="55"/>
        <v>365509.8406675313</v>
      </c>
    </row>
    <row r="148" spans="2:11" x14ac:dyDescent="0.25">
      <c r="B148" s="7" t="s">
        <v>55</v>
      </c>
      <c r="C148" s="10"/>
      <c r="D148" s="32">
        <f>D141*$H$12*$C$8</f>
        <v>3000.0000000000005</v>
      </c>
      <c r="E148" s="32">
        <f t="shared" ref="E148:K148" si="56">E141*$H$12*$C$8+12*$C$7*$C$8*(E$141-D$141)</f>
        <v>4500.8999999999996</v>
      </c>
      <c r="F148" s="32">
        <f t="shared" si="56"/>
        <v>6501.199999999998</v>
      </c>
      <c r="G148" s="32">
        <f t="shared" si="56"/>
        <v>9001.5000000000036</v>
      </c>
      <c r="H148" s="32">
        <f t="shared" si="56"/>
        <v>11501.500000000002</v>
      </c>
      <c r="I148" s="32">
        <f t="shared" si="56"/>
        <v>14001.5</v>
      </c>
      <c r="J148" s="32">
        <f t="shared" si="56"/>
        <v>15500.900000000003</v>
      </c>
      <c r="K148" s="34">
        <f t="shared" si="56"/>
        <v>17000.900000000001</v>
      </c>
    </row>
    <row r="149" spans="2:11" x14ac:dyDescent="0.25">
      <c r="B149" s="7"/>
      <c r="C149" s="10"/>
      <c r="D149" s="32"/>
      <c r="E149" s="32"/>
      <c r="F149" s="32"/>
      <c r="G149" s="32"/>
      <c r="H149" s="32"/>
      <c r="I149" s="32"/>
      <c r="J149" s="32"/>
      <c r="K149" s="34"/>
    </row>
    <row r="150" spans="2:11" x14ac:dyDescent="0.25">
      <c r="B150" s="13" t="s">
        <v>9</v>
      </c>
      <c r="C150" s="14"/>
      <c r="D150" s="159">
        <f>D143-SUM(D147:D148)</f>
        <v>-328609.84066753136</v>
      </c>
      <c r="E150" s="159">
        <f t="shared" ref="E150" si="57">E143-SUM(E147:E148)</f>
        <v>-317573.74066753127</v>
      </c>
      <c r="F150" s="159">
        <f t="shared" ref="F150:K150" si="58">F143-SUM(F147:F148)</f>
        <v>-330902.3340564922</v>
      </c>
      <c r="G150" s="159">
        <f t="shared" si="58"/>
        <v>-281071.62226753135</v>
      </c>
      <c r="H150" s="159">
        <f t="shared" si="58"/>
        <v>-266753.7806675313</v>
      </c>
      <c r="I150" s="159">
        <f t="shared" si="58"/>
        <v>-244077.33426753123</v>
      </c>
      <c r="J150" s="159">
        <f t="shared" si="58"/>
        <v>-227120.15615553135</v>
      </c>
      <c r="K150" s="160">
        <f t="shared" si="58"/>
        <v>-208772.70620481129</v>
      </c>
    </row>
    <row r="151" spans="2:11" x14ac:dyDescent="0.25">
      <c r="B151" s="217" t="s">
        <v>20</v>
      </c>
      <c r="C151" s="219">
        <f>NPV(0.1,C150:K150)</f>
        <v>-1519132.3395736106</v>
      </c>
      <c r="D151" s="2"/>
      <c r="E151" s="2"/>
      <c r="F151" s="2"/>
      <c r="G151" s="2"/>
      <c r="H151" s="2"/>
      <c r="I151" s="2"/>
      <c r="J151" s="2"/>
      <c r="K151" s="9"/>
    </row>
    <row r="152" spans="2:11" ht="15.75" thickBot="1" x14ac:dyDescent="0.3">
      <c r="B152" s="28" t="s">
        <v>109</v>
      </c>
      <c r="C152" s="267" t="str">
        <f>IFERROR(IRR(C150:K150,-99%), "N/A")</f>
        <v>N/A</v>
      </c>
      <c r="D152" s="40"/>
      <c r="E152" s="40"/>
      <c r="F152" s="40"/>
      <c r="G152" s="40"/>
      <c r="H152" s="40"/>
      <c r="I152" s="40"/>
      <c r="J152" s="40"/>
      <c r="K152" s="38"/>
    </row>
    <row r="155" spans="2:11" ht="15.75" thickBot="1" x14ac:dyDescent="0.3"/>
    <row r="156" spans="2:11" x14ac:dyDescent="0.25">
      <c r="B156" s="164" t="s">
        <v>229</v>
      </c>
      <c r="C156" s="15" t="s">
        <v>227</v>
      </c>
      <c r="D156" s="15" t="s">
        <v>228</v>
      </c>
      <c r="E156" s="16" t="s">
        <v>56</v>
      </c>
      <c r="F156" s="165"/>
    </row>
    <row r="157" spans="2:11" ht="17.25" x14ac:dyDescent="0.25">
      <c r="B157" s="167" t="s">
        <v>235</v>
      </c>
      <c r="C157" s="174">
        <v>0.24</v>
      </c>
      <c r="D157" s="174">
        <v>0.42</v>
      </c>
      <c r="E157" s="224"/>
    </row>
    <row r="158" spans="2:11" ht="17.25" x14ac:dyDescent="0.25">
      <c r="B158" s="167" t="s">
        <v>234</v>
      </c>
      <c r="C158" s="227">
        <v>0.12</v>
      </c>
      <c r="D158" s="227">
        <v>0.21</v>
      </c>
      <c r="E158" s="226">
        <v>0.47</v>
      </c>
    </row>
    <row r="159" spans="2:11" ht="17.25" x14ac:dyDescent="0.25">
      <c r="B159" s="167" t="s">
        <v>233</v>
      </c>
      <c r="C159" s="227">
        <v>0.08</v>
      </c>
      <c r="D159" s="227">
        <v>0.15</v>
      </c>
      <c r="E159" s="47">
        <v>0.32</v>
      </c>
    </row>
    <row r="160" spans="2:11" ht="17.25" x14ac:dyDescent="0.25">
      <c r="B160" s="167" t="s">
        <v>232</v>
      </c>
      <c r="C160" s="227">
        <v>0.06</v>
      </c>
      <c r="D160" s="227">
        <v>0.11</v>
      </c>
      <c r="E160" s="47">
        <v>0.24</v>
      </c>
    </row>
    <row r="161" spans="2:5" ht="17.25" x14ac:dyDescent="0.25">
      <c r="B161" s="167" t="s">
        <v>231</v>
      </c>
      <c r="C161" s="227">
        <v>0.05</v>
      </c>
      <c r="D161" s="227">
        <v>0.09</v>
      </c>
      <c r="E161" s="47">
        <v>0.19</v>
      </c>
    </row>
    <row r="162" spans="2:5" ht="18" thickBot="1" x14ac:dyDescent="0.3">
      <c r="B162" s="166" t="s">
        <v>230</v>
      </c>
      <c r="C162" s="228">
        <v>0.03</v>
      </c>
      <c r="D162" s="228">
        <v>0.05</v>
      </c>
      <c r="E162" s="168">
        <v>0.1</v>
      </c>
    </row>
    <row r="171" spans="2:5" ht="15.75" thickBot="1" x14ac:dyDescent="0.3"/>
    <row r="172" spans="2:5" x14ac:dyDescent="0.25">
      <c r="B172" s="164" t="s">
        <v>280</v>
      </c>
      <c r="C172" s="15" t="s">
        <v>227</v>
      </c>
      <c r="D172" s="15" t="s">
        <v>228</v>
      </c>
      <c r="E172" s="16" t="s">
        <v>56</v>
      </c>
    </row>
    <row r="173" spans="2:5" ht="17.25" x14ac:dyDescent="0.25">
      <c r="B173" s="167" t="s">
        <v>235</v>
      </c>
      <c r="C173" s="222">
        <v>-0.12</v>
      </c>
      <c r="D173" s="174"/>
      <c r="E173" s="224"/>
    </row>
    <row r="174" spans="2:5" ht="17.25" x14ac:dyDescent="0.25">
      <c r="B174" s="167" t="s">
        <v>234</v>
      </c>
      <c r="C174" s="227">
        <v>0.42</v>
      </c>
      <c r="D174" s="223">
        <v>-0.06</v>
      </c>
      <c r="E174" s="226"/>
    </row>
    <row r="175" spans="2:5" ht="17.25" x14ac:dyDescent="0.25">
      <c r="B175" s="167" t="s">
        <v>233</v>
      </c>
      <c r="C175" s="227">
        <v>0.8</v>
      </c>
      <c r="D175" s="227">
        <v>0.2</v>
      </c>
      <c r="E175" s="47"/>
    </row>
    <row r="176" spans="2:5" ht="17.25" x14ac:dyDescent="0.25">
      <c r="B176" s="167" t="s">
        <v>232</v>
      </c>
      <c r="C176" s="227">
        <v>1.05</v>
      </c>
      <c r="D176" s="227">
        <v>0.37</v>
      </c>
      <c r="E176" s="225">
        <v>-0.23</v>
      </c>
    </row>
    <row r="177" spans="2:5" ht="17.25" x14ac:dyDescent="0.25">
      <c r="B177" s="167" t="s">
        <v>231</v>
      </c>
      <c r="C177" s="227">
        <v>1.17</v>
      </c>
      <c r="D177" s="227">
        <v>0.49</v>
      </c>
      <c r="E177" s="225">
        <v>-0.09</v>
      </c>
    </row>
    <row r="178" spans="2:5" ht="18" thickBot="1" x14ac:dyDescent="0.3">
      <c r="B178" s="166" t="s">
        <v>230</v>
      </c>
      <c r="C178" s="228">
        <v>1.82</v>
      </c>
      <c r="D178" s="228">
        <v>0.92</v>
      </c>
      <c r="E178" s="168">
        <v>0.27</v>
      </c>
    </row>
  </sheetData>
  <sheetProtection algorithmName="SHA-512" hashValue="RWwXpLGc+JSHqyIQl94tqD0Kyn+oVG/eA6LmX/p/0oQxiaBSTOELdEAkeBDLZhd4Muauq7rLaC74N2FBHDYWQQ==" saltValue="88QBevjeoDZW5RD6MauaMQ==" spinCount="100000" sheet="1" objects="1" scenarios="1"/>
  <protectedRanges>
    <protectedRange sqref="B71:K152" name="Range2"/>
    <protectedRange sqref="C5:H24" name="Range1"/>
  </protectedRanges>
  <mergeCells count="1">
    <mergeCell ref="C11:H11"/>
  </mergeCells>
  <conditionalFormatting sqref="A1:XFD1048576">
    <cfRule type="expression" dxfId="13" priority="1">
      <formula>A1&lt;0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1"/>
  <sheetViews>
    <sheetView zoomScale="85" zoomScaleNormal="85" workbookViewId="0">
      <selection activeCell="A3" sqref="A3"/>
    </sheetView>
  </sheetViews>
  <sheetFormatPr defaultColWidth="8.85546875" defaultRowHeight="15" x14ac:dyDescent="0.25"/>
  <cols>
    <col min="1" max="2" width="8.85546875" style="49"/>
    <col min="3" max="3" width="31.42578125" style="49" customWidth="1"/>
    <col min="4" max="4" width="16" style="49" bestFit="1" customWidth="1"/>
    <col min="5" max="5" width="11.7109375" style="49" customWidth="1"/>
    <col min="6" max="6" width="8.85546875" style="49"/>
    <col min="7" max="7" width="37.28515625" style="49" customWidth="1"/>
    <col min="8" max="8" width="10.28515625" style="49" customWidth="1"/>
    <col min="9" max="9" width="9.5703125" style="49" customWidth="1"/>
    <col min="10" max="10" width="9.85546875" style="49" bestFit="1" customWidth="1"/>
    <col min="11" max="11" width="9.28515625" style="49" bestFit="1" customWidth="1"/>
    <col min="12" max="13" width="9.85546875" style="49" bestFit="1" customWidth="1"/>
    <col min="14" max="14" width="10.5703125" style="49" bestFit="1" customWidth="1"/>
    <col min="15" max="15" width="10" style="49" bestFit="1" customWidth="1"/>
    <col min="16" max="16" width="11" style="49" customWidth="1"/>
    <col min="17" max="16384" width="8.85546875" style="49"/>
  </cols>
  <sheetData>
    <row r="1" spans="1:16" x14ac:dyDescent="0.25">
      <c r="A1" s="4" t="s">
        <v>298</v>
      </c>
    </row>
    <row r="2" spans="1:16" x14ac:dyDescent="0.25">
      <c r="A2" s="49" t="s">
        <v>65</v>
      </c>
    </row>
    <row r="3" spans="1:16" x14ac:dyDescent="0.25">
      <c r="D3" s="156"/>
    </row>
    <row r="4" spans="1:16" x14ac:dyDescent="0.25">
      <c r="B4" s="49" t="s">
        <v>111</v>
      </c>
      <c r="D4" s="156"/>
    </row>
    <row r="6" spans="1:16" x14ac:dyDescent="0.25">
      <c r="C6" s="49" t="s">
        <v>80</v>
      </c>
      <c r="D6" s="240">
        <v>200</v>
      </c>
      <c r="E6" s="49" t="s">
        <v>81</v>
      </c>
    </row>
    <row r="7" spans="1:16" x14ac:dyDescent="0.25">
      <c r="C7" s="49" t="s">
        <v>78</v>
      </c>
      <c r="D7" s="96">
        <v>2802065.4809999997</v>
      </c>
      <c r="E7" s="49" t="s">
        <v>79</v>
      </c>
      <c r="G7" s="49" t="s">
        <v>237</v>
      </c>
    </row>
    <row r="8" spans="1:16" x14ac:dyDescent="0.25">
      <c r="C8" s="49" t="s">
        <v>95</v>
      </c>
      <c r="D8" s="282">
        <f>'3.  USA Rural'!D4</f>
        <v>19500</v>
      </c>
      <c r="G8" s="156" t="s">
        <v>243</v>
      </c>
    </row>
    <row r="9" spans="1:16" x14ac:dyDescent="0.25">
      <c r="C9" s="49" t="s">
        <v>238</v>
      </c>
      <c r="D9" s="96">
        <v>58500000</v>
      </c>
      <c r="E9" s="49" t="s">
        <v>94</v>
      </c>
      <c r="G9" s="169"/>
    </row>
    <row r="10" spans="1:16" x14ac:dyDescent="0.25">
      <c r="C10" s="49" t="s">
        <v>246</v>
      </c>
      <c r="D10" s="96">
        <f>D9/2.7</f>
        <v>21666666.666666664</v>
      </c>
    </row>
    <row r="11" spans="1:16" x14ac:dyDescent="0.25">
      <c r="C11" s="49" t="s">
        <v>245</v>
      </c>
      <c r="D11" s="96">
        <f>D10*0.2</f>
        <v>4333333.333333333</v>
      </c>
      <c r="G11" s="49" t="s">
        <v>248</v>
      </c>
    </row>
    <row r="12" spans="1:16" x14ac:dyDescent="0.25">
      <c r="C12" s="49" t="s">
        <v>110</v>
      </c>
      <c r="D12" s="282"/>
    </row>
    <row r="13" spans="1:16" x14ac:dyDescent="0.25">
      <c r="C13" s="49" t="s">
        <v>127</v>
      </c>
      <c r="D13" s="240"/>
    </row>
    <row r="14" spans="1:16" x14ac:dyDescent="0.25">
      <c r="C14" s="3" t="s">
        <v>41</v>
      </c>
      <c r="D14" s="230">
        <f>150+100</f>
        <v>250</v>
      </c>
      <c r="G14" s="49" t="s">
        <v>42</v>
      </c>
    </row>
    <row r="15" spans="1:16" x14ac:dyDescent="0.25">
      <c r="H15" s="94"/>
      <c r="I15" s="94"/>
      <c r="J15" s="94"/>
      <c r="K15" s="94"/>
      <c r="L15" s="94"/>
      <c r="M15" s="94"/>
      <c r="N15" s="94"/>
      <c r="O15" s="94"/>
      <c r="P15" s="94"/>
    </row>
    <row r="16" spans="1:16" ht="15.75" thickBot="1" x14ac:dyDescent="0.3">
      <c r="H16" s="94">
        <v>2019</v>
      </c>
      <c r="I16" s="94">
        <v>2020</v>
      </c>
      <c r="J16" s="94">
        <v>2021</v>
      </c>
      <c r="K16" s="94">
        <v>2022</v>
      </c>
      <c r="L16" s="94">
        <v>2023</v>
      </c>
      <c r="M16" s="94">
        <v>2024</v>
      </c>
      <c r="N16" s="94">
        <v>2025</v>
      </c>
      <c r="O16" s="94">
        <v>2026</v>
      </c>
      <c r="P16" s="94">
        <v>2027</v>
      </c>
    </row>
    <row r="17" spans="2:18" s="4" customFormat="1" ht="15.75" thickBot="1" x14ac:dyDescent="0.3">
      <c r="B17" s="4" t="s">
        <v>240</v>
      </c>
      <c r="G17" s="68" t="s">
        <v>88</v>
      </c>
      <c r="H17" s="62" t="s">
        <v>8</v>
      </c>
      <c r="I17" s="62" t="s">
        <v>0</v>
      </c>
      <c r="J17" s="62" t="s">
        <v>1</v>
      </c>
      <c r="K17" s="62" t="s">
        <v>2</v>
      </c>
      <c r="L17" s="62" t="s">
        <v>3</v>
      </c>
      <c r="M17" s="62" t="s">
        <v>4</v>
      </c>
      <c r="N17" s="62" t="s">
        <v>5</v>
      </c>
      <c r="O17" s="62" t="s">
        <v>6</v>
      </c>
      <c r="P17" s="63" t="s">
        <v>7</v>
      </c>
    </row>
    <row r="18" spans="2:18" x14ac:dyDescent="0.25">
      <c r="B18" s="51"/>
      <c r="C18" s="52" t="s">
        <v>66</v>
      </c>
      <c r="D18" s="74">
        <v>40</v>
      </c>
      <c r="E18" s="53" t="s">
        <v>68</v>
      </c>
      <c r="G18" s="54" t="s">
        <v>239</v>
      </c>
      <c r="H18" s="46">
        <v>170</v>
      </c>
      <c r="I18" s="77">
        <f t="shared" ref="I18:P18" si="0">H18*1.2</f>
        <v>204</v>
      </c>
      <c r="J18" s="77">
        <f t="shared" si="0"/>
        <v>244.79999999999998</v>
      </c>
      <c r="K18" s="77">
        <f t="shared" si="0"/>
        <v>293.76</v>
      </c>
      <c r="L18" s="77">
        <f t="shared" si="0"/>
        <v>352.512</v>
      </c>
      <c r="M18" s="77">
        <f t="shared" si="0"/>
        <v>423.01439999999997</v>
      </c>
      <c r="N18" s="77">
        <f t="shared" si="0"/>
        <v>507.61727999999994</v>
      </c>
      <c r="O18" s="77">
        <f t="shared" si="0"/>
        <v>609.14073599999995</v>
      </c>
      <c r="P18" s="78">
        <f t="shared" si="0"/>
        <v>730.96888319999994</v>
      </c>
    </row>
    <row r="19" spans="2:18" x14ac:dyDescent="0.25">
      <c r="B19" s="54"/>
      <c r="C19" s="55" t="s">
        <v>67</v>
      </c>
      <c r="D19" s="73">
        <v>2</v>
      </c>
      <c r="E19" s="57" t="s">
        <v>69</v>
      </c>
      <c r="G19" s="54" t="s">
        <v>76</v>
      </c>
      <c r="H19" s="212">
        <v>0</v>
      </c>
      <c r="I19" s="212">
        <v>0.03</v>
      </c>
      <c r="J19" s="212">
        <v>0.06</v>
      </c>
      <c r="K19" s="212">
        <v>0.1</v>
      </c>
      <c r="L19" s="212">
        <v>0.15</v>
      </c>
      <c r="M19" s="212">
        <v>0.2</v>
      </c>
      <c r="N19" s="212">
        <v>0.25</v>
      </c>
      <c r="O19" s="212">
        <v>0.28000000000000003</v>
      </c>
      <c r="P19" s="213">
        <v>0.3</v>
      </c>
    </row>
    <row r="20" spans="2:18" x14ac:dyDescent="0.25">
      <c r="B20" s="54"/>
      <c r="C20" s="55" t="s">
        <v>71</v>
      </c>
      <c r="D20" s="73">
        <f>3^2*3.14</f>
        <v>28.26</v>
      </c>
      <c r="E20" s="57" t="s">
        <v>72</v>
      </c>
      <c r="G20" s="60" t="s">
        <v>242</v>
      </c>
      <c r="H20" s="56">
        <f t="shared" ref="H20:P20" si="1">$D6*H19</f>
        <v>0</v>
      </c>
      <c r="I20" s="56">
        <f t="shared" si="1"/>
        <v>6</v>
      </c>
      <c r="J20" s="56">
        <f t="shared" si="1"/>
        <v>12</v>
      </c>
      <c r="K20" s="56">
        <f t="shared" si="1"/>
        <v>20</v>
      </c>
      <c r="L20" s="56">
        <f t="shared" si="1"/>
        <v>30</v>
      </c>
      <c r="M20" s="56">
        <f t="shared" si="1"/>
        <v>40</v>
      </c>
      <c r="N20" s="56">
        <f t="shared" si="1"/>
        <v>50</v>
      </c>
      <c r="O20" s="56">
        <f t="shared" si="1"/>
        <v>56.000000000000007</v>
      </c>
      <c r="P20" s="57">
        <f t="shared" si="1"/>
        <v>60</v>
      </c>
    </row>
    <row r="21" spans="2:18" ht="15.75" thickBot="1" x14ac:dyDescent="0.3">
      <c r="B21" s="54"/>
      <c r="C21" s="56" t="s">
        <v>70</v>
      </c>
      <c r="D21" s="56">
        <f>+D18*D19/D20</f>
        <v>2.8308563340410471</v>
      </c>
      <c r="E21" s="57" t="s">
        <v>73</v>
      </c>
      <c r="G21" s="61" t="s">
        <v>77</v>
      </c>
      <c r="H21" s="77">
        <f t="shared" ref="H21:P21" si="2">H20*H18</f>
        <v>0</v>
      </c>
      <c r="I21" s="77">
        <f t="shared" si="2"/>
        <v>1224</v>
      </c>
      <c r="J21" s="77">
        <f t="shared" si="2"/>
        <v>2937.6</v>
      </c>
      <c r="K21" s="77">
        <f t="shared" si="2"/>
        <v>5875.2</v>
      </c>
      <c r="L21" s="77">
        <f t="shared" si="2"/>
        <v>10575.36</v>
      </c>
      <c r="M21" s="77">
        <f t="shared" si="2"/>
        <v>16920.575999999997</v>
      </c>
      <c r="N21" s="77">
        <f t="shared" si="2"/>
        <v>25380.863999999998</v>
      </c>
      <c r="O21" s="77">
        <f t="shared" si="2"/>
        <v>34111.881216000002</v>
      </c>
      <c r="P21" s="78">
        <f t="shared" si="2"/>
        <v>43858.132991999999</v>
      </c>
    </row>
    <row r="22" spans="2:18" ht="15.75" thickBot="1" x14ac:dyDescent="0.3">
      <c r="B22" s="58"/>
      <c r="C22" s="69" t="s">
        <v>84</v>
      </c>
      <c r="D22" s="70">
        <f>(D21*3*60*60*24*30/8/1000)*0.1</f>
        <v>275.15923566878979</v>
      </c>
      <c r="E22" s="71" t="s">
        <v>85</v>
      </c>
      <c r="G22" s="5" t="s">
        <v>86</v>
      </c>
      <c r="H22" s="209">
        <f>H21/$D44</f>
        <v>0</v>
      </c>
      <c r="I22" s="209">
        <f>I21/$D29</f>
        <v>43.312101910828027</v>
      </c>
      <c r="J22" s="209">
        <f t="shared" ref="J22:P22" si="3">J21/$D29</f>
        <v>103.94904458598725</v>
      </c>
      <c r="K22" s="209">
        <f t="shared" si="3"/>
        <v>207.8980891719745</v>
      </c>
      <c r="L22" s="209">
        <f t="shared" si="3"/>
        <v>374.21656050955414</v>
      </c>
      <c r="M22" s="209">
        <f t="shared" si="3"/>
        <v>598.74649681528649</v>
      </c>
      <c r="N22" s="209">
        <f t="shared" si="3"/>
        <v>898.11974522292985</v>
      </c>
      <c r="O22" s="209">
        <f t="shared" si="3"/>
        <v>1207.0729375796179</v>
      </c>
      <c r="P22" s="211">
        <f t="shared" si="3"/>
        <v>1551.9509197452228</v>
      </c>
    </row>
    <row r="23" spans="2:18" x14ac:dyDescent="0.25">
      <c r="B23" s="56"/>
      <c r="C23" s="56"/>
      <c r="D23" s="56"/>
      <c r="E23" s="56"/>
      <c r="G23" s="204" t="s">
        <v>260</v>
      </c>
      <c r="H23" s="198">
        <f>'3.  USA Rural'!H13/'2. FWA at 3 GHz'!$D$7</f>
        <v>71.400900998430316</v>
      </c>
      <c r="I23" s="198">
        <f>'3.  USA Rural'!I13/'2. FWA at 3 GHz'!$D$7</f>
        <v>98.319040674838547</v>
      </c>
      <c r="J23" s="198">
        <f>'3.  USA Rural'!J13/'2. FWA at 3 GHz'!$D$7</f>
        <v>135.33326775242483</v>
      </c>
      <c r="K23" s="198">
        <f>'3.  USA Rural'!K13/'2. FWA at 3 GHz'!$D$7</f>
        <v>186.21337130165381</v>
      </c>
      <c r="L23" s="198">
        <f>'3.  USA Rural'!L13/'2. FWA at 3 GHz'!$D$7</f>
        <v>256.13122203567099</v>
      </c>
      <c r="M23" s="198">
        <f>'3.  USA Rural'!M13/'2. FWA at 3 GHz'!$D$7</f>
        <v>339.13671065834217</v>
      </c>
      <c r="N23" s="198">
        <f>'3.  USA Rural'!N13/'2. FWA at 3 GHz'!$D$7</f>
        <v>448.89368247140573</v>
      </c>
      <c r="O23" s="198">
        <f>'3.  USA Rural'!O13/'2. FWA at 3 GHz'!$D$7</f>
        <v>571.13705135870805</v>
      </c>
      <c r="P23" s="205">
        <f>'3.  USA Rural'!P13/'2. FWA at 3 GHz'!$D$7</f>
        <v>726.44624953519894</v>
      </c>
    </row>
    <row r="24" spans="2:18" ht="15.75" thickBot="1" x14ac:dyDescent="0.3">
      <c r="B24" s="56"/>
      <c r="C24" s="56"/>
      <c r="D24" s="56"/>
      <c r="E24" s="56"/>
      <c r="G24" s="206" t="s">
        <v>261</v>
      </c>
      <c r="H24" s="207">
        <f>SUM(H22:H23)</f>
        <v>71.400900998430316</v>
      </c>
      <c r="I24" s="207">
        <f t="shared" ref="I24:P24" si="4">SUM(I22:I23)</f>
        <v>141.63114258566657</v>
      </c>
      <c r="J24" s="207">
        <f t="shared" si="4"/>
        <v>239.28231233841208</v>
      </c>
      <c r="K24" s="207">
        <f t="shared" si="4"/>
        <v>394.11146047362831</v>
      </c>
      <c r="L24" s="207">
        <f t="shared" si="4"/>
        <v>630.34778254522507</v>
      </c>
      <c r="M24" s="207">
        <f t="shared" si="4"/>
        <v>937.88320747362866</v>
      </c>
      <c r="N24" s="207">
        <f t="shared" si="4"/>
        <v>1347.0134276943356</v>
      </c>
      <c r="O24" s="207">
        <f t="shared" si="4"/>
        <v>1778.209988938326</v>
      </c>
      <c r="P24" s="208">
        <f t="shared" si="4"/>
        <v>2278.3971692804216</v>
      </c>
    </row>
    <row r="25" spans="2:18" s="4" customFormat="1" x14ac:dyDescent="0.25">
      <c r="B25" s="56"/>
      <c r="C25" s="56"/>
      <c r="D25" s="56"/>
      <c r="E25" s="56"/>
      <c r="H25" s="42"/>
      <c r="I25" s="42"/>
      <c r="J25" s="42"/>
      <c r="K25" s="42"/>
      <c r="L25" s="42"/>
      <c r="M25" s="42"/>
      <c r="N25" s="42"/>
      <c r="O25" s="42"/>
      <c r="P25" s="42"/>
    </row>
    <row r="26" spans="2:18" ht="15.75" thickBot="1" x14ac:dyDescent="0.3">
      <c r="B26" s="4" t="s">
        <v>241</v>
      </c>
      <c r="C26" s="4"/>
      <c r="D26" s="4"/>
      <c r="E26" s="4"/>
      <c r="G26" s="75" t="s">
        <v>92</v>
      </c>
      <c r="H26" s="76"/>
      <c r="I26" s="76"/>
      <c r="J26" s="76"/>
      <c r="K26" s="76"/>
      <c r="L26" s="76"/>
      <c r="M26" s="76"/>
      <c r="N26" s="76"/>
      <c r="O26" s="76"/>
      <c r="P26" s="76"/>
    </row>
    <row r="27" spans="2:18" x14ac:dyDescent="0.25">
      <c r="B27" s="51"/>
      <c r="C27" s="52" t="s">
        <v>66</v>
      </c>
      <c r="D27" s="74">
        <v>60</v>
      </c>
      <c r="E27" s="53" t="s">
        <v>68</v>
      </c>
      <c r="G27" s="170" t="s">
        <v>121</v>
      </c>
      <c r="H27" s="158">
        <v>0.99</v>
      </c>
      <c r="I27" s="158">
        <v>1.02</v>
      </c>
      <c r="J27" s="158">
        <v>1.04</v>
      </c>
      <c r="K27" s="158">
        <v>1.06</v>
      </c>
      <c r="L27" s="158">
        <v>1.08</v>
      </c>
      <c r="M27" s="158">
        <v>1.1000000000000001</v>
      </c>
      <c r="N27" s="158">
        <v>1.1200000000000001</v>
      </c>
      <c r="O27" s="158">
        <v>1.1499999999999999</v>
      </c>
      <c r="P27" s="158">
        <v>1.18</v>
      </c>
    </row>
    <row r="28" spans="2:18" x14ac:dyDescent="0.25">
      <c r="B28" s="54"/>
      <c r="C28" s="55" t="s">
        <v>67</v>
      </c>
      <c r="D28" s="73">
        <v>2</v>
      </c>
      <c r="E28" s="57" t="s">
        <v>69</v>
      </c>
      <c r="G28" s="170" t="s">
        <v>122</v>
      </c>
      <c r="H28" s="158">
        <v>0.45</v>
      </c>
      <c r="I28" s="158">
        <v>0.5</v>
      </c>
      <c r="J28" s="158">
        <v>0.55000000000000004</v>
      </c>
      <c r="K28" s="158">
        <v>0.6</v>
      </c>
      <c r="L28" s="158">
        <v>0.85</v>
      </c>
      <c r="M28" s="158">
        <v>0.9</v>
      </c>
      <c r="N28" s="158">
        <v>0.95</v>
      </c>
      <c r="O28" s="158">
        <v>0.97</v>
      </c>
      <c r="P28" s="158">
        <v>0.99</v>
      </c>
    </row>
    <row r="29" spans="2:18" x14ac:dyDescent="0.25">
      <c r="B29" s="54"/>
      <c r="C29" s="55" t="s">
        <v>71</v>
      </c>
      <c r="D29" s="73">
        <f>3^2*3.14</f>
        <v>28.26</v>
      </c>
      <c r="E29" s="57" t="s">
        <v>72</v>
      </c>
      <c r="G29" s="170" t="s">
        <v>120</v>
      </c>
      <c r="H29" s="76"/>
      <c r="I29" s="76"/>
      <c r="J29" s="76"/>
      <c r="K29" s="76"/>
      <c r="L29" s="76"/>
      <c r="M29" s="76"/>
      <c r="N29" s="76"/>
      <c r="O29" s="76"/>
      <c r="P29" s="76"/>
    </row>
    <row r="30" spans="2:18" ht="15.75" thickBot="1" x14ac:dyDescent="0.3">
      <c r="B30" s="54"/>
      <c r="C30" s="56" t="s">
        <v>70</v>
      </c>
      <c r="D30" s="56">
        <f>+D27*D28/D29</f>
        <v>4.2462845010615711</v>
      </c>
      <c r="E30" s="57" t="s">
        <v>73</v>
      </c>
      <c r="G30" s="75" t="s">
        <v>82</v>
      </c>
      <c r="H30" s="158">
        <v>0</v>
      </c>
      <c r="I30" s="158">
        <v>0</v>
      </c>
      <c r="J30" s="158">
        <v>0</v>
      </c>
      <c r="K30" s="158">
        <v>0.1</v>
      </c>
      <c r="L30" s="158">
        <v>0.15</v>
      </c>
      <c r="M30" s="158">
        <v>0.2</v>
      </c>
      <c r="N30" s="158">
        <v>0.4</v>
      </c>
      <c r="O30" s="158">
        <v>0.2</v>
      </c>
      <c r="P30" s="158">
        <v>0.1</v>
      </c>
    </row>
    <row r="31" spans="2:18" s="4" customFormat="1" ht="15.75" thickBot="1" x14ac:dyDescent="0.3">
      <c r="B31" s="58"/>
      <c r="C31" s="69" t="s">
        <v>84</v>
      </c>
      <c r="D31" s="70">
        <f>(D30*3*60*60*24*30/8/1000)*0.1</f>
        <v>412.73885350318483</v>
      </c>
      <c r="E31" s="71" t="s">
        <v>85</v>
      </c>
      <c r="F31" s="49"/>
      <c r="G31" s="75" t="s">
        <v>83</v>
      </c>
      <c r="H31" s="158">
        <v>0</v>
      </c>
      <c r="I31" s="158">
        <v>0</v>
      </c>
      <c r="J31" s="158">
        <v>0</v>
      </c>
      <c r="K31" s="158">
        <v>0.05</v>
      </c>
      <c r="L31" s="158">
        <v>0.1</v>
      </c>
      <c r="M31" s="158">
        <v>0.2</v>
      </c>
      <c r="N31" s="158">
        <v>0.4</v>
      </c>
      <c r="O31" s="158">
        <v>0.7</v>
      </c>
      <c r="P31" s="158">
        <v>0.9</v>
      </c>
      <c r="Q31" s="49"/>
      <c r="R31" s="49"/>
    </row>
    <row r="33" spans="2:18" ht="15.75" thickBot="1" x14ac:dyDescent="0.3">
      <c r="B33" s="8" t="s">
        <v>90</v>
      </c>
      <c r="C33" s="8"/>
      <c r="D33" s="8"/>
      <c r="E33" s="8"/>
      <c r="R33" s="4"/>
    </row>
    <row r="34" spans="2:18" x14ac:dyDescent="0.25">
      <c r="B34" s="51"/>
      <c r="C34" s="52" t="s">
        <v>74</v>
      </c>
      <c r="D34" s="74">
        <v>40</v>
      </c>
      <c r="E34" s="53" t="s">
        <v>68</v>
      </c>
      <c r="G34" s="19" t="s">
        <v>87</v>
      </c>
      <c r="H34" s="15" t="s">
        <v>8</v>
      </c>
      <c r="I34" s="15" t="s">
        <v>0</v>
      </c>
      <c r="J34" s="15" t="s">
        <v>1</v>
      </c>
      <c r="K34" s="15" t="s">
        <v>2</v>
      </c>
      <c r="L34" s="15" t="s">
        <v>3</v>
      </c>
      <c r="M34" s="15" t="s">
        <v>4</v>
      </c>
      <c r="N34" s="15" t="s">
        <v>5</v>
      </c>
      <c r="O34" s="15" t="s">
        <v>6</v>
      </c>
      <c r="P34" s="16" t="s">
        <v>7</v>
      </c>
    </row>
    <row r="35" spans="2:18" x14ac:dyDescent="0.25">
      <c r="B35" s="54"/>
      <c r="C35" s="55" t="s">
        <v>67</v>
      </c>
      <c r="D35" s="73">
        <v>1.6</v>
      </c>
      <c r="E35" s="57" t="s">
        <v>69</v>
      </c>
      <c r="G35" s="82" t="s">
        <v>121</v>
      </c>
      <c r="H35" s="67">
        <f t="shared" ref="H35:P35" si="5">$D22*H27</f>
        <v>272.40764331210187</v>
      </c>
      <c r="I35" s="67">
        <f t="shared" si="5"/>
        <v>280.66242038216558</v>
      </c>
      <c r="J35" s="67">
        <f t="shared" si="5"/>
        <v>286.16560509554137</v>
      </c>
      <c r="K35" s="67">
        <f t="shared" si="5"/>
        <v>291.66878980891721</v>
      </c>
      <c r="L35" s="67">
        <f t="shared" si="5"/>
        <v>297.171974522293</v>
      </c>
      <c r="M35" s="67">
        <f t="shared" si="5"/>
        <v>302.67515923566879</v>
      </c>
      <c r="N35" s="67">
        <f t="shared" si="5"/>
        <v>308.17834394904457</v>
      </c>
      <c r="O35" s="67">
        <f t="shared" si="5"/>
        <v>316.43312101910823</v>
      </c>
      <c r="P35" s="79">
        <f t="shared" si="5"/>
        <v>324.68789808917194</v>
      </c>
    </row>
    <row r="36" spans="2:18" x14ac:dyDescent="0.25">
      <c r="B36" s="54"/>
      <c r="C36" s="55" t="s">
        <v>75</v>
      </c>
      <c r="D36" s="56">
        <f>D29</f>
        <v>28.26</v>
      </c>
      <c r="E36" s="57" t="s">
        <v>72</v>
      </c>
      <c r="G36" s="82" t="s">
        <v>122</v>
      </c>
      <c r="H36" s="67">
        <f t="shared" ref="H36:P36" si="6">$D31*H28</f>
        <v>185.73248407643317</v>
      </c>
      <c r="I36" s="67">
        <f t="shared" si="6"/>
        <v>206.36942675159241</v>
      </c>
      <c r="J36" s="67">
        <f t="shared" si="6"/>
        <v>227.00636942675166</v>
      </c>
      <c r="K36" s="67">
        <f t="shared" si="6"/>
        <v>247.64331210191088</v>
      </c>
      <c r="L36" s="67">
        <f t="shared" si="6"/>
        <v>350.82802547770711</v>
      </c>
      <c r="M36" s="67">
        <f t="shared" si="6"/>
        <v>371.46496815286633</v>
      </c>
      <c r="N36" s="67">
        <f t="shared" si="6"/>
        <v>392.10191082802555</v>
      </c>
      <c r="O36" s="67">
        <f t="shared" si="6"/>
        <v>400.35668789808926</v>
      </c>
      <c r="P36" s="79">
        <f t="shared" si="6"/>
        <v>408.61146496815297</v>
      </c>
    </row>
    <row r="37" spans="2:18" x14ac:dyDescent="0.25">
      <c r="B37" s="54"/>
      <c r="C37" s="56" t="s">
        <v>70</v>
      </c>
      <c r="D37" s="56">
        <f>+D34*D35/D36</f>
        <v>2.264685067232838</v>
      </c>
      <c r="E37" s="57" t="s">
        <v>73</v>
      </c>
      <c r="F37" s="83"/>
      <c r="G37" s="82" t="s">
        <v>120</v>
      </c>
      <c r="H37" s="56"/>
      <c r="I37" s="56"/>
      <c r="J37" s="56"/>
      <c r="K37" s="56"/>
      <c r="L37" s="56"/>
      <c r="M37" s="56"/>
      <c r="N37" s="56"/>
      <c r="O37" s="56"/>
      <c r="P37" s="57"/>
    </row>
    <row r="38" spans="2:18" ht="15.75" thickBot="1" x14ac:dyDescent="0.3">
      <c r="B38" s="54"/>
      <c r="C38" s="56"/>
      <c r="D38" s="56"/>
      <c r="E38" s="57"/>
      <c r="F38" s="83"/>
      <c r="G38" s="252" t="s">
        <v>281</v>
      </c>
      <c r="H38" s="253">
        <f>SUM(H35:H37)</f>
        <v>458.14012738853501</v>
      </c>
      <c r="I38" s="253">
        <f t="shared" ref="I38:P38" si="7">SUM(I35:I37)</f>
        <v>487.03184713375799</v>
      </c>
      <c r="J38" s="253">
        <f t="shared" si="7"/>
        <v>513.171974522293</v>
      </c>
      <c r="K38" s="253">
        <f t="shared" si="7"/>
        <v>539.31210191082812</v>
      </c>
      <c r="L38" s="253">
        <f t="shared" si="7"/>
        <v>648.00000000000011</v>
      </c>
      <c r="M38" s="253">
        <f t="shared" si="7"/>
        <v>674.14012738853512</v>
      </c>
      <c r="N38" s="253">
        <f t="shared" si="7"/>
        <v>700.28025477707013</v>
      </c>
      <c r="O38" s="253">
        <f t="shared" si="7"/>
        <v>716.78980891719743</v>
      </c>
      <c r="P38" s="254">
        <f t="shared" si="7"/>
        <v>733.29936305732485</v>
      </c>
    </row>
    <row r="39" spans="2:18" ht="15.75" thickBot="1" x14ac:dyDescent="0.3">
      <c r="B39" s="58"/>
      <c r="C39" s="69" t="s">
        <v>84</v>
      </c>
      <c r="D39" s="70">
        <f>(D37*3*60*60*24*30/8/1000)*0.1</f>
        <v>220.12738853503188</v>
      </c>
      <c r="E39" s="71" t="s">
        <v>85</v>
      </c>
      <c r="F39" s="83"/>
      <c r="G39" s="54" t="s">
        <v>283</v>
      </c>
      <c r="H39" s="67">
        <f>$D39*H30+$D46*H31</f>
        <v>0</v>
      </c>
      <c r="I39" s="67">
        <f t="shared" ref="I39:P39" si="8">$D39*I30+$D46*I31</f>
        <v>0</v>
      </c>
      <c r="J39" s="67">
        <f t="shared" si="8"/>
        <v>0</v>
      </c>
      <c r="K39" s="67">
        <f t="shared" si="8"/>
        <v>120.03821656050958</v>
      </c>
      <c r="L39" s="67">
        <f t="shared" si="8"/>
        <v>229.07006369426756</v>
      </c>
      <c r="M39" s="67">
        <f t="shared" si="8"/>
        <v>436.12738853503191</v>
      </c>
      <c r="N39" s="67">
        <f t="shared" si="8"/>
        <v>872.25477707006382</v>
      </c>
      <c r="O39" s="67">
        <f t="shared" si="8"/>
        <v>1416.3821656050957</v>
      </c>
      <c r="P39" s="79">
        <f t="shared" si="8"/>
        <v>1786.471337579618</v>
      </c>
    </row>
    <row r="40" spans="2:18" ht="15.75" thickBot="1" x14ac:dyDescent="0.3">
      <c r="B40" s="56"/>
      <c r="C40" s="56"/>
      <c r="D40" s="56"/>
      <c r="E40" s="56"/>
      <c r="F40" s="83"/>
      <c r="G40" s="201" t="s">
        <v>89</v>
      </c>
      <c r="H40" s="202">
        <f t="shared" ref="H40:P40" si="9">H35+H36+$D39*H30+$D46*H31</f>
        <v>458.14012738853501</v>
      </c>
      <c r="I40" s="202">
        <f t="shared" si="9"/>
        <v>487.03184713375799</v>
      </c>
      <c r="J40" s="202">
        <f t="shared" si="9"/>
        <v>513.171974522293</v>
      </c>
      <c r="K40" s="202">
        <f t="shared" si="9"/>
        <v>659.35031847133769</v>
      </c>
      <c r="L40" s="202">
        <f t="shared" si="9"/>
        <v>877.07006369426767</v>
      </c>
      <c r="M40" s="202">
        <f t="shared" si="9"/>
        <v>1110.2675159235671</v>
      </c>
      <c r="N40" s="202">
        <f t="shared" si="9"/>
        <v>1572.535031847134</v>
      </c>
      <c r="O40" s="202">
        <f t="shared" si="9"/>
        <v>2133.1719745222931</v>
      </c>
      <c r="P40" s="203">
        <f t="shared" si="9"/>
        <v>2519.7707006369428</v>
      </c>
    </row>
    <row r="41" spans="2:18" ht="15.75" thickBot="1" x14ac:dyDescent="0.3">
      <c r="B41" s="8" t="s">
        <v>289</v>
      </c>
      <c r="C41" s="8"/>
      <c r="D41" s="8"/>
      <c r="E41" s="8"/>
      <c r="F41" s="83"/>
      <c r="G41" s="65"/>
      <c r="H41" s="66"/>
      <c r="I41" s="66"/>
      <c r="J41" s="66"/>
      <c r="K41" s="66"/>
      <c r="L41" s="66"/>
      <c r="M41" s="66"/>
      <c r="N41" s="66"/>
      <c r="O41" s="66"/>
      <c r="P41" s="66"/>
    </row>
    <row r="42" spans="2:18" ht="15.75" thickBot="1" x14ac:dyDescent="0.3">
      <c r="B42" s="51"/>
      <c r="C42" s="52" t="s">
        <v>74</v>
      </c>
      <c r="D42" s="74">
        <v>100</v>
      </c>
      <c r="E42" s="53" t="s">
        <v>68</v>
      </c>
      <c r="F42" s="83"/>
      <c r="G42" s="19" t="s">
        <v>91</v>
      </c>
      <c r="H42" s="15" t="s">
        <v>8</v>
      </c>
      <c r="I42" s="15" t="s">
        <v>0</v>
      </c>
      <c r="J42" s="15" t="s">
        <v>1</v>
      </c>
      <c r="K42" s="15" t="s">
        <v>2</v>
      </c>
      <c r="L42" s="15" t="s">
        <v>3</v>
      </c>
      <c r="M42" s="15" t="s">
        <v>4</v>
      </c>
      <c r="N42" s="15" t="s">
        <v>5</v>
      </c>
      <c r="O42" s="15" t="s">
        <v>6</v>
      </c>
      <c r="P42" s="16" t="s">
        <v>7</v>
      </c>
    </row>
    <row r="43" spans="2:18" x14ac:dyDescent="0.25">
      <c r="B43" s="54"/>
      <c r="C43" s="55" t="s">
        <v>67</v>
      </c>
      <c r="D43" s="73">
        <v>5.7</v>
      </c>
      <c r="E43" s="57" t="s">
        <v>69</v>
      </c>
      <c r="F43" s="83"/>
      <c r="G43" s="181" t="s">
        <v>19</v>
      </c>
      <c r="H43" s="88"/>
      <c r="I43" s="89"/>
      <c r="J43" s="89"/>
      <c r="K43" s="89"/>
      <c r="L43" s="89"/>
      <c r="M43" s="89"/>
      <c r="N43" s="89"/>
      <c r="O43" s="89"/>
      <c r="P43" s="90"/>
    </row>
    <row r="44" spans="2:18" x14ac:dyDescent="0.25">
      <c r="B44" s="54"/>
      <c r="C44" s="55" t="s">
        <v>75</v>
      </c>
      <c r="D44" s="56">
        <f>D29</f>
        <v>28.26</v>
      </c>
      <c r="E44" s="57" t="s">
        <v>72</v>
      </c>
      <c r="F44" s="83"/>
      <c r="G44" s="176" t="s">
        <v>252</v>
      </c>
      <c r="H44" s="177">
        <v>93600000.000000015</v>
      </c>
      <c r="I44" s="177">
        <v>936000000.00000024</v>
      </c>
      <c r="J44" s="81"/>
      <c r="K44" s="81"/>
      <c r="L44" s="81"/>
      <c r="M44" s="81"/>
      <c r="N44" s="81"/>
      <c r="O44" s="81"/>
      <c r="P44" s="91"/>
    </row>
    <row r="45" spans="2:18" ht="15.75" thickBot="1" x14ac:dyDescent="0.3">
      <c r="B45" s="54"/>
      <c r="C45" s="56" t="s">
        <v>70</v>
      </c>
      <c r="D45" s="56">
        <f>+D42*D43/D44</f>
        <v>20.169851380042463</v>
      </c>
      <c r="E45" s="57" t="s">
        <v>73</v>
      </c>
      <c r="F45" s="83"/>
      <c r="G45" s="176"/>
      <c r="H45" s="85"/>
      <c r="I45" s="81"/>
      <c r="J45" s="81"/>
      <c r="K45" s="81"/>
      <c r="L45" s="81"/>
      <c r="M45" s="81"/>
      <c r="N45" s="81"/>
      <c r="O45" s="81"/>
      <c r="P45" s="91"/>
    </row>
    <row r="46" spans="2:18" ht="15.75" thickBot="1" x14ac:dyDescent="0.3">
      <c r="B46" s="58"/>
      <c r="C46" s="69" t="s">
        <v>84</v>
      </c>
      <c r="D46" s="70">
        <f>(D45*3*60*60*24*30/8/1000)*0.1</f>
        <v>1960.5095541401276</v>
      </c>
      <c r="E46" s="71" t="s">
        <v>85</v>
      </c>
      <c r="F46" s="83"/>
      <c r="G46" s="171" t="s">
        <v>48</v>
      </c>
      <c r="H46" s="81"/>
      <c r="I46" s="85"/>
      <c r="J46" s="81"/>
      <c r="K46" s="81"/>
      <c r="L46" s="81"/>
      <c r="M46" s="81"/>
      <c r="N46" s="81"/>
      <c r="O46" s="81"/>
      <c r="P46" s="91"/>
    </row>
    <row r="47" spans="2:18" x14ac:dyDescent="0.25">
      <c r="F47" s="92"/>
      <c r="G47" s="176" t="s">
        <v>96</v>
      </c>
      <c r="H47" s="177">
        <f>I47</f>
        <v>26325000.000000026</v>
      </c>
      <c r="I47" s="177">
        <f>+(I27-H27)*$D8*('Cost per Cell'!$M6+'Cost per Cell'!$M7)</f>
        <v>26325000.000000026</v>
      </c>
      <c r="J47" s="177">
        <f>+(J27-I27)*$D8*('Cost per Cell'!$M6+'Cost per Cell'!$M7)</f>
        <v>17550000.000000015</v>
      </c>
      <c r="K47" s="177">
        <f>+(K27-J27)*$D8*('Cost per Cell'!$M6+'Cost per Cell'!$M7)</f>
        <v>17550000.000000015</v>
      </c>
      <c r="L47" s="177">
        <f>+(L27-K27)*$D8*('Cost per Cell'!$M6+'Cost per Cell'!$M7)</f>
        <v>17550000.000000015</v>
      </c>
      <c r="M47" s="177">
        <f>+(M27-L27)*$D8*('Cost per Cell'!$M6+'Cost per Cell'!$M7)</f>
        <v>17550000.000000015</v>
      </c>
      <c r="N47" s="177">
        <f>+(N27-M27)*$D8*('Cost per Cell'!$M6+'Cost per Cell'!$M7)</f>
        <v>17550000.000000015</v>
      </c>
      <c r="O47" s="177">
        <f>+(O27-N27)*$D8*('Cost per Cell'!$M6+'Cost per Cell'!$M7)</f>
        <v>26324999.999999825</v>
      </c>
      <c r="P47" s="192">
        <f>+(P27-O27)*$D8*('Cost per Cell'!$M6+'Cost per Cell'!$M7)</f>
        <v>26325000.000000026</v>
      </c>
    </row>
    <row r="48" spans="2:18" x14ac:dyDescent="0.25">
      <c r="F48" s="83"/>
      <c r="G48" s="176" t="s">
        <v>98</v>
      </c>
      <c r="H48" s="177">
        <f>IF((H30-0)&gt;0,(H30-0),0)*$D$8*('Cost per Cell'!$E6-10000)+'Cost per Cell'!$E7</f>
        <v>10000</v>
      </c>
      <c r="I48" s="177">
        <f>IF((I30-H30)&gt;0,(I30-H30),0)*$D$8*(('Cost per Cell'!$E6-10000)+'Cost per Cell'!$E7)</f>
        <v>0</v>
      </c>
      <c r="J48" s="177">
        <f>IF((J30-I30)&gt;0,(J30-I30),0)*$D$8*(('Cost per Cell'!$E6-10000)+'Cost per Cell'!$E7)</f>
        <v>0</v>
      </c>
      <c r="K48" s="177">
        <f>IF((K30-J30)&gt;0,(K30-J30),0)*$D$8*(('Cost per Cell'!$E6-10000)+'Cost per Cell'!$E7)</f>
        <v>117000000</v>
      </c>
      <c r="L48" s="177">
        <f>IF((L30-K30)&gt;0,(L30-K30),0)*$D$8*(('Cost per Cell'!$E6-10000)+'Cost per Cell'!$E7)</f>
        <v>58499999.999999985</v>
      </c>
      <c r="M48" s="177">
        <f>IF((M30-L30)&gt;0,(M30-L30),0)*$D$8*(('Cost per Cell'!$E6-10000)+'Cost per Cell'!$E7)</f>
        <v>58500000.000000022</v>
      </c>
      <c r="N48" s="177">
        <f>IF((N30-M30)&gt;0,(N30-M30),0)*$D$8*(('Cost per Cell'!$E6-10000)+'Cost per Cell'!$E7)</f>
        <v>234000000</v>
      </c>
      <c r="O48" s="177">
        <f>IF((O30-N30)&gt;0,(O30-N30),0)*$D$8*(('Cost per Cell'!$E6-10000)+'Cost per Cell'!$E7)</f>
        <v>0</v>
      </c>
      <c r="P48" s="192">
        <f>IF((P30-O30)&gt;0,(P30-O30),0)*$D$8*(('Cost per Cell'!$E6-10000)+'Cost per Cell'!$E7)</f>
        <v>0</v>
      </c>
    </row>
    <row r="49" spans="6:17" x14ac:dyDescent="0.25">
      <c r="F49" s="83"/>
      <c r="G49" s="176" t="s">
        <v>99</v>
      </c>
      <c r="H49" s="177">
        <f>IF((H31-0)&gt;0,(H31-0),0)*$D$8*'Cost per Cell'!$E6+'Cost per Cell'!$E7</f>
        <v>10000</v>
      </c>
      <c r="I49" s="177">
        <f>IF((I31-H31)&gt;0,(I31-H31),0)*$D$8*('Cost per Cell'!$E6+'Cost per Cell'!$E7)</f>
        <v>0</v>
      </c>
      <c r="J49" s="177">
        <f>IF((J31-I31)&gt;0,(J31-I31),0)*$D$8*('Cost per Cell'!$E6+'Cost per Cell'!$E7)</f>
        <v>0</v>
      </c>
      <c r="K49" s="177">
        <f>IF((K31-J31)&gt;0,(K31-J31),0)*$D$8*('Cost per Cell'!$E6+'Cost per Cell'!$E7)</f>
        <v>68250000</v>
      </c>
      <c r="L49" s="177">
        <f>IF((L31-K31)&gt;0,(L31-K31),0)*$D$8*('Cost per Cell'!$E6+'Cost per Cell'!$E7)</f>
        <v>68250000</v>
      </c>
      <c r="M49" s="177">
        <f>IF((M31-L31)&gt;0,(M31-L31),0)*$D$8*('Cost per Cell'!$E6+'Cost per Cell'!$E7)</f>
        <v>136500000</v>
      </c>
      <c r="N49" s="177">
        <f>IF((N31-M31)&gt;0,(N31-M31),0)*$D$8*('Cost per Cell'!$E6+'Cost per Cell'!$E7)</f>
        <v>273000000</v>
      </c>
      <c r="O49" s="177">
        <f>IF((O31-N31)&gt;0,(O31-N31),0)*$D$8*('Cost per Cell'!$E6+'Cost per Cell'!$E7)</f>
        <v>409499999.99999994</v>
      </c>
      <c r="P49" s="192">
        <f>IF((P31-O31)&gt;0,(P31-O31),0)*$D$8*('Cost per Cell'!$E6+'Cost per Cell'!$E7)</f>
        <v>273000000.00000012</v>
      </c>
    </row>
    <row r="50" spans="6:17" x14ac:dyDescent="0.25">
      <c r="F50" s="83"/>
      <c r="G50" s="171" t="s">
        <v>47</v>
      </c>
      <c r="H50" s="81"/>
      <c r="I50" s="81"/>
      <c r="J50" s="81"/>
      <c r="K50" s="81"/>
      <c r="L50" s="81"/>
      <c r="M50" s="81"/>
      <c r="N50" s="81"/>
      <c r="O50" s="81"/>
      <c r="P50" s="91"/>
    </row>
    <row r="51" spans="6:17" x14ac:dyDescent="0.25">
      <c r="F51" s="83"/>
      <c r="G51" s="176" t="s">
        <v>97</v>
      </c>
      <c r="H51" s="180">
        <f>$D8*H27*SUM('Cost per Cell'!$M11:$M14)*12</f>
        <v>789960600</v>
      </c>
      <c r="I51" s="180">
        <f>$D8*I27*SUM('Cost per Cell'!$M11:$M14)*12</f>
        <v>813898800</v>
      </c>
      <c r="J51" s="180">
        <f>$D8*J27*SUM('Cost per Cell'!$M11:$M14)*12</f>
        <v>829857600</v>
      </c>
      <c r="K51" s="180">
        <f>$D8*K27*SUM('Cost per Cell'!$M11:$M14)*12</f>
        <v>845816400</v>
      </c>
      <c r="L51" s="180">
        <f>$D8*L27*SUM('Cost per Cell'!$M11:$M14)*12</f>
        <v>861775200</v>
      </c>
      <c r="M51" s="180">
        <f>$D8*M27*SUM('Cost per Cell'!$M11:$M14)*12</f>
        <v>877734000</v>
      </c>
      <c r="N51" s="180">
        <f>$D8*N27*SUM('Cost per Cell'!$M11:$M14)*12</f>
        <v>893692800.00000024</v>
      </c>
      <c r="O51" s="180">
        <f>$D8*O27*SUM('Cost per Cell'!$M11:$M14)*12</f>
        <v>917631000</v>
      </c>
      <c r="P51" s="193">
        <f>$D8*P27*SUM('Cost per Cell'!$M11:$M14)*12</f>
        <v>941569200</v>
      </c>
      <c r="Q51" s="4"/>
    </row>
    <row r="52" spans="6:17" x14ac:dyDescent="0.25">
      <c r="F52" s="83"/>
      <c r="G52" s="176" t="s">
        <v>98</v>
      </c>
      <c r="H52" s="180">
        <f>$D8*H30*SUM('Cost per Cell'!$E11:$E14)*12</f>
        <v>0</v>
      </c>
      <c r="I52" s="180">
        <f>$D8*I30*SUM('Cost per Cell'!$E11:$E14)*12</f>
        <v>0</v>
      </c>
      <c r="J52" s="180">
        <f>$D8*J30*SUM('Cost per Cell'!$E11:$E14)*12</f>
        <v>0</v>
      </c>
      <c r="K52" s="180">
        <f>$D8*K30*SUM('Cost per Cell'!$E11:$E14)*12</f>
        <v>80145000</v>
      </c>
      <c r="L52" s="180">
        <f>$D8*L30*SUM('Cost per Cell'!$E11:$E14)*12</f>
        <v>120217500</v>
      </c>
      <c r="M52" s="180">
        <f>$D8*M30*SUM('Cost per Cell'!$E11:$E14)*12</f>
        <v>160290000</v>
      </c>
      <c r="N52" s="180">
        <f>$D8*N30*SUM('Cost per Cell'!$E11:$E14)*12</f>
        <v>320580000</v>
      </c>
      <c r="O52" s="180">
        <f>$D8*O30*SUM('Cost per Cell'!$E11:$E14)*12</f>
        <v>160290000</v>
      </c>
      <c r="P52" s="193">
        <f>$D8*P30*SUM('Cost per Cell'!$E11:$E14)*12</f>
        <v>80145000</v>
      </c>
    </row>
    <row r="53" spans="6:17" x14ac:dyDescent="0.25">
      <c r="F53" s="83"/>
      <c r="G53" s="176" t="s">
        <v>99</v>
      </c>
      <c r="H53" s="180">
        <f>$D8*H31*SUM('Cost per Cell'!$E11:$E14)*12</f>
        <v>0</v>
      </c>
      <c r="I53" s="180">
        <f>$D8*I31*SUM('Cost per Cell'!$E11:$E14)*12</f>
        <v>0</v>
      </c>
      <c r="J53" s="180">
        <f>$D8*J31*SUM('Cost per Cell'!$E11:$E14)*12</f>
        <v>0</v>
      </c>
      <c r="K53" s="180">
        <f>$D8*K31*SUM('Cost per Cell'!$E11:$E14)*12</f>
        <v>40072500</v>
      </c>
      <c r="L53" s="180">
        <f>$D8*L31*SUM('Cost per Cell'!$E11:$E14)*12</f>
        <v>80145000</v>
      </c>
      <c r="M53" s="180">
        <f>$D8*M31*SUM('Cost per Cell'!$E11:$E14)*12</f>
        <v>160290000</v>
      </c>
      <c r="N53" s="180">
        <f>$D8*N31*SUM('Cost per Cell'!$E11:$E14)*12</f>
        <v>320580000</v>
      </c>
      <c r="O53" s="180">
        <f>$D8*O31*SUM('Cost per Cell'!$E11:$E14)*12</f>
        <v>561015000</v>
      </c>
      <c r="P53" s="193">
        <f>$D8*P31*SUM('Cost per Cell'!$E11:$E14)*12</f>
        <v>721305000</v>
      </c>
    </row>
    <row r="54" spans="6:17" ht="15.75" thickBot="1" x14ac:dyDescent="0.3">
      <c r="F54" s="83"/>
      <c r="G54" s="182" t="s">
        <v>12</v>
      </c>
      <c r="H54" s="183">
        <f t="shared" ref="H54:P54" si="10">SUM(H43:H53)</f>
        <v>909905600</v>
      </c>
      <c r="I54" s="183">
        <f t="shared" si="10"/>
        <v>1776223800.0000002</v>
      </c>
      <c r="J54" s="183">
        <f t="shared" si="10"/>
        <v>847407600</v>
      </c>
      <c r="K54" s="183">
        <f t="shared" si="10"/>
        <v>1168833900</v>
      </c>
      <c r="L54" s="183">
        <f t="shared" si="10"/>
        <v>1206437700</v>
      </c>
      <c r="M54" s="183">
        <f t="shared" si="10"/>
        <v>1410864000</v>
      </c>
      <c r="N54" s="183">
        <f t="shared" si="10"/>
        <v>2059402800.0000002</v>
      </c>
      <c r="O54" s="183">
        <f t="shared" si="10"/>
        <v>2074760999.9999998</v>
      </c>
      <c r="P54" s="184">
        <f t="shared" si="10"/>
        <v>2042344200</v>
      </c>
    </row>
    <row r="55" spans="6:17" ht="15" customHeight="1" x14ac:dyDescent="0.25">
      <c r="F55" s="83"/>
      <c r="G55" s="83"/>
      <c r="H55" s="83"/>
      <c r="I55" s="83"/>
      <c r="J55" s="83"/>
      <c r="K55" s="83"/>
      <c r="L55" s="83"/>
      <c r="M55" s="83"/>
      <c r="N55" s="83"/>
      <c r="O55" s="83"/>
      <c r="P55" s="83"/>
    </row>
    <row r="56" spans="6:17" ht="15.75" thickBot="1" x14ac:dyDescent="0.3">
      <c r="F56" s="83"/>
      <c r="G56" s="83"/>
      <c r="H56" s="83"/>
      <c r="I56" s="83"/>
      <c r="J56" s="83"/>
      <c r="K56" s="83"/>
      <c r="L56" s="83"/>
      <c r="M56" s="83"/>
      <c r="N56" s="83"/>
      <c r="O56" s="83"/>
      <c r="P56" s="83"/>
    </row>
    <row r="57" spans="6:17" x14ac:dyDescent="0.25">
      <c r="F57" s="83"/>
      <c r="G57" s="19" t="s">
        <v>100</v>
      </c>
      <c r="H57" s="15" t="s">
        <v>8</v>
      </c>
      <c r="I57" s="15" t="s">
        <v>0</v>
      </c>
      <c r="J57" s="15" t="s">
        <v>1</v>
      </c>
      <c r="K57" s="15" t="s">
        <v>2</v>
      </c>
      <c r="L57" s="15" t="s">
        <v>3</v>
      </c>
      <c r="M57" s="15" t="s">
        <v>4</v>
      </c>
      <c r="N57" s="15" t="s">
        <v>5</v>
      </c>
      <c r="O57" s="15" t="s">
        <v>6</v>
      </c>
      <c r="P57" s="16" t="s">
        <v>7</v>
      </c>
    </row>
    <row r="58" spans="6:17" x14ac:dyDescent="0.25">
      <c r="F58" s="83"/>
      <c r="G58" s="171" t="s">
        <v>101</v>
      </c>
      <c r="H58" s="285">
        <f>AVERAGE(50,89)</f>
        <v>69.5</v>
      </c>
      <c r="I58" s="285">
        <f t="shared" ref="I58:P58" si="11">AVERAGE(50,89)</f>
        <v>69.5</v>
      </c>
      <c r="J58" s="285">
        <f t="shared" si="11"/>
        <v>69.5</v>
      </c>
      <c r="K58" s="285">
        <f t="shared" si="11"/>
        <v>69.5</v>
      </c>
      <c r="L58" s="285">
        <f t="shared" si="11"/>
        <v>69.5</v>
      </c>
      <c r="M58" s="285">
        <f t="shared" si="11"/>
        <v>69.5</v>
      </c>
      <c r="N58" s="285">
        <f t="shared" si="11"/>
        <v>69.5</v>
      </c>
      <c r="O58" s="285">
        <f t="shared" si="11"/>
        <v>69.5</v>
      </c>
      <c r="P58" s="286">
        <f t="shared" si="11"/>
        <v>69.5</v>
      </c>
    </row>
    <row r="59" spans="6:17" x14ac:dyDescent="0.25">
      <c r="F59" s="83"/>
      <c r="G59" s="171" t="s">
        <v>102</v>
      </c>
      <c r="H59" s="283">
        <f>H19</f>
        <v>0</v>
      </c>
      <c r="I59" s="283">
        <f t="shared" ref="I59:P59" si="12">I19</f>
        <v>0.03</v>
      </c>
      <c r="J59" s="283">
        <f t="shared" si="12"/>
        <v>0.06</v>
      </c>
      <c r="K59" s="283">
        <f t="shared" si="12"/>
        <v>0.1</v>
      </c>
      <c r="L59" s="283">
        <f t="shared" si="12"/>
        <v>0.15</v>
      </c>
      <c r="M59" s="283">
        <f t="shared" si="12"/>
        <v>0.2</v>
      </c>
      <c r="N59" s="283">
        <f t="shared" si="12"/>
        <v>0.25</v>
      </c>
      <c r="O59" s="283">
        <f t="shared" si="12"/>
        <v>0.28000000000000003</v>
      </c>
      <c r="P59" s="284">
        <f t="shared" si="12"/>
        <v>0.3</v>
      </c>
    </row>
    <row r="60" spans="6:17" x14ac:dyDescent="0.25">
      <c r="F60" s="83"/>
      <c r="G60" s="171" t="s">
        <v>103</v>
      </c>
      <c r="H60" s="172">
        <f t="shared" ref="H60:P60" si="13">H59*$D11</f>
        <v>0</v>
      </c>
      <c r="I60" s="172">
        <f t="shared" si="13"/>
        <v>129999.99999999999</v>
      </c>
      <c r="J60" s="172">
        <f t="shared" si="13"/>
        <v>259999.99999999997</v>
      </c>
      <c r="K60" s="172">
        <f t="shared" si="13"/>
        <v>433333.33333333331</v>
      </c>
      <c r="L60" s="172">
        <f t="shared" si="13"/>
        <v>649999.99999999988</v>
      </c>
      <c r="M60" s="172">
        <f t="shared" si="13"/>
        <v>866666.66666666663</v>
      </c>
      <c r="N60" s="172">
        <f t="shared" si="13"/>
        <v>1083333.3333333333</v>
      </c>
      <c r="O60" s="172">
        <f t="shared" si="13"/>
        <v>1213333.3333333333</v>
      </c>
      <c r="P60" s="173">
        <f t="shared" si="13"/>
        <v>1299999.9999999998</v>
      </c>
    </row>
    <row r="61" spans="6:17" ht="15.75" thickBot="1" x14ac:dyDescent="0.3">
      <c r="F61" s="83"/>
      <c r="G61" s="187" t="s">
        <v>104</v>
      </c>
      <c r="H61" s="183">
        <f>H58*H60*12</f>
        <v>0</v>
      </c>
      <c r="I61" s="183">
        <f t="shared" ref="I61:P61" si="14">I58*I60*12</f>
        <v>108419999.99999997</v>
      </c>
      <c r="J61" s="183">
        <f t="shared" si="14"/>
        <v>216839999.99999994</v>
      </c>
      <c r="K61" s="183">
        <f t="shared" si="14"/>
        <v>361400000</v>
      </c>
      <c r="L61" s="183">
        <f t="shared" si="14"/>
        <v>542099999.99999988</v>
      </c>
      <c r="M61" s="183">
        <f t="shared" si="14"/>
        <v>722800000</v>
      </c>
      <c r="N61" s="183">
        <f t="shared" si="14"/>
        <v>903499999.99999988</v>
      </c>
      <c r="O61" s="183">
        <f t="shared" si="14"/>
        <v>1011919999.9999999</v>
      </c>
      <c r="P61" s="184">
        <f t="shared" si="14"/>
        <v>1084199999.9999998</v>
      </c>
    </row>
    <row r="62" spans="6:17" x14ac:dyDescent="0.25">
      <c r="F62" s="83"/>
      <c r="G62" s="238"/>
      <c r="H62" s="239"/>
      <c r="I62" s="239"/>
      <c r="J62" s="239"/>
      <c r="K62" s="239"/>
      <c r="L62" s="239"/>
      <c r="M62" s="239"/>
      <c r="N62" s="239"/>
      <c r="O62" s="239"/>
      <c r="P62" s="239"/>
    </row>
    <row r="63" spans="6:17" ht="15.75" thickBot="1" x14ac:dyDescent="0.3">
      <c r="F63" s="83"/>
      <c r="G63" s="83"/>
      <c r="H63" s="83"/>
      <c r="I63" s="83"/>
      <c r="J63" s="83"/>
      <c r="K63" s="83"/>
      <c r="L63" s="83"/>
      <c r="M63" s="83"/>
      <c r="N63" s="83"/>
      <c r="O63" s="83"/>
      <c r="P63" s="83"/>
    </row>
    <row r="64" spans="6:17" x14ac:dyDescent="0.25">
      <c r="F64" s="83"/>
      <c r="G64" s="19" t="s">
        <v>105</v>
      </c>
      <c r="H64" s="15" t="s">
        <v>8</v>
      </c>
      <c r="I64" s="15" t="s">
        <v>0</v>
      </c>
      <c r="J64" s="15" t="s">
        <v>1</v>
      </c>
      <c r="K64" s="15" t="s">
        <v>2</v>
      </c>
      <c r="L64" s="15" t="s">
        <v>3</v>
      </c>
      <c r="M64" s="15" t="s">
        <v>4</v>
      </c>
      <c r="N64" s="15" t="s">
        <v>5</v>
      </c>
      <c r="O64" s="15" t="s">
        <v>6</v>
      </c>
      <c r="P64" s="16" t="s">
        <v>7</v>
      </c>
    </row>
    <row r="65" spans="3:18" x14ac:dyDescent="0.25">
      <c r="F65" s="83"/>
      <c r="G65" s="171" t="s">
        <v>107</v>
      </c>
      <c r="H65" s="31">
        <f>+H61</f>
        <v>0</v>
      </c>
      <c r="I65" s="31">
        <f t="shared" ref="I65:P65" si="15">+I61</f>
        <v>108419999.99999997</v>
      </c>
      <c r="J65" s="31">
        <f t="shared" si="15"/>
        <v>216839999.99999994</v>
      </c>
      <c r="K65" s="31">
        <f t="shared" si="15"/>
        <v>361400000</v>
      </c>
      <c r="L65" s="31">
        <f t="shared" si="15"/>
        <v>542099999.99999988</v>
      </c>
      <c r="M65" s="31">
        <f t="shared" si="15"/>
        <v>722800000</v>
      </c>
      <c r="N65" s="31">
        <f t="shared" si="15"/>
        <v>903499999.99999988</v>
      </c>
      <c r="O65" s="31">
        <f t="shared" si="15"/>
        <v>1011919999.9999999</v>
      </c>
      <c r="P65" s="48">
        <f t="shared" si="15"/>
        <v>1084199999.9999998</v>
      </c>
    </row>
    <row r="66" spans="3:18" x14ac:dyDescent="0.25">
      <c r="F66" s="83"/>
      <c r="G66" s="171" t="s">
        <v>59</v>
      </c>
      <c r="H66" s="31">
        <f>H54</f>
        <v>909905600</v>
      </c>
      <c r="I66" s="31">
        <f t="shared" ref="I66:P66" si="16">I54</f>
        <v>1776223800.0000002</v>
      </c>
      <c r="J66" s="31">
        <f t="shared" si="16"/>
        <v>847407600</v>
      </c>
      <c r="K66" s="31">
        <f t="shared" si="16"/>
        <v>1168833900</v>
      </c>
      <c r="L66" s="31">
        <f t="shared" si="16"/>
        <v>1206437700</v>
      </c>
      <c r="M66" s="31">
        <f t="shared" si="16"/>
        <v>1410864000</v>
      </c>
      <c r="N66" s="31">
        <f t="shared" si="16"/>
        <v>2059402800.0000002</v>
      </c>
      <c r="O66" s="31">
        <f t="shared" si="16"/>
        <v>2074760999.9999998</v>
      </c>
      <c r="P66" s="48">
        <f t="shared" si="16"/>
        <v>2042344200</v>
      </c>
    </row>
    <row r="67" spans="3:18" x14ac:dyDescent="0.25">
      <c r="F67" s="83"/>
      <c r="G67" s="171" t="s">
        <v>106</v>
      </c>
      <c r="H67" s="31">
        <f>H60*$D$14</f>
        <v>0</v>
      </c>
      <c r="I67" s="31">
        <f t="shared" ref="I67:P67" si="17">I60*$D$14+(I60-H60)*$D$14*(0.025*12)</f>
        <v>42250000</v>
      </c>
      <c r="J67" s="31">
        <f t="shared" si="17"/>
        <v>74750000</v>
      </c>
      <c r="K67" s="31">
        <f t="shared" si="17"/>
        <v>121333333.33333333</v>
      </c>
      <c r="L67" s="31">
        <f t="shared" si="17"/>
        <v>178749999.99999997</v>
      </c>
      <c r="M67" s="31">
        <f t="shared" si="17"/>
        <v>232916666.66666666</v>
      </c>
      <c r="N67" s="31">
        <f t="shared" si="17"/>
        <v>287083333.33333331</v>
      </c>
      <c r="O67" s="31">
        <f t="shared" si="17"/>
        <v>313083333.33333331</v>
      </c>
      <c r="P67" s="48">
        <f t="shared" si="17"/>
        <v>331499999.99999994</v>
      </c>
      <c r="R67" s="240"/>
    </row>
    <row r="68" spans="3:18" ht="15.75" thickBot="1" x14ac:dyDescent="0.3">
      <c r="G68" s="187" t="s">
        <v>9</v>
      </c>
      <c r="H68" s="93">
        <f t="shared" ref="H68:P68" si="18">H65-H67-H66</f>
        <v>-909905600</v>
      </c>
      <c r="I68" s="93">
        <f t="shared" si="18"/>
        <v>-1710053800.0000002</v>
      </c>
      <c r="J68" s="93">
        <f t="shared" si="18"/>
        <v>-705317600</v>
      </c>
      <c r="K68" s="93">
        <f t="shared" si="18"/>
        <v>-928767233.33333325</v>
      </c>
      <c r="L68" s="93">
        <f t="shared" si="18"/>
        <v>-843087700.00000012</v>
      </c>
      <c r="M68" s="93">
        <f t="shared" si="18"/>
        <v>-920980666.66666663</v>
      </c>
      <c r="N68" s="93">
        <f t="shared" si="18"/>
        <v>-1442986133.3333337</v>
      </c>
      <c r="O68" s="93">
        <f t="shared" si="18"/>
        <v>-1375924333.3333333</v>
      </c>
      <c r="P68" s="251">
        <f t="shared" si="18"/>
        <v>-1289644200.0000002</v>
      </c>
    </row>
    <row r="69" spans="3:18" ht="15.75" thickBot="1" x14ac:dyDescent="0.3">
      <c r="G69" s="83"/>
      <c r="H69" s="83"/>
      <c r="I69" s="83"/>
      <c r="J69" s="83"/>
      <c r="K69" s="83"/>
      <c r="L69" s="83"/>
      <c r="M69" s="83"/>
      <c r="N69" s="83"/>
      <c r="O69" s="83"/>
      <c r="P69" s="83"/>
    </row>
    <row r="70" spans="3:18" x14ac:dyDescent="0.25">
      <c r="G70" s="185" t="s">
        <v>108</v>
      </c>
      <c r="H70" s="84">
        <f>NPV(0.1,H68:P68)</f>
        <v>-6377385227.1300917</v>
      </c>
      <c r="I70" s="83"/>
      <c r="J70" s="83"/>
      <c r="K70" s="83"/>
      <c r="L70" s="83"/>
      <c r="M70" s="83"/>
      <c r="N70" s="83"/>
      <c r="O70" s="83"/>
      <c r="P70" s="83"/>
    </row>
    <row r="71" spans="3:18" ht="15.75" thickBot="1" x14ac:dyDescent="0.3">
      <c r="G71" s="186" t="s">
        <v>109</v>
      </c>
      <c r="H71" s="268" t="str">
        <f>IFERROR(IRR(H68:P68,-99%), "N/A")</f>
        <v>N/A</v>
      </c>
      <c r="I71" s="83"/>
      <c r="J71" s="83"/>
      <c r="K71" s="83"/>
      <c r="L71" s="83"/>
      <c r="M71" s="83"/>
      <c r="N71" s="83"/>
      <c r="O71" s="83"/>
      <c r="P71" s="83"/>
    </row>
    <row r="75" spans="3:18" x14ac:dyDescent="0.25">
      <c r="C75" s="134"/>
      <c r="D75" s="242"/>
      <c r="E75" s="243"/>
      <c r="G75" s="56"/>
      <c r="H75" s="56"/>
      <c r="I75" s="56"/>
      <c r="J75" s="56"/>
      <c r="K75" s="56"/>
      <c r="L75" s="56"/>
      <c r="M75" s="56"/>
      <c r="N75" s="56"/>
      <c r="O75" s="56"/>
      <c r="P75" s="56"/>
    </row>
    <row r="76" spans="3:18" x14ac:dyDescent="0.25">
      <c r="C76" s="134"/>
      <c r="D76" s="242"/>
      <c r="E76" s="243"/>
      <c r="G76" s="238" t="s">
        <v>282</v>
      </c>
      <c r="H76" s="56"/>
      <c r="I76" s="56"/>
      <c r="J76" s="56"/>
      <c r="K76" s="56"/>
      <c r="L76" s="56"/>
      <c r="M76" s="56"/>
      <c r="N76" s="56"/>
      <c r="O76" s="56"/>
      <c r="P76" s="56"/>
    </row>
    <row r="77" spans="3:18" ht="15.75" thickBot="1" x14ac:dyDescent="0.3">
      <c r="C77" s="134"/>
      <c r="D77" s="242"/>
      <c r="E77" s="134"/>
      <c r="G77" s="241" t="s">
        <v>286</v>
      </c>
    </row>
    <row r="78" spans="3:18" x14ac:dyDescent="0.25">
      <c r="C78" s="134"/>
      <c r="D78" s="134"/>
      <c r="E78" s="134"/>
      <c r="G78" s="164" t="s">
        <v>105</v>
      </c>
      <c r="H78" s="15" t="s">
        <v>8</v>
      </c>
      <c r="I78" s="15" t="s">
        <v>0</v>
      </c>
      <c r="J78" s="15" t="s">
        <v>1</v>
      </c>
      <c r="K78" s="15" t="s">
        <v>2</v>
      </c>
      <c r="L78" s="15" t="s">
        <v>3</v>
      </c>
      <c r="M78" s="15" t="s">
        <v>4</v>
      </c>
      <c r="N78" s="15" t="s">
        <v>5</v>
      </c>
      <c r="O78" s="15" t="s">
        <v>6</v>
      </c>
      <c r="P78" s="16" t="s">
        <v>7</v>
      </c>
    </row>
    <row r="79" spans="3:18" x14ac:dyDescent="0.25">
      <c r="C79" s="134"/>
      <c r="D79" s="134"/>
      <c r="E79" s="134"/>
      <c r="G79" s="244" t="s">
        <v>107</v>
      </c>
      <c r="H79" s="31">
        <f>H65</f>
        <v>0</v>
      </c>
      <c r="I79" s="31">
        <f t="shared" ref="I79:M79" si="19">I65</f>
        <v>108419999.99999997</v>
      </c>
      <c r="J79" s="31">
        <f t="shared" si="19"/>
        <v>216839999.99999994</v>
      </c>
      <c r="K79" s="31">
        <f t="shared" si="19"/>
        <v>361400000</v>
      </c>
      <c r="L79" s="31">
        <f t="shared" si="19"/>
        <v>542099999.99999988</v>
      </c>
      <c r="M79" s="31">
        <f t="shared" si="19"/>
        <v>722800000</v>
      </c>
      <c r="N79" s="265">
        <f>N65*N38/N22</f>
        <v>704475337.00980389</v>
      </c>
      <c r="O79" s="265">
        <f t="shared" ref="O79:P79" si="20">O65*O38/O22</f>
        <v>600903160.74346387</v>
      </c>
      <c r="P79" s="266">
        <f t="shared" si="20"/>
        <v>512286283.87118733</v>
      </c>
    </row>
    <row r="80" spans="3:18" x14ac:dyDescent="0.25">
      <c r="C80" s="134"/>
      <c r="D80" s="134"/>
      <c r="E80" s="134"/>
      <c r="G80" s="244" t="s">
        <v>59</v>
      </c>
      <c r="H80" s="31">
        <f>H47+H51</f>
        <v>816285600</v>
      </c>
      <c r="I80" s="31">
        <f t="shared" ref="I80:P80" si="21">I47+I51</f>
        <v>840223800</v>
      </c>
      <c r="J80" s="31">
        <f t="shared" si="21"/>
        <v>847407600</v>
      </c>
      <c r="K80" s="31">
        <f t="shared" si="21"/>
        <v>863366400</v>
      </c>
      <c r="L80" s="31">
        <f t="shared" si="21"/>
        <v>879325200</v>
      </c>
      <c r="M80" s="31">
        <f t="shared" si="21"/>
        <v>895284000</v>
      </c>
      <c r="N80" s="31">
        <f t="shared" si="21"/>
        <v>911242800.00000024</v>
      </c>
      <c r="O80" s="31">
        <f t="shared" si="21"/>
        <v>943955999.99999988</v>
      </c>
      <c r="P80" s="48">
        <f t="shared" si="21"/>
        <v>967894200</v>
      </c>
    </row>
    <row r="81" spans="7:16" x14ac:dyDescent="0.25">
      <c r="G81" s="244" t="s">
        <v>106</v>
      </c>
      <c r="H81" s="31">
        <f>H67</f>
        <v>0</v>
      </c>
      <c r="I81" s="31">
        <f t="shared" ref="I81:P81" si="22">I67</f>
        <v>42250000</v>
      </c>
      <c r="J81" s="31">
        <f t="shared" si="22"/>
        <v>74750000</v>
      </c>
      <c r="K81" s="31">
        <f t="shared" si="22"/>
        <v>121333333.33333333</v>
      </c>
      <c r="L81" s="31">
        <f t="shared" si="22"/>
        <v>178749999.99999997</v>
      </c>
      <c r="M81" s="31">
        <f t="shared" si="22"/>
        <v>232916666.66666666</v>
      </c>
      <c r="N81" s="31">
        <f t="shared" si="22"/>
        <v>287083333.33333331</v>
      </c>
      <c r="O81" s="31">
        <f t="shared" si="22"/>
        <v>313083333.33333331</v>
      </c>
      <c r="P81" s="48">
        <f t="shared" si="22"/>
        <v>331499999.99999994</v>
      </c>
    </row>
    <row r="82" spans="7:16" ht="15.75" thickBot="1" x14ac:dyDescent="0.3">
      <c r="G82" s="245" t="s">
        <v>9</v>
      </c>
      <c r="H82" s="93">
        <f>H79-SUM(H80:H81)</f>
        <v>-816285600</v>
      </c>
      <c r="I82" s="93">
        <f t="shared" ref="I82:P82" si="23">I79-SUM(I80:I81)</f>
        <v>-774053800</v>
      </c>
      <c r="J82" s="93">
        <f t="shared" si="23"/>
        <v>-705317600</v>
      </c>
      <c r="K82" s="93">
        <f t="shared" si="23"/>
        <v>-623299733.33333337</v>
      </c>
      <c r="L82" s="93">
        <f t="shared" si="23"/>
        <v>-515975200.00000012</v>
      </c>
      <c r="M82" s="93">
        <f t="shared" si="23"/>
        <v>-405400666.66666675</v>
      </c>
      <c r="N82" s="93">
        <f t="shared" si="23"/>
        <v>-493850796.3235296</v>
      </c>
      <c r="O82" s="93">
        <f t="shared" si="23"/>
        <v>-656136172.58986938</v>
      </c>
      <c r="P82" s="251">
        <f t="shared" si="23"/>
        <v>-787107916.12881267</v>
      </c>
    </row>
    <row r="83" spans="7:16" ht="15.75" thickBot="1" x14ac:dyDescent="0.3">
      <c r="G83" s="250" t="s">
        <v>108</v>
      </c>
      <c r="H83" s="259">
        <f>NPV(10%, H82:P82)</f>
        <v>-3779973975.5935287</v>
      </c>
    </row>
    <row r="85" spans="7:16" ht="15.75" thickBot="1" x14ac:dyDescent="0.3">
      <c r="G85" s="241" t="s">
        <v>285</v>
      </c>
    </row>
    <row r="86" spans="7:16" ht="15.75" thickBot="1" x14ac:dyDescent="0.3">
      <c r="G86" s="164" t="s">
        <v>105</v>
      </c>
      <c r="H86" s="15" t="s">
        <v>8</v>
      </c>
      <c r="I86" s="15" t="s">
        <v>0</v>
      </c>
      <c r="J86" s="15" t="s">
        <v>1</v>
      </c>
      <c r="K86" s="15" t="s">
        <v>2</v>
      </c>
      <c r="L86" s="15" t="s">
        <v>3</v>
      </c>
      <c r="M86" s="15" t="s">
        <v>4</v>
      </c>
      <c r="N86" s="15" t="s">
        <v>5</v>
      </c>
      <c r="O86" s="15" t="s">
        <v>6</v>
      </c>
      <c r="P86" s="16" t="s">
        <v>7</v>
      </c>
    </row>
    <row r="87" spans="7:16" x14ac:dyDescent="0.25">
      <c r="G87" s="246" t="s">
        <v>107</v>
      </c>
      <c r="H87" s="247">
        <f>H65</f>
        <v>0</v>
      </c>
      <c r="I87" s="247">
        <f t="shared" ref="I87:P87" si="24">I65</f>
        <v>108419999.99999997</v>
      </c>
      <c r="J87" s="247">
        <f t="shared" si="24"/>
        <v>216839999.99999994</v>
      </c>
      <c r="K87" s="247">
        <f t="shared" si="24"/>
        <v>361400000</v>
      </c>
      <c r="L87" s="247">
        <f t="shared" si="24"/>
        <v>542099999.99999988</v>
      </c>
      <c r="M87" s="247">
        <f t="shared" si="24"/>
        <v>722800000</v>
      </c>
      <c r="N87" s="247">
        <f t="shared" si="24"/>
        <v>903499999.99999988</v>
      </c>
      <c r="O87" s="247">
        <f t="shared" si="24"/>
        <v>1011919999.9999999</v>
      </c>
      <c r="P87" s="248">
        <f t="shared" si="24"/>
        <v>1084199999.9999998</v>
      </c>
    </row>
    <row r="88" spans="7:16" x14ac:dyDescent="0.25">
      <c r="G88" s="244" t="s">
        <v>59</v>
      </c>
      <c r="H88" s="31">
        <f>H66</f>
        <v>909905600</v>
      </c>
      <c r="I88" s="31">
        <f t="shared" ref="I88:P88" si="25">I66</f>
        <v>1776223800.0000002</v>
      </c>
      <c r="J88" s="31">
        <f t="shared" si="25"/>
        <v>847407600</v>
      </c>
      <c r="K88" s="31">
        <f t="shared" si="25"/>
        <v>1168833900</v>
      </c>
      <c r="L88" s="31">
        <f t="shared" si="25"/>
        <v>1206437700</v>
      </c>
      <c r="M88" s="31">
        <f t="shared" si="25"/>
        <v>1410864000</v>
      </c>
      <c r="N88" s="31">
        <f t="shared" si="25"/>
        <v>2059402800.0000002</v>
      </c>
      <c r="O88" s="31">
        <f t="shared" si="25"/>
        <v>2074760999.9999998</v>
      </c>
      <c r="P88" s="48">
        <f t="shared" si="25"/>
        <v>2042344200</v>
      </c>
    </row>
    <row r="89" spans="7:16" x14ac:dyDescent="0.25">
      <c r="G89" s="244" t="s">
        <v>106</v>
      </c>
      <c r="H89" s="31">
        <f>H67</f>
        <v>0</v>
      </c>
      <c r="I89" s="31">
        <f t="shared" ref="I89:P89" si="26">I67</f>
        <v>42250000</v>
      </c>
      <c r="J89" s="31">
        <f t="shared" si="26"/>
        <v>74750000</v>
      </c>
      <c r="K89" s="31">
        <f t="shared" si="26"/>
        <v>121333333.33333333</v>
      </c>
      <c r="L89" s="31">
        <f t="shared" si="26"/>
        <v>178749999.99999997</v>
      </c>
      <c r="M89" s="31">
        <f t="shared" si="26"/>
        <v>232916666.66666666</v>
      </c>
      <c r="N89" s="31">
        <f t="shared" si="26"/>
        <v>287083333.33333331</v>
      </c>
      <c r="O89" s="31">
        <f t="shared" si="26"/>
        <v>313083333.33333331</v>
      </c>
      <c r="P89" s="48">
        <f t="shared" si="26"/>
        <v>331499999.99999994</v>
      </c>
    </row>
    <row r="90" spans="7:16" ht="15.75" thickBot="1" x14ac:dyDescent="0.3">
      <c r="G90" s="245" t="s">
        <v>9</v>
      </c>
      <c r="H90" s="93">
        <f>H87-SUM(H88:H89)</f>
        <v>-909905600</v>
      </c>
      <c r="I90" s="93">
        <f t="shared" ref="I90:P90" si="27">I87-SUM(I88:I89)</f>
        <v>-1710053800.0000002</v>
      </c>
      <c r="J90" s="93">
        <f t="shared" si="27"/>
        <v>-705317600</v>
      </c>
      <c r="K90" s="93">
        <f t="shared" si="27"/>
        <v>-928767233.33333325</v>
      </c>
      <c r="L90" s="93">
        <f t="shared" si="27"/>
        <v>-843087700.00000012</v>
      </c>
      <c r="M90" s="93">
        <f t="shared" si="27"/>
        <v>-920980666.66666675</v>
      </c>
      <c r="N90" s="93">
        <f t="shared" si="27"/>
        <v>-1442986133.3333335</v>
      </c>
      <c r="O90" s="93">
        <f t="shared" si="27"/>
        <v>-1375924333.333333</v>
      </c>
      <c r="P90" s="251">
        <f t="shared" si="27"/>
        <v>-1289644200.0000002</v>
      </c>
    </row>
    <row r="91" spans="7:16" ht="15.75" thickBot="1" x14ac:dyDescent="0.3">
      <c r="G91" s="249" t="s">
        <v>108</v>
      </c>
      <c r="H91" s="259">
        <f>NPV(10%, H90:P90)</f>
        <v>-6377385227.1300917</v>
      </c>
    </row>
    <row r="93" spans="7:16" ht="15.75" thickBot="1" x14ac:dyDescent="0.3">
      <c r="G93" s="241" t="s">
        <v>290</v>
      </c>
    </row>
    <row r="94" spans="7:16" x14ac:dyDescent="0.25">
      <c r="G94" s="164" t="s">
        <v>105</v>
      </c>
      <c r="H94" s="15" t="s">
        <v>8</v>
      </c>
      <c r="I94" s="15" t="s">
        <v>0</v>
      </c>
      <c r="J94" s="15" t="s">
        <v>1</v>
      </c>
      <c r="K94" s="15" t="s">
        <v>2</v>
      </c>
      <c r="L94" s="15" t="s">
        <v>3</v>
      </c>
      <c r="M94" s="15" t="s">
        <v>4</v>
      </c>
      <c r="N94" s="15" t="s">
        <v>5</v>
      </c>
      <c r="O94" s="15" t="s">
        <v>6</v>
      </c>
      <c r="P94" s="16" t="s">
        <v>7</v>
      </c>
    </row>
    <row r="95" spans="7:16" x14ac:dyDescent="0.25">
      <c r="G95" s="244" t="s">
        <v>107</v>
      </c>
      <c r="H95" s="31">
        <f>H65+'3.  USA Rural'!H73</f>
        <v>10503675000</v>
      </c>
      <c r="I95" s="31">
        <f>I65+'3.  USA Rural'!I73</f>
        <v>11036443470</v>
      </c>
      <c r="J95" s="31">
        <f>J65+'3.  USA Rural'!J73</f>
        <v>11581984408.799999</v>
      </c>
      <c r="K95" s="31">
        <f>K65+'3.  USA Rural'!K73</f>
        <v>12176778975.764</v>
      </c>
      <c r="L95" s="31">
        <f>L65+'3.  USA Rural'!L73</f>
        <v>12821176867.64304</v>
      </c>
      <c r="M95" s="31">
        <f>M65+'3.  USA Rural'!M73</f>
        <v>13479396523.606936</v>
      </c>
      <c r="N95" s="31">
        <f>N65+'3.  USA Rural'!N73</f>
        <v>14151805335.062336</v>
      </c>
      <c r="O95" s="31">
        <f>O65+'3.  USA Rural'!O73</f>
        <v>14766499860.366497</v>
      </c>
      <c r="P95" s="48">
        <f>P65+'3.  USA Rural'!P73</f>
        <v>15360006044.548809</v>
      </c>
    </row>
    <row r="96" spans="7:16" x14ac:dyDescent="0.25">
      <c r="G96" s="244" t="s">
        <v>59</v>
      </c>
      <c r="H96" s="31">
        <f>H66</f>
        <v>909905600</v>
      </c>
      <c r="I96" s="31">
        <f t="shared" ref="I96:P96" si="28">I66</f>
        <v>1776223800.0000002</v>
      </c>
      <c r="J96" s="31">
        <f t="shared" si="28"/>
        <v>847407600</v>
      </c>
      <c r="K96" s="31">
        <f t="shared" si="28"/>
        <v>1168833900</v>
      </c>
      <c r="L96" s="31">
        <f t="shared" si="28"/>
        <v>1206437700</v>
      </c>
      <c r="M96" s="31">
        <f t="shared" si="28"/>
        <v>1410864000</v>
      </c>
      <c r="N96" s="31">
        <f t="shared" si="28"/>
        <v>2059402800.0000002</v>
      </c>
      <c r="O96" s="31">
        <f t="shared" si="28"/>
        <v>2074760999.9999998</v>
      </c>
      <c r="P96" s="48">
        <f t="shared" si="28"/>
        <v>2042344200</v>
      </c>
    </row>
    <row r="97" spans="7:16" x14ac:dyDescent="0.25">
      <c r="G97" s="244" t="s">
        <v>106</v>
      </c>
      <c r="H97" s="31">
        <f>H67+'3.  USA Rural'!H75</f>
        <v>2625918750</v>
      </c>
      <c r="I97" s="31">
        <f>I67+'3.  USA Rural'!I75</f>
        <v>2774255867.5</v>
      </c>
      <c r="J97" s="31">
        <f>J67+'3.  USA Rural'!J75</f>
        <v>2916036102.1999998</v>
      </c>
      <c r="K97" s="31">
        <f>K67+'3.  USA Rural'!K75</f>
        <v>3075178077.2743335</v>
      </c>
      <c r="L97" s="31">
        <f>L67+'3.  USA Rural'!L75</f>
        <v>3248519216.9107599</v>
      </c>
      <c r="M97" s="31">
        <f>M67+'3.  USA Rural'!M75</f>
        <v>3422065797.5684004</v>
      </c>
      <c r="N97" s="31">
        <f>N67+'3.  USA Rural'!N75</f>
        <v>3599159667.0989175</v>
      </c>
      <c r="O97" s="31">
        <f>O67+'3.  USA Rural'!O75</f>
        <v>3751728298.4249578</v>
      </c>
      <c r="P97" s="48">
        <f>P67+'3.  USA Rural'!P75</f>
        <v>3900451511.1372023</v>
      </c>
    </row>
    <row r="98" spans="7:16" ht="15.75" thickBot="1" x14ac:dyDescent="0.3">
      <c r="G98" s="245" t="s">
        <v>9</v>
      </c>
      <c r="H98" s="183">
        <f>H95-SUM(H96:H97)</f>
        <v>6967850650</v>
      </c>
      <c r="I98" s="183">
        <f t="shared" ref="I98:P98" si="29">I95-SUM(I96:I97)</f>
        <v>6485963802.5</v>
      </c>
      <c r="J98" s="183">
        <f t="shared" si="29"/>
        <v>7818540706.5999994</v>
      </c>
      <c r="K98" s="183">
        <f t="shared" si="29"/>
        <v>7932766998.489666</v>
      </c>
      <c r="L98" s="183">
        <f t="shared" si="29"/>
        <v>8366219950.7322798</v>
      </c>
      <c r="M98" s="183">
        <f t="shared" si="29"/>
        <v>8646466726.0385361</v>
      </c>
      <c r="N98" s="183">
        <f t="shared" si="29"/>
        <v>8493242867.963418</v>
      </c>
      <c r="O98" s="183">
        <f t="shared" si="29"/>
        <v>8940010561.9415398</v>
      </c>
      <c r="P98" s="184">
        <f t="shared" si="29"/>
        <v>9417210333.4116058</v>
      </c>
    </row>
    <row r="99" spans="7:16" ht="15.75" thickBot="1" x14ac:dyDescent="0.3">
      <c r="G99" s="249" t="s">
        <v>108</v>
      </c>
      <c r="H99" s="260">
        <f>NPV(10%, H98:P98)</f>
        <v>45585325620.556351</v>
      </c>
    </row>
    <row r="101" spans="7:16" x14ac:dyDescent="0.25">
      <c r="H101" s="264"/>
      <c r="I101" s="264"/>
      <c r="J101" s="264"/>
      <c r="K101" s="264"/>
      <c r="L101" s="264"/>
      <c r="M101" s="264"/>
      <c r="N101" s="264"/>
      <c r="O101" s="264"/>
      <c r="P101" s="264"/>
    </row>
  </sheetData>
  <conditionalFormatting sqref="A6 C6:XFD6 A1:XFD5 A16:XFD1048576 A7:B15 H7:XFD15 C6:G14">
    <cfRule type="expression" dxfId="12" priority="1">
      <formula>"a1&lt;0"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0"/>
  <sheetViews>
    <sheetView zoomScale="80" zoomScaleNormal="80" workbookViewId="0"/>
  </sheetViews>
  <sheetFormatPr defaultColWidth="8.85546875" defaultRowHeight="15" x14ac:dyDescent="0.25"/>
  <cols>
    <col min="1" max="1" width="8.85546875" style="49"/>
    <col min="2" max="2" width="35.85546875" style="49" customWidth="1"/>
    <col min="3" max="3" width="16.28515625" style="49" customWidth="1"/>
    <col min="4" max="4" width="15.5703125" style="49" customWidth="1"/>
    <col min="5" max="5" width="15.42578125" style="49" customWidth="1"/>
    <col min="6" max="6" width="15.7109375" style="49" customWidth="1"/>
    <col min="7" max="7" width="15.28515625" style="49" customWidth="1"/>
    <col min="8" max="9" width="16.28515625" style="49" customWidth="1"/>
    <col min="10" max="10" width="16.140625" style="49" customWidth="1"/>
    <col min="11" max="11" width="16.5703125" style="49" customWidth="1"/>
    <col min="12" max="16" width="15.7109375" style="49" bestFit="1" customWidth="1"/>
    <col min="17" max="16384" width="8.85546875" style="49"/>
  </cols>
  <sheetData>
    <row r="1" spans="1:16" x14ac:dyDescent="0.25">
      <c r="A1" s="4" t="s">
        <v>299</v>
      </c>
    </row>
    <row r="2" spans="1:16" x14ac:dyDescent="0.25">
      <c r="A2" s="49" t="s">
        <v>112</v>
      </c>
    </row>
    <row r="4" spans="1:16" x14ac:dyDescent="0.25">
      <c r="B4" s="49" t="s">
        <v>160</v>
      </c>
      <c r="J4" s="64"/>
    </row>
    <row r="5" spans="1:16" x14ac:dyDescent="0.25">
      <c r="B5" s="157" t="s">
        <v>157</v>
      </c>
      <c r="C5" s="282">
        <v>65000</v>
      </c>
      <c r="D5" s="49" t="s">
        <v>145</v>
      </c>
      <c r="J5" s="64"/>
    </row>
    <row r="6" spans="1:16" x14ac:dyDescent="0.25">
      <c r="B6" s="157" t="s">
        <v>144</v>
      </c>
      <c r="C6" s="282">
        <f>'3.  USA Dense Urban'!D5+'3.  USA Urban'!D5+'3.  USA Suburban'!D5+'3.  USA Rural'!D5</f>
        <v>35000</v>
      </c>
      <c r="D6" s="49" t="s">
        <v>145</v>
      </c>
      <c r="J6" s="156"/>
    </row>
    <row r="7" spans="1:16" x14ac:dyDescent="0.25">
      <c r="B7" s="157" t="s">
        <v>93</v>
      </c>
      <c r="C7" s="282">
        <f>'3.  USA Dense Urban'!D6+'3.  USA Urban'!D6+'3.  USA Suburban'!D6+'3.  USA Rural'!D6</f>
        <v>312455000</v>
      </c>
      <c r="D7" s="49" t="s">
        <v>250</v>
      </c>
    </row>
    <row r="8" spans="1:16" x14ac:dyDescent="0.25">
      <c r="B8" s="157" t="s">
        <v>304</v>
      </c>
      <c r="C8" s="64"/>
    </row>
    <row r="9" spans="1:16" ht="15.75" thickBot="1" x14ac:dyDescent="0.3">
      <c r="C9" s="99">
        <v>2019</v>
      </c>
      <c r="D9" s="99">
        <v>2020</v>
      </c>
      <c r="E9" s="99">
        <v>2021</v>
      </c>
      <c r="F9" s="99">
        <v>2022</v>
      </c>
      <c r="G9" s="99">
        <v>2023</v>
      </c>
      <c r="H9" s="99">
        <v>2024</v>
      </c>
      <c r="I9" s="99">
        <v>2025</v>
      </c>
      <c r="J9" s="99">
        <v>2026</v>
      </c>
      <c r="K9" s="99">
        <v>2027</v>
      </c>
      <c r="L9" s="94"/>
      <c r="M9" s="94"/>
      <c r="N9" s="94"/>
      <c r="O9" s="94"/>
      <c r="P9" s="94"/>
    </row>
    <row r="10" spans="1:16" s="4" customFormat="1" x14ac:dyDescent="0.25">
      <c r="B10" s="68" t="s">
        <v>88</v>
      </c>
      <c r="C10" s="62" t="s">
        <v>8</v>
      </c>
      <c r="D10" s="62" t="s">
        <v>0</v>
      </c>
      <c r="E10" s="62" t="s">
        <v>1</v>
      </c>
      <c r="F10" s="62" t="s">
        <v>2</v>
      </c>
      <c r="G10" s="62" t="s">
        <v>3</v>
      </c>
      <c r="H10" s="62" t="s">
        <v>4</v>
      </c>
      <c r="I10" s="62" t="s">
        <v>5</v>
      </c>
      <c r="J10" s="62" t="s">
        <v>6</v>
      </c>
      <c r="K10" s="63" t="s">
        <v>7</v>
      </c>
    </row>
    <row r="11" spans="1:16" x14ac:dyDescent="0.25">
      <c r="B11" s="1" t="s">
        <v>15</v>
      </c>
      <c r="C11" s="97">
        <v>12.1929</v>
      </c>
      <c r="D11" s="97">
        <v>16.812360000000002</v>
      </c>
      <c r="E11" s="97">
        <v>23.189409000000001</v>
      </c>
      <c r="F11" s="97">
        <v>33.034598549999991</v>
      </c>
      <c r="G11" s="97">
        <v>47.1559986225</v>
      </c>
      <c r="H11" s="97">
        <v>64.893403904625004</v>
      </c>
      <c r="I11" s="97">
        <v>86.464011954712504</v>
      </c>
      <c r="J11" s="97">
        <v>110.91850722963562</v>
      </c>
      <c r="K11" s="98">
        <v>138.64813403704454</v>
      </c>
    </row>
    <row r="12" spans="1:16" ht="15.75" thickBot="1" x14ac:dyDescent="0.3">
      <c r="B12" s="28" t="s">
        <v>117</v>
      </c>
      <c r="C12" s="199">
        <f>'3.  USA Dense Urban'!H13+'3.  USA Urban'!H13+'3.  USA Suburban'!H13+'3.  USA Rural'!H13</f>
        <v>1402737375</v>
      </c>
      <c r="D12" s="199">
        <f>'3.  USA Dense Urban'!I13+'3.  USA Urban'!I13+'3.  USA Suburban'!I13+'3.  USA Rural'!I13</f>
        <v>1972403784</v>
      </c>
      <c r="E12" s="199">
        <f>'3.  USA Dense Urban'!J13+'3.  USA Urban'!J13+'3.  USA Suburban'!J13+'3.  USA Rural'!J13</f>
        <v>2773244927.6999998</v>
      </c>
      <c r="F12" s="199">
        <f>'3.  USA Dense Urban'!K13+'3.  USA Urban'!K13+'3.  USA Suburban'!K13+'3.  USA Rural'!K13</f>
        <v>4024340040.6787496</v>
      </c>
      <c r="G12" s="199">
        <f>'3.  USA Dense Urban'!L13+'3.  USA Urban'!L13+'3.  USA Suburban'!L13+'3.  USA Rural'!L13</f>
        <v>5849774677.2903757</v>
      </c>
      <c r="H12" s="199">
        <f>'3.  USA Dense Urban'!M13+'3.  USA Urban'!M13+'3.  USA Suburban'!M13+'3.  USA Rural'!M13</f>
        <v>8194809527.009016</v>
      </c>
      <c r="I12" s="199">
        <f>'3.  USA Dense Urban'!N13+'3.  USA Urban'!N13+'3.  USA Suburban'!N13+'3.  USA Rural'!N13</f>
        <v>11114817451.369223</v>
      </c>
      <c r="J12" s="199">
        <f>'3.  USA Dense Urban'!O13+'3.  USA Urban'!O13+'3.  USA Suburban'!O13+'3.  USA Rural'!O13</f>
        <v>14509701905.255554</v>
      </c>
      <c r="K12" s="200">
        <f>'3.  USA Dense Urban'!P13+'3.  USA Urban'!P13+'3.  USA Suburban'!P13+'3.  USA Rural'!P13</f>
        <v>18455322598.789959</v>
      </c>
    </row>
    <row r="13" spans="1:16" x14ac:dyDescent="0.25">
      <c r="B13" s="4"/>
      <c r="C13" s="42"/>
      <c r="D13" s="43"/>
      <c r="E13" s="43"/>
      <c r="F13" s="43"/>
      <c r="G13" s="43"/>
      <c r="H13" s="43"/>
      <c r="I13" s="43"/>
      <c r="J13" s="43"/>
      <c r="K13" s="43"/>
    </row>
    <row r="14" spans="1:16" s="4" customFormat="1" x14ac:dyDescent="0.25">
      <c r="A14" s="49"/>
      <c r="B14" s="49"/>
      <c r="C14" s="49"/>
      <c r="D14" s="49"/>
      <c r="E14" s="49"/>
      <c r="F14" s="49"/>
      <c r="G14" s="49"/>
      <c r="H14" s="49"/>
      <c r="I14" s="49"/>
      <c r="J14" s="49"/>
      <c r="K14" s="49"/>
      <c r="L14" s="49"/>
    </row>
    <row r="15" spans="1:16" ht="15.75" thickBot="1" x14ac:dyDescent="0.3">
      <c r="C15" s="94">
        <v>2019</v>
      </c>
      <c r="D15" s="94">
        <v>2020</v>
      </c>
      <c r="E15" s="94">
        <v>2021</v>
      </c>
      <c r="F15" s="94">
        <v>2022</v>
      </c>
      <c r="G15" s="94">
        <v>2023</v>
      </c>
      <c r="H15" s="94">
        <v>2024</v>
      </c>
      <c r="I15" s="94">
        <v>2025</v>
      </c>
      <c r="J15" s="94">
        <v>2026</v>
      </c>
      <c r="K15" s="94">
        <v>2027</v>
      </c>
    </row>
    <row r="16" spans="1:16" x14ac:dyDescent="0.25">
      <c r="B16" s="19" t="s">
        <v>87</v>
      </c>
      <c r="C16" s="15" t="s">
        <v>8</v>
      </c>
      <c r="D16" s="15" t="s">
        <v>0</v>
      </c>
      <c r="E16" s="15" t="s">
        <v>1</v>
      </c>
      <c r="F16" s="15" t="s">
        <v>2</v>
      </c>
      <c r="G16" s="15" t="s">
        <v>3</v>
      </c>
      <c r="H16" s="15" t="s">
        <v>4</v>
      </c>
      <c r="I16" s="15" t="s">
        <v>5</v>
      </c>
      <c r="J16" s="15" t="s">
        <v>6</v>
      </c>
      <c r="K16" s="16" t="s">
        <v>7</v>
      </c>
    </row>
    <row r="17" spans="1:12" x14ac:dyDescent="0.25">
      <c r="B17" s="82" t="s">
        <v>128</v>
      </c>
      <c r="C17" s="67">
        <f>'3.  USA Dense Urban'!H29+'3.  USA Urban'!H29+'3.  USA Suburban'!H29+'3.  USA Rural'!H30</f>
        <v>0</v>
      </c>
      <c r="D17" s="67">
        <f>'3.  USA Dense Urban'!I29+'3.  USA Urban'!I29+'3.  USA Suburban'!I29+'3.  USA Rural'!I30</f>
        <v>0</v>
      </c>
      <c r="E17" s="67">
        <f>'3.  USA Dense Urban'!J29+'3.  USA Urban'!J29+'3.  USA Suburban'!J29+'3.  USA Rural'!J30</f>
        <v>0</v>
      </c>
      <c r="F17" s="67">
        <f>'3.  USA Dense Urban'!K29+'3.  USA Urban'!K29+'3.  USA Suburban'!K29+'3.  USA Rural'!K30</f>
        <v>0</v>
      </c>
      <c r="G17" s="67">
        <f>'3.  USA Dense Urban'!L29+'3.  USA Urban'!L29+'3.  USA Suburban'!L29+'3.  USA Rural'!L30</f>
        <v>0</v>
      </c>
      <c r="H17" s="67">
        <f>'3.  USA Dense Urban'!M29+'3.  USA Urban'!M29+'3.  USA Suburban'!M29+'3.  USA Rural'!M30</f>
        <v>0</v>
      </c>
      <c r="I17" s="67">
        <f>'3.  USA Dense Urban'!N29+'3.  USA Urban'!N29+'3.  USA Suburban'!N29+'3.  USA Rural'!N30</f>
        <v>0</v>
      </c>
      <c r="J17" s="67">
        <f>'3.  USA Dense Urban'!O29+'3.  USA Urban'!O29+'3.  USA Suburban'!O29+'3.  USA Rural'!O30</f>
        <v>0</v>
      </c>
      <c r="K17" s="79">
        <f>'3.  USA Dense Urban'!P29+'3.  USA Urban'!P29+'3.  USA Suburban'!P29+'3.  USA Rural'!P30</f>
        <v>0</v>
      </c>
      <c r="L17" s="56"/>
    </row>
    <row r="18" spans="1:12" x14ac:dyDescent="0.25">
      <c r="B18" s="82" t="s">
        <v>121</v>
      </c>
      <c r="C18" s="67">
        <f>'3.  USA Dense Urban'!H30+'3.  USA Urban'!H30+'3.  USA Suburban'!H30+'3.  USA Rural'!H31</f>
        <v>717977520</v>
      </c>
      <c r="D18" s="67">
        <f>'3.  USA Dense Urban'!I30+'3.  USA Urban'!I30+'3.  USA Suburban'!I30+'3.  USA Rural'!I31</f>
        <v>735415200</v>
      </c>
      <c r="E18" s="67">
        <f>'3.  USA Dense Urban'!J30+'3.  USA Urban'!J30+'3.  USA Suburban'!J30+'3.  USA Rural'!J31</f>
        <v>756264600</v>
      </c>
      <c r="F18" s="67">
        <f>'3.  USA Dense Urban'!K30+'3.  USA Urban'!K30+'3.  USA Suburban'!K30+'3.  USA Rural'!K31</f>
        <v>773323200</v>
      </c>
      <c r="G18" s="67">
        <f>'3.  USA Dense Urban'!L30+'3.  USA Urban'!L30+'3.  USA Suburban'!L30+'3.  USA Rural'!L31</f>
        <v>792277200</v>
      </c>
      <c r="H18" s="67">
        <f>'3.  USA Dense Urban'!M30+'3.  USA Urban'!M30+'3.  USA Suburban'!M30+'3.  USA Rural'!M31</f>
        <v>809335800</v>
      </c>
      <c r="I18" s="67">
        <f>'3.  USA Dense Urban'!N30+'3.  USA Urban'!N30+'3.  USA Suburban'!N30+'3.  USA Rural'!N31</f>
        <v>826394400</v>
      </c>
      <c r="J18" s="67">
        <f>'3.  USA Dense Urban'!O30+'3.  USA Urban'!O30+'3.  USA Suburban'!O30+'3.  USA Rural'!O31</f>
        <v>843832080</v>
      </c>
      <c r="K18" s="79">
        <f>'3.  USA Dense Urban'!P30+'3.  USA Urban'!P30+'3.  USA Suburban'!P30+'3.  USA Rural'!P31</f>
        <v>865060560</v>
      </c>
      <c r="L18" s="56"/>
    </row>
    <row r="19" spans="1:12" x14ac:dyDescent="0.25">
      <c r="B19" s="82" t="s">
        <v>122</v>
      </c>
      <c r="C19" s="67">
        <f>'3.  USA Dense Urban'!H31+'3.  USA Urban'!H31+'3.  USA Suburban'!H31+'3.  USA Rural'!H32</f>
        <v>859184820</v>
      </c>
      <c r="D19" s="67">
        <f>'3.  USA Dense Urban'!I31+'3.  USA Urban'!I31+'3.  USA Suburban'!I31+'3.  USA Rural'!I32</f>
        <v>955850220</v>
      </c>
      <c r="E19" s="67">
        <f>'3.  USA Dense Urban'!J31+'3.  USA Urban'!J31+'3.  USA Suburban'!J31+'3.  USA Rural'!J32</f>
        <v>1008163260</v>
      </c>
      <c r="F19" s="67">
        <f>'3.  USA Dense Urban'!K31+'3.  USA Urban'!K31+'3.  USA Suburban'!K31+'3.  USA Rural'!K32</f>
        <v>1063888020</v>
      </c>
      <c r="G19" s="67">
        <f>'3.  USA Dense Urban'!L31+'3.  USA Urban'!L31+'3.  USA Suburban'!L31+'3.  USA Rural'!L32</f>
        <v>1095162120</v>
      </c>
      <c r="H19" s="67">
        <f>'3.  USA Dense Urban'!M31+'3.  USA Urban'!M31+'3.  USA Suburban'!M31+'3.  USA Rural'!M32</f>
        <v>1131553800</v>
      </c>
      <c r="I19" s="67">
        <f>'3.  USA Dense Urban'!N31+'3.  USA Urban'!N31+'3.  USA Suburban'!N31+'3.  USA Rural'!N32</f>
        <v>1173063060</v>
      </c>
      <c r="J19" s="67">
        <f>'3.  USA Dense Urban'!O31+'3.  USA Urban'!O31+'3.  USA Suburban'!O31+'3.  USA Rural'!O32</f>
        <v>1201494060</v>
      </c>
      <c r="K19" s="79">
        <f>'3.  USA Dense Urban'!P31+'3.  USA Urban'!P31+'3.  USA Suburban'!P31+'3.  USA Rural'!P32</f>
        <v>1232768160</v>
      </c>
    </row>
    <row r="20" spans="1:12" s="4" customFormat="1" x14ac:dyDescent="0.25">
      <c r="A20" s="49"/>
      <c r="B20" s="82" t="s">
        <v>120</v>
      </c>
      <c r="C20" s="67">
        <f>'3.  USA Dense Urban'!H32+'3.  USA Urban'!H32+'3.  USA Suburban'!H32+'3.  USA Rural'!H33</f>
        <v>0</v>
      </c>
      <c r="D20" s="67">
        <f>'3.  USA Dense Urban'!I32+'3.  USA Urban'!I32+'3.  USA Suburban'!I32+'3.  USA Rural'!I33</f>
        <v>0</v>
      </c>
      <c r="E20" s="67">
        <f>'3.  USA Dense Urban'!J32+'3.  USA Urban'!J32+'3.  USA Suburban'!J32+'3.  USA Rural'!J33</f>
        <v>0</v>
      </c>
      <c r="F20" s="67">
        <f>'3.  USA Dense Urban'!K32+'3.  USA Urban'!K32+'3.  USA Suburban'!K32+'3.  USA Rural'!K33</f>
        <v>0</v>
      </c>
      <c r="G20" s="67">
        <f>'3.  USA Dense Urban'!L32+'3.  USA Urban'!L32+'3.  USA Suburban'!L32+'3.  USA Rural'!L33</f>
        <v>0</v>
      </c>
      <c r="H20" s="67">
        <f>'3.  USA Dense Urban'!M32+'3.  USA Urban'!M32+'3.  USA Suburban'!M32+'3.  USA Rural'!M33</f>
        <v>0</v>
      </c>
      <c r="I20" s="67">
        <f>'3.  USA Dense Urban'!N32+'3.  USA Urban'!N32+'3.  USA Suburban'!N32+'3.  USA Rural'!N33</f>
        <v>0</v>
      </c>
      <c r="J20" s="67">
        <f>'3.  USA Dense Urban'!O32+'3.  USA Urban'!O32+'3.  USA Suburban'!O32+'3.  USA Rural'!O33</f>
        <v>0</v>
      </c>
      <c r="K20" s="79">
        <f>'3.  USA Dense Urban'!P32+'3.  USA Urban'!P32+'3.  USA Suburban'!P32+'3.  USA Rural'!P33</f>
        <v>0</v>
      </c>
      <c r="L20" s="49"/>
    </row>
    <row r="21" spans="1:12" x14ac:dyDescent="0.25">
      <c r="B21" s="82" t="s">
        <v>124</v>
      </c>
      <c r="C21" s="67">
        <f>'3.  USA Dense Urban'!H33+'3.  USA Urban'!H33+'3.  USA Suburban'!H33+'3.  USA Rural'!H34</f>
        <v>0</v>
      </c>
      <c r="D21" s="67">
        <f>'3.  USA Dense Urban'!I33+'3.  USA Urban'!I33+'3.  USA Suburban'!I33+'3.  USA Rural'!I34</f>
        <v>0</v>
      </c>
      <c r="E21" s="67">
        <f>'3.  USA Dense Urban'!J33+'3.  USA Urban'!J33+'3.  USA Suburban'!J33+'3.  USA Rural'!J34</f>
        <v>0</v>
      </c>
      <c r="F21" s="67">
        <f>'3.  USA Dense Urban'!K33+'3.  USA Urban'!K33+'3.  USA Suburban'!K33+'3.  USA Rural'!K34</f>
        <v>0</v>
      </c>
      <c r="G21" s="67">
        <f>'3.  USA Dense Urban'!L33+'3.  USA Urban'!L33+'3.  USA Suburban'!L33+'3.  USA Rural'!L34</f>
        <v>0</v>
      </c>
      <c r="H21" s="67">
        <f>'3.  USA Dense Urban'!M33+'3.  USA Urban'!M33+'3.  USA Suburban'!M33+'3.  USA Rural'!M34</f>
        <v>0</v>
      </c>
      <c r="I21" s="67">
        <f>'3.  USA Dense Urban'!N33+'3.  USA Urban'!N33+'3.  USA Suburban'!N33+'3.  USA Rural'!N34</f>
        <v>0</v>
      </c>
      <c r="J21" s="67">
        <f>'3.  USA Dense Urban'!O33+'3.  USA Urban'!O33+'3.  USA Suburban'!O33+'3.  USA Rural'!O34</f>
        <v>0</v>
      </c>
      <c r="K21" s="79">
        <f>'3.  USA Dense Urban'!P33+'3.  USA Urban'!P33+'3.  USA Suburban'!P33+'3.  USA Rural'!P34</f>
        <v>0</v>
      </c>
    </row>
    <row r="22" spans="1:12" x14ac:dyDescent="0.25">
      <c r="B22" s="82" t="s">
        <v>118</v>
      </c>
      <c r="C22" s="67">
        <f>'3.  USA Dense Urban'!H34+'3.  USA Urban'!H34+'3.  USA Suburban'!H34+'3.  USA Rural'!H35</f>
        <v>0</v>
      </c>
      <c r="D22" s="67">
        <f>'3.  USA Dense Urban'!I34+'3.  USA Urban'!I34+'3.  USA Suburban'!I34+'3.  USA Rural'!I35</f>
        <v>0</v>
      </c>
      <c r="E22" s="67">
        <f>'3.  USA Dense Urban'!J34+'3.  USA Urban'!J34+'3.  USA Suburban'!J34+'3.  USA Rural'!J35</f>
        <v>0</v>
      </c>
      <c r="F22" s="67">
        <f>'3.  USA Dense Urban'!K34+'3.  USA Urban'!K34+'3.  USA Suburban'!K34+'3.  USA Rural'!K35</f>
        <v>0</v>
      </c>
      <c r="G22" s="67">
        <f>'3.  USA Dense Urban'!L34+'3.  USA Urban'!L34+'3.  USA Suburban'!L34+'3.  USA Rural'!L35</f>
        <v>0</v>
      </c>
      <c r="H22" s="67">
        <f>'3.  USA Dense Urban'!M34+'3.  USA Urban'!M34+'3.  USA Suburban'!M34+'3.  USA Rural'!M35</f>
        <v>0</v>
      </c>
      <c r="I22" s="67">
        <f>'3.  USA Dense Urban'!N34+'3.  USA Urban'!N34+'3.  USA Suburban'!N34+'3.  USA Rural'!N35</f>
        <v>0</v>
      </c>
      <c r="J22" s="67">
        <f>'3.  USA Dense Urban'!O34+'3.  USA Urban'!O34+'3.  USA Suburban'!O34+'3.  USA Rural'!O35</f>
        <v>0</v>
      </c>
      <c r="K22" s="79">
        <f>'3.  USA Dense Urban'!P34+'3.  USA Urban'!P34+'3.  USA Suburban'!P34+'3.  USA Rural'!P35</f>
        <v>0</v>
      </c>
    </row>
    <row r="23" spans="1:12" x14ac:dyDescent="0.25">
      <c r="A23" s="4"/>
      <c r="B23" s="82" t="s">
        <v>132</v>
      </c>
      <c r="C23" s="67">
        <f>'3.  USA Dense Urban'!H35+'3.  USA Urban'!H35+'3.  USA Suburban'!H35+'3.  USA Rural'!H36</f>
        <v>37730124.000000007</v>
      </c>
      <c r="D23" s="67">
        <f>'3.  USA Dense Urban'!I35+'3.  USA Urban'!I35+'3.  USA Suburban'!I35+'3.  USA Rural'!I36</f>
        <v>188650620</v>
      </c>
      <c r="E23" s="67">
        <f>'3.  USA Dense Urban'!J35+'3.  USA Urban'!J35+'3.  USA Suburban'!J35+'3.  USA Rural'!J36</f>
        <v>442123920</v>
      </c>
      <c r="F23" s="67">
        <f>'3.  USA Dense Urban'!K35+'3.  USA Urban'!K35+'3.  USA Suburban'!K35+'3.  USA Rural'!K36</f>
        <v>774547920</v>
      </c>
      <c r="G23" s="67">
        <f>'3.  USA Dense Urban'!L35+'3.  USA Urban'!L35+'3.  USA Suburban'!L35+'3.  USA Rural'!L36</f>
        <v>1106971920</v>
      </c>
      <c r="H23" s="67">
        <f>'3.  USA Dense Urban'!M35+'3.  USA Urban'!M35+'3.  USA Suburban'!M35+'3.  USA Rural'!M36</f>
        <v>1106971920</v>
      </c>
      <c r="I23" s="67">
        <f>'3.  USA Dense Urban'!N35+'3.  USA Urban'!N35+'3.  USA Suburban'!N35+'3.  USA Rural'!N36</f>
        <v>1106971920</v>
      </c>
      <c r="J23" s="67">
        <f>'3.  USA Dense Urban'!O35+'3.  USA Urban'!O35+'3.  USA Suburban'!O35+'3.  USA Rural'!O36</f>
        <v>1106971920</v>
      </c>
      <c r="K23" s="79">
        <f>'3.  USA Dense Urban'!P35+'3.  USA Urban'!P35+'3.  USA Suburban'!P35+'3.  USA Rural'!P36</f>
        <v>1106971920</v>
      </c>
      <c r="L23" s="4"/>
    </row>
    <row r="24" spans="1:12" x14ac:dyDescent="0.25">
      <c r="B24" s="82" t="s">
        <v>133</v>
      </c>
      <c r="C24" s="67">
        <f>'3.  USA Dense Urban'!H36+'3.  USA Urban'!H36+'3.  USA Suburban'!H36+'3.  USA Rural'!H37</f>
        <v>0</v>
      </c>
      <c r="D24" s="67">
        <f>'3.  USA Dense Urban'!I36+'3.  USA Urban'!I36+'3.  USA Suburban'!I36+'3.  USA Rural'!I37</f>
        <v>0</v>
      </c>
      <c r="E24" s="67">
        <f>'3.  USA Dense Urban'!J36+'3.  USA Urban'!J36+'3.  USA Suburban'!J36+'3.  USA Rural'!J37</f>
        <v>378132300</v>
      </c>
      <c r="F24" s="67">
        <f>'3.  USA Dense Urban'!K36+'3.  USA Urban'!K36+'3.  USA Suburban'!K36+'3.  USA Rural'!K37</f>
        <v>1215425250</v>
      </c>
      <c r="G24" s="67">
        <f>'3.  USA Dense Urban'!L36+'3.  USA Urban'!L36+'3.  USA Suburban'!L36+'3.  USA Rural'!L37</f>
        <v>2376831600</v>
      </c>
      <c r="H24" s="67">
        <f>'3.  USA Dense Urban'!M36+'3.  USA Urban'!M36+'3.  USA Suburban'!M36+'3.  USA Rural'!M37</f>
        <v>3889360800.000001</v>
      </c>
      <c r="I24" s="67">
        <f>'3.  USA Dense Urban'!N36+'3.  USA Urban'!N36+'3.  USA Suburban'!N36+'3.  USA Rural'!N37</f>
        <v>4726653750</v>
      </c>
      <c r="J24" s="67">
        <f>'3.  USA Dense Urban'!O36+'3.  USA Urban'!O36+'3.  USA Suburban'!O36+'3.  USA Rural'!O37</f>
        <v>5269543695</v>
      </c>
      <c r="K24" s="79">
        <f>'3.  USA Dense Urban'!P36+'3.  USA Urban'!P36+'3.  USA Suburban'!P36+'3.  USA Rural'!P37</f>
        <v>5709797730</v>
      </c>
    </row>
    <row r="25" spans="1:12" x14ac:dyDescent="0.25">
      <c r="B25" s="82" t="s">
        <v>255</v>
      </c>
      <c r="C25" s="67">
        <f>'3.  USA Dense Urban'!H37+'3.  USA Urban'!H37+'3.  USA Suburban'!H37+'3.  USA Rural'!H38</f>
        <v>489888000</v>
      </c>
      <c r="D25" s="67">
        <f>'3.  USA Dense Urban'!I37+'3.  USA Urban'!I37+'3.  USA Suburban'!I37+'3.  USA Rural'!I38</f>
        <v>653184000</v>
      </c>
      <c r="E25" s="67">
        <f>'3.  USA Dense Urban'!J37+'3.  USA Urban'!J37+'3.  USA Suburban'!J37+'3.  USA Rural'!J38</f>
        <v>816480000</v>
      </c>
      <c r="F25" s="67">
        <f>'3.  USA Dense Urban'!K37+'3.  USA Urban'!K37+'3.  USA Suburban'!K37+'3.  USA Rural'!K38</f>
        <v>699840000</v>
      </c>
      <c r="G25" s="67">
        <f>'3.  USA Dense Urban'!L37+'3.  USA Urban'!L37+'3.  USA Suburban'!L37+'3.  USA Rural'!L38</f>
        <v>489888000</v>
      </c>
      <c r="H25" s="67">
        <f>'3.  USA Dense Urban'!M37+'3.  USA Urban'!M37+'3.  USA Suburban'!M37+'3.  USA Rural'!M38</f>
        <v>373248000</v>
      </c>
      <c r="I25" s="67">
        <f>'3.  USA Dense Urban'!N37+'3.  USA Urban'!N37+'3.  USA Suburban'!N37+'3.  USA Rural'!N38</f>
        <v>303264000</v>
      </c>
      <c r="J25" s="67">
        <f>'3.  USA Dense Urban'!O37+'3.  USA Urban'!O37+'3.  USA Suburban'!O37+'3.  USA Rural'!O38</f>
        <v>256608000</v>
      </c>
      <c r="K25" s="79">
        <f>'3.  USA Dense Urban'!P37+'3.  USA Urban'!P37+'3.  USA Suburban'!P37+'3.  USA Rural'!P38</f>
        <v>163296000</v>
      </c>
    </row>
    <row r="26" spans="1:12" x14ac:dyDescent="0.25">
      <c r="B26" s="82" t="s">
        <v>287</v>
      </c>
      <c r="C26" s="67">
        <f>'3.  USA Dense Urban'!H38+'3.  USA Urban'!H38+'3.  USA Suburban'!H38+'3.  USA Rural'!H39</f>
        <v>0</v>
      </c>
      <c r="D26" s="67">
        <f>'3.  USA Dense Urban'!I38+'3.  USA Urban'!I38+'3.  USA Suburban'!I38+'3.  USA Rural'!I39</f>
        <v>142884000</v>
      </c>
      <c r="E26" s="67">
        <f>'3.  USA Dense Urban'!J38+'3.  USA Urban'!J38+'3.  USA Suburban'!J38+'3.  USA Rural'!J39</f>
        <v>347004000</v>
      </c>
      <c r="F26" s="67">
        <f>'3.  USA Dense Urban'!K38+'3.  USA Urban'!K38+'3.  USA Suburban'!K38+'3.  USA Rural'!K39</f>
        <v>428652000</v>
      </c>
      <c r="G26" s="67">
        <f>'3.  USA Dense Urban'!L38+'3.  USA Urban'!L38+'3.  USA Suburban'!L38+'3.  USA Rural'!L39</f>
        <v>877716000</v>
      </c>
      <c r="H26" s="67">
        <f>'3.  USA Dense Urban'!M38+'3.  USA Urban'!M38+'3.  USA Suburban'!M38+'3.  USA Rural'!M39</f>
        <v>1306368000</v>
      </c>
      <c r="I26" s="67">
        <f>'3.  USA Dense Urban'!N38+'3.  USA Urban'!N38+'3.  USA Suburban'!N38+'3.  USA Rural'!N39</f>
        <v>1857492000</v>
      </c>
      <c r="J26" s="67">
        <f>'3.  USA Dense Urban'!O38+'3.  USA Urban'!O38+'3.  USA Suburban'!O38+'3.  USA Rural'!O39</f>
        <v>2367792000</v>
      </c>
      <c r="K26" s="79">
        <f>'3.  USA Dense Urban'!P38+'3.  USA Urban'!P38+'3.  USA Suburban'!P38+'3.  USA Rural'!P39</f>
        <v>3000564000</v>
      </c>
    </row>
    <row r="27" spans="1:12" x14ac:dyDescent="0.25">
      <c r="B27" s="87" t="s">
        <v>139</v>
      </c>
      <c r="C27" s="86">
        <f>'3.  USA Dense Urban'!H39+'3.  USA Urban'!H39+'3.  USA Suburban'!H39+'3.  USA Rural'!H40</f>
        <v>2104780464</v>
      </c>
      <c r="D27" s="86">
        <f>'3.  USA Dense Urban'!I39+'3.  USA Urban'!I39+'3.  USA Suburban'!I39+'3.  USA Rural'!I40</f>
        <v>2675984040</v>
      </c>
      <c r="E27" s="86">
        <f>'3.  USA Dense Urban'!J39+'3.  USA Urban'!J39+'3.  USA Suburban'!J39+'3.  USA Rural'!J40</f>
        <v>3748168080</v>
      </c>
      <c r="F27" s="86">
        <f>'3.  USA Dense Urban'!K39+'3.  USA Urban'!K39+'3.  USA Suburban'!K39+'3.  USA Rural'!K40</f>
        <v>4955676390</v>
      </c>
      <c r="G27" s="86">
        <f>'3.  USA Dense Urban'!L39+'3.  USA Urban'!L39+'3.  USA Suburban'!L39+'3.  USA Rural'!L40</f>
        <v>6738846840</v>
      </c>
      <c r="H27" s="86">
        <f>'3.  USA Dense Urban'!M39+'3.  USA Urban'!M39+'3.  USA Suburban'!M39+'3.  USA Rural'!M40</f>
        <v>8616838320</v>
      </c>
      <c r="I27" s="86">
        <f>'3.  USA Dense Urban'!N39+'3.  USA Urban'!N39+'3.  USA Suburban'!N39+'3.  USA Rural'!N40</f>
        <v>9993839130</v>
      </c>
      <c r="J27" s="86">
        <f>'3.  USA Dense Urban'!O39+'3.  USA Urban'!O39+'3.  USA Suburban'!O39+'3.  USA Rural'!O40</f>
        <v>11046241755</v>
      </c>
      <c r="K27" s="95">
        <f>'3.  USA Dense Urban'!P39+'3.  USA Urban'!P39+'3.  USA Suburban'!P39+'3.  USA Rural'!P40</f>
        <v>12078458370</v>
      </c>
    </row>
    <row r="28" spans="1:12" s="4" customFormat="1" x14ac:dyDescent="0.25">
      <c r="B28" s="82" t="s">
        <v>119</v>
      </c>
      <c r="C28" s="67">
        <f>'3.  USA Dense Urban'!H40+'3.  USA Urban'!H40+'3.  USA Suburban'!H40+'3.  USA Rural'!H41</f>
        <v>14580000</v>
      </c>
      <c r="D28" s="67">
        <f>'3.  USA Dense Urban'!I40+'3.  USA Urban'!I40+'3.  USA Suburban'!I40+'3.  USA Rural'!I41</f>
        <v>218700000</v>
      </c>
      <c r="E28" s="67">
        <f>'3.  USA Dense Urban'!J40+'3.  USA Urban'!J40+'3.  USA Suburban'!J40+'3.  USA Rural'!J41</f>
        <v>437400000</v>
      </c>
      <c r="F28" s="67">
        <f>'3.  USA Dense Urban'!K40+'3.  USA Urban'!K40+'3.  USA Suburban'!K40+'3.  USA Rural'!K41</f>
        <v>656100000</v>
      </c>
      <c r="G28" s="67">
        <f>'3.  USA Dense Urban'!L40+'3.  USA Urban'!L40+'3.  USA Suburban'!L40+'3.  USA Rural'!L41</f>
        <v>1093500000</v>
      </c>
      <c r="H28" s="67">
        <f>'3.  USA Dense Urban'!M40+'3.  USA Urban'!M40+'3.  USA Suburban'!M40+'3.  USA Rural'!M41</f>
        <v>1786050000</v>
      </c>
      <c r="I28" s="67">
        <f>'3.  USA Dense Urban'!N40+'3.  USA Urban'!N40+'3.  USA Suburban'!N40+'3.  USA Rural'!N41</f>
        <v>3025350000</v>
      </c>
      <c r="J28" s="67">
        <f>'3.  USA Dense Urban'!O40+'3.  USA Urban'!O40+'3.  USA Suburban'!O40+'3.  USA Rural'!O41</f>
        <v>5175900000</v>
      </c>
      <c r="K28" s="79">
        <f>'3.  USA Dense Urban'!P40+'3.  USA Urban'!P40+'3.  USA Suburban'!P40+'3.  USA Rural'!P41</f>
        <v>6779700000</v>
      </c>
    </row>
    <row r="29" spans="1:12" ht="15.75" thickBot="1" x14ac:dyDescent="0.3">
      <c r="B29" s="201" t="s">
        <v>125</v>
      </c>
      <c r="C29" s="202">
        <f>C27+C28</f>
        <v>2119360464</v>
      </c>
      <c r="D29" s="202">
        <f t="shared" ref="D29:K29" si="0">D27+D28</f>
        <v>2894684040</v>
      </c>
      <c r="E29" s="202">
        <f t="shared" si="0"/>
        <v>4185568080</v>
      </c>
      <c r="F29" s="202">
        <f t="shared" si="0"/>
        <v>5611776390</v>
      </c>
      <c r="G29" s="202">
        <f t="shared" si="0"/>
        <v>7832346840</v>
      </c>
      <c r="H29" s="202">
        <f t="shared" si="0"/>
        <v>10402888320</v>
      </c>
      <c r="I29" s="202">
        <f t="shared" si="0"/>
        <v>13019189130</v>
      </c>
      <c r="J29" s="202">
        <f t="shared" si="0"/>
        <v>16222141755</v>
      </c>
      <c r="K29" s="203">
        <f t="shared" si="0"/>
        <v>18858158370</v>
      </c>
    </row>
    <row r="30" spans="1:12" ht="15.75" thickBot="1" x14ac:dyDescent="0.3">
      <c r="B30" s="66"/>
      <c r="C30" s="194"/>
      <c r="D30" s="194"/>
      <c r="E30" s="194"/>
      <c r="F30" s="194"/>
      <c r="G30" s="194"/>
      <c r="H30" s="194"/>
      <c r="I30" s="194"/>
      <c r="J30" s="194"/>
      <c r="K30" s="194"/>
      <c r="L30" s="83"/>
    </row>
    <row r="31" spans="1:12" x14ac:dyDescent="0.25">
      <c r="B31" s="19" t="s">
        <v>91</v>
      </c>
      <c r="C31" s="15" t="s">
        <v>8</v>
      </c>
      <c r="D31" s="15" t="s">
        <v>0</v>
      </c>
      <c r="E31" s="15" t="s">
        <v>1</v>
      </c>
      <c r="F31" s="15" t="s">
        <v>2</v>
      </c>
      <c r="G31" s="15" t="s">
        <v>3</v>
      </c>
      <c r="H31" s="15" t="s">
        <v>4</v>
      </c>
      <c r="I31" s="15" t="s">
        <v>5</v>
      </c>
      <c r="J31" s="15" t="s">
        <v>6</v>
      </c>
      <c r="K31" s="16" t="s">
        <v>7</v>
      </c>
      <c r="L31" s="83"/>
    </row>
    <row r="32" spans="1:12" x14ac:dyDescent="0.25">
      <c r="B32" s="171" t="s">
        <v>19</v>
      </c>
      <c r="C32" s="85"/>
      <c r="D32" s="81"/>
      <c r="E32" s="81"/>
      <c r="F32" s="81"/>
      <c r="G32" s="81"/>
      <c r="H32" s="81"/>
      <c r="I32" s="81"/>
      <c r="J32" s="81"/>
      <c r="K32" s="91"/>
      <c r="L32" s="83"/>
    </row>
    <row r="33" spans="2:12" x14ac:dyDescent="0.25">
      <c r="B33" s="176" t="s">
        <v>252</v>
      </c>
      <c r="C33" s="177">
        <f>'3.  USA Dense Urban'!H45+'3.  USA Urban'!H45+'3.  USA Suburban'!H45+'3.  USA Rural'!H46</f>
        <v>2088710000</v>
      </c>
      <c r="D33" s="177">
        <f>'3.  USA Dense Urban'!I45+'3.  USA Urban'!I45+'3.  USA Suburban'!I45+'3.  USA Rural'!I46</f>
        <v>20887100000</v>
      </c>
      <c r="E33" s="177"/>
      <c r="F33" s="177"/>
      <c r="G33" s="177"/>
      <c r="H33" s="177"/>
      <c r="I33" s="177"/>
      <c r="J33" s="177"/>
      <c r="K33" s="91"/>
      <c r="L33" s="83"/>
    </row>
    <row r="34" spans="2:12" x14ac:dyDescent="0.25">
      <c r="B34" s="176" t="s">
        <v>253</v>
      </c>
      <c r="C34" s="177">
        <f>'3.  USA Dense Urban'!H46+'3.  USA Urban'!H46+'3.  USA Suburban'!H46+'3.  USA Rural'!H47</f>
        <v>263450631.68693012</v>
      </c>
      <c r="D34" s="81"/>
      <c r="E34" s="81"/>
      <c r="F34" s="81"/>
      <c r="G34" s="81"/>
      <c r="H34" s="81"/>
      <c r="I34" s="81"/>
      <c r="J34" s="81"/>
      <c r="K34" s="91"/>
      <c r="L34" s="83"/>
    </row>
    <row r="35" spans="2:12" x14ac:dyDescent="0.25">
      <c r="B35" s="171" t="s">
        <v>48</v>
      </c>
      <c r="C35" s="81"/>
      <c r="D35" s="85"/>
      <c r="E35" s="81"/>
      <c r="F35" s="81"/>
      <c r="G35" s="81"/>
      <c r="H35" s="81"/>
      <c r="I35" s="81"/>
      <c r="J35" s="81"/>
      <c r="K35" s="91"/>
      <c r="L35" s="83"/>
    </row>
    <row r="36" spans="2:12" x14ac:dyDescent="0.25">
      <c r="B36" s="190" t="s">
        <v>121</v>
      </c>
      <c r="C36" s="177">
        <f>'3.  USA Dense Urban'!H48+'3.  USA Urban'!H48+'3.  USA Suburban'!H48+'3.  USA Rural'!H49</f>
        <v>93599999.999999985</v>
      </c>
      <c r="D36" s="177">
        <f>'3.  USA Dense Urban'!I48+'3.  USA Urban'!I48+'3.  USA Suburban'!I48+'3.  USA Rural'!I49</f>
        <v>67275000.00000006</v>
      </c>
      <c r="E36" s="177">
        <f>'3.  USA Dense Urban'!J48+'3.  USA Urban'!J48+'3.  USA Suburban'!J48+'3.  USA Rural'!J49</f>
        <v>80437499.999999925</v>
      </c>
      <c r="F36" s="177">
        <f>'3.  USA Dense Urban'!K48+'3.  USA Urban'!K48+'3.  USA Suburban'!K48+'3.  USA Rural'!K49</f>
        <v>65812500.00000006</v>
      </c>
      <c r="G36" s="177">
        <f>'3.  USA Dense Urban'!L48+'3.  USA Urban'!L48+'3.  USA Suburban'!L48+'3.  USA Rural'!L49</f>
        <v>73125000.00000006</v>
      </c>
      <c r="H36" s="177">
        <f>'3.  USA Dense Urban'!M48+'3.  USA Urban'!M48+'3.  USA Suburban'!M48+'3.  USA Rural'!M49</f>
        <v>65812499.999999896</v>
      </c>
      <c r="I36" s="177">
        <f>'3.  USA Dense Urban'!N48+'3.  USA Urban'!N48+'3.  USA Suburban'!N48+'3.  USA Rural'!N49</f>
        <v>65812500.00000006</v>
      </c>
      <c r="J36" s="177">
        <f>'3.  USA Dense Urban'!O48+'3.  USA Urban'!O48+'3.  USA Suburban'!O48+'3.  USA Rural'!O49</f>
        <v>67274999.999999851</v>
      </c>
      <c r="K36" s="192">
        <f>'3.  USA Dense Urban'!P48+'3.  USA Urban'!P48+'3.  USA Suburban'!P48+'3.  USA Rural'!P49</f>
        <v>81900000.000000075</v>
      </c>
      <c r="L36" s="83"/>
    </row>
    <row r="37" spans="2:12" x14ac:dyDescent="0.25">
      <c r="B37" s="190" t="s">
        <v>122</v>
      </c>
      <c r="C37" s="177">
        <f>'3.  USA Dense Urban'!H49+'3.  USA Urban'!H49+'3.  USA Suburban'!H49+'3.  USA Rural'!H50</f>
        <v>124312499.99999997</v>
      </c>
      <c r="D37" s="177">
        <f>'3.  USA Dense Urban'!I49+'3.  USA Urban'!I49+'3.  USA Suburban'!I49+'3.  USA Rural'!I50</f>
        <v>248625000.00000006</v>
      </c>
      <c r="E37" s="177">
        <f>'3.  USA Dense Urban'!J49+'3.  USA Urban'!J49+'3.  USA Suburban'!J49+'3.  USA Rural'!J50</f>
        <v>134549999.99999994</v>
      </c>
      <c r="F37" s="177">
        <f>'3.  USA Dense Urban'!K49+'3.  USA Urban'!K49+'3.  USA Suburban'!K49+'3.  USA Rural'!K50</f>
        <v>143325000.00000006</v>
      </c>
      <c r="G37" s="177">
        <f>'3.  USA Dense Urban'!L49+'3.  USA Urban'!L49+'3.  USA Suburban'!L49+'3.  USA Rural'!L50</f>
        <v>80437499.99999997</v>
      </c>
      <c r="H37" s="177">
        <f>'3.  USA Dense Urban'!M49+'3.  USA Urban'!M49+'3.  USA Suburban'!M49+'3.  USA Rural'!M50</f>
        <v>93600000.000000089</v>
      </c>
      <c r="I37" s="177">
        <f>'3.  USA Dense Urban'!N49+'3.  USA Urban'!N49+'3.  USA Suburban'!N49+'3.  USA Rural'!N50</f>
        <v>106762499.99999984</v>
      </c>
      <c r="J37" s="177">
        <f>'3.  USA Dense Urban'!O49+'3.  USA Urban'!O49+'3.  USA Suburban'!O49+'3.  USA Rural'!O50</f>
        <v>73125000.00000006</v>
      </c>
      <c r="K37" s="192">
        <f>'3.  USA Dense Urban'!P49+'3.  USA Urban'!P49+'3.  USA Suburban'!P49+'3.  USA Rural'!P50</f>
        <v>80437500.00000006</v>
      </c>
      <c r="L37" s="83"/>
    </row>
    <row r="38" spans="2:12" x14ac:dyDescent="0.25">
      <c r="B38" s="190" t="s">
        <v>132</v>
      </c>
      <c r="C38" s="177">
        <f>'3.  USA Dense Urban'!H50+'3.  USA Urban'!H50+'3.  USA Suburban'!H50+'3.  USA Rural'!H51</f>
        <v>22750000</v>
      </c>
      <c r="D38" s="177">
        <f>'3.  USA Dense Urban'!I50+'3.  USA Urban'!I50+'3.  USA Suburban'!I50+'3.  USA Rural'!I51</f>
        <v>163800000</v>
      </c>
      <c r="E38" s="177">
        <f>'3.  USA Dense Urban'!J50+'3.  USA Urban'!J50+'3.  USA Suburban'!J50+'3.  USA Rural'!J51</f>
        <v>341250000</v>
      </c>
      <c r="F38" s="177">
        <f>'3.  USA Dense Urban'!K50+'3.  USA Urban'!K50+'3.  USA Suburban'!K50+'3.  USA Rural'!K51</f>
        <v>455000000</v>
      </c>
      <c r="G38" s="177">
        <f>'3.  USA Dense Urban'!L50+'3.  USA Urban'!L50+'3.  USA Suburban'!L50+'3.  USA Rural'!L51</f>
        <v>455000000</v>
      </c>
      <c r="H38" s="177">
        <f>'3.  USA Dense Urban'!M50+'3.  USA Urban'!M50+'3.  USA Suburban'!M50+'3.  USA Rural'!M51</f>
        <v>0</v>
      </c>
      <c r="I38" s="177">
        <f>'3.  USA Dense Urban'!N50+'3.  USA Urban'!N50+'3.  USA Suburban'!N50+'3.  USA Rural'!N51</f>
        <v>0</v>
      </c>
      <c r="J38" s="177">
        <f>'3.  USA Dense Urban'!O50+'3.  USA Urban'!O50+'3.  USA Suburban'!O50+'3.  USA Rural'!O51</f>
        <v>0</v>
      </c>
      <c r="K38" s="192">
        <f>'3.  USA Dense Urban'!P50+'3.  USA Urban'!P50+'3.  USA Suburban'!P50+'3.  USA Rural'!P51</f>
        <v>0</v>
      </c>
      <c r="L38" s="83"/>
    </row>
    <row r="39" spans="2:12" x14ac:dyDescent="0.25">
      <c r="B39" s="190" t="s">
        <v>133</v>
      </c>
      <c r="C39" s="177">
        <f>'3.  USA Dense Urban'!H51+'3.  USA Urban'!H51+'3.  USA Suburban'!H51+'3.  USA Rural'!H52</f>
        <v>0</v>
      </c>
      <c r="D39" s="177">
        <f>'3.  USA Dense Urban'!I51+'3.  USA Urban'!I51+'3.  USA Suburban'!I51+'3.  USA Rural'!I52</f>
        <v>0</v>
      </c>
      <c r="E39" s="177">
        <f>'3.  USA Dense Urban'!J51+'3.  USA Urban'!J51+'3.  USA Suburban'!J51+'3.  USA Rural'!J52</f>
        <v>318500000</v>
      </c>
      <c r="F39" s="177">
        <f>'3.  USA Dense Urban'!K51+'3.  USA Urban'!K51+'3.  USA Suburban'!K51+'3.  USA Rural'!K52</f>
        <v>705250000</v>
      </c>
      <c r="G39" s="177">
        <f>'3.  USA Dense Urban'!L51+'3.  USA Urban'!L51+'3.  USA Suburban'!L51+'3.  USA Rural'!L52</f>
        <v>978250000</v>
      </c>
      <c r="H39" s="177">
        <f>'3.  USA Dense Urban'!M51+'3.  USA Urban'!M51+'3.  USA Suburban'!M51+'3.  USA Rural'!M52</f>
        <v>1274000000</v>
      </c>
      <c r="I39" s="177">
        <f>'3.  USA Dense Urban'!N51+'3.  USA Urban'!N51+'3.  USA Suburban'!N51+'3.  USA Rural'!N52</f>
        <v>705250000</v>
      </c>
      <c r="J39" s="177">
        <f>'3.  USA Dense Urban'!O51+'3.  USA Urban'!O51+'3.  USA Suburban'!O51+'3.  USA Rural'!O52</f>
        <v>457274999.99999982</v>
      </c>
      <c r="K39" s="192">
        <f>'3.  USA Dense Urban'!P51+'3.  USA Urban'!P51+'3.  USA Suburban'!P51+'3.  USA Rural'!P52</f>
        <v>370825000.00000018</v>
      </c>
      <c r="L39" s="83"/>
    </row>
    <row r="40" spans="2:12" x14ac:dyDescent="0.25">
      <c r="B40" s="163" t="s">
        <v>255</v>
      </c>
      <c r="C40" s="177">
        <f>'3.  USA Dense Urban'!H52+'3.  USA Urban'!H52+'3.  USA Suburban'!H52+'3.  USA Rural'!H53</f>
        <v>17499999.999999996</v>
      </c>
      <c r="D40" s="177">
        <f>'3.  USA Dense Urban'!I52+'3.  USA Urban'!I52+'3.  USA Suburban'!I52+'3.  USA Rural'!I53</f>
        <v>24500000.000000007</v>
      </c>
      <c r="E40" s="177">
        <f>'3.  USA Dense Urban'!J52+'3.  USA Urban'!J52+'3.  USA Suburban'!J52+'3.  USA Rural'!J53</f>
        <v>24499999.999999993</v>
      </c>
      <c r="F40" s="177">
        <f>'3.  USA Dense Urban'!K52+'3.  USA Urban'!K52+'3.  USA Suburban'!K52+'3.  USA Rural'!K53</f>
        <v>10499999.999999996</v>
      </c>
      <c r="G40" s="177">
        <f>'3.  USA Dense Urban'!L52+'3.  USA Urban'!L52+'3.  USA Suburban'!L52+'3.  USA Rural'!L53</f>
        <v>3499999.9999999991</v>
      </c>
      <c r="H40" s="177">
        <f>'3.  USA Dense Urban'!M52+'3.  USA Urban'!M52+'3.  USA Suburban'!M52+'3.  USA Rural'!M53</f>
        <v>0</v>
      </c>
      <c r="I40" s="177">
        <f>'3.  USA Dense Urban'!N52+'3.  USA Urban'!N52+'3.  USA Suburban'!N52+'3.  USA Rural'!N53</f>
        <v>0</v>
      </c>
      <c r="J40" s="177">
        <f>'3.  USA Dense Urban'!O52+'3.  USA Urban'!O52+'3.  USA Suburban'!O52+'3.  USA Rural'!O53</f>
        <v>0</v>
      </c>
      <c r="K40" s="192">
        <f>'3.  USA Dense Urban'!P52+'3.  USA Urban'!P52+'3.  USA Suburban'!P52+'3.  USA Rural'!P53</f>
        <v>0</v>
      </c>
      <c r="L40" s="83"/>
    </row>
    <row r="41" spans="2:12" x14ac:dyDescent="0.25">
      <c r="B41" s="163" t="s">
        <v>256</v>
      </c>
      <c r="C41" s="177">
        <f>'3.  USA Dense Urban'!H53+'3.  USA Urban'!H53+'3.  USA Suburban'!H53+'3.  USA Rural'!H54</f>
        <v>0</v>
      </c>
      <c r="D41" s="177">
        <f>'3.  USA Dense Urban'!I53+'3.  USA Urban'!I53+'3.  USA Suburban'!I53+'3.  USA Rural'!I54</f>
        <v>24500000</v>
      </c>
      <c r="E41" s="177">
        <f>'3.  USA Dense Urban'!J53+'3.  USA Urban'!J53+'3.  USA Suburban'!J53+'3.  USA Rural'!J54</f>
        <v>35000000</v>
      </c>
      <c r="F41" s="177">
        <f>'3.  USA Dense Urban'!K53+'3.  USA Urban'!K53+'3.  USA Suburban'!K53+'3.  USA Rural'!K54</f>
        <v>20999999.999999993</v>
      </c>
      <c r="G41" s="177">
        <f>'3.  USA Dense Urban'!L53+'3.  USA Urban'!L53+'3.  USA Suburban'!L53+'3.  USA Rural'!L54</f>
        <v>77000000</v>
      </c>
      <c r="H41" s="177">
        <f>'3.  USA Dense Urban'!M53+'3.  USA Urban'!M53+'3.  USA Suburban'!M53+'3.  USA Rural'!M54</f>
        <v>73500000.000000015</v>
      </c>
      <c r="I41" s="177">
        <f>'3.  USA Dense Urban'!N53+'3.  USA Urban'!N53+'3.  USA Suburban'!N53+'3.  USA Rural'!N54</f>
        <v>94499999.999999985</v>
      </c>
      <c r="J41" s="177">
        <f>'3.  USA Dense Urban'!O53+'3.  USA Urban'!O53+'3.  USA Suburban'!O53+'3.  USA Rural'!O54</f>
        <v>87500000.000000015</v>
      </c>
      <c r="K41" s="192">
        <f>'3.  USA Dense Urban'!P53+'3.  USA Urban'!P53+'3.  USA Suburban'!P53+'3.  USA Rural'!P54</f>
        <v>108500000</v>
      </c>
      <c r="L41" s="83"/>
    </row>
    <row r="42" spans="2:12" x14ac:dyDescent="0.25">
      <c r="B42" s="176" t="s">
        <v>129</v>
      </c>
      <c r="C42" s="177">
        <f>'3.  USA Dense Urban'!H54+'3.  USA Urban'!H54+'3.  USA Suburban'!H54+'3.  USA Rural'!H55</f>
        <v>2200000</v>
      </c>
      <c r="D42" s="177">
        <f>'3.  USA Dense Urban'!I54+'3.  USA Urban'!I54+'3.  USA Suburban'!I54+'3.  USA Rural'!I55</f>
        <v>30800000.000000004</v>
      </c>
      <c r="E42" s="177">
        <f>'3.  USA Dense Urban'!J54+'3.  USA Urban'!J54+'3.  USA Suburban'!J54+'3.  USA Rural'!J55</f>
        <v>33000000</v>
      </c>
      <c r="F42" s="177">
        <f>'3.  USA Dense Urban'!K54+'3.  USA Urban'!K54+'3.  USA Suburban'!K54+'3.  USA Rural'!K55</f>
        <v>32999999.999999993</v>
      </c>
      <c r="G42" s="177">
        <f>'3.  USA Dense Urban'!L54+'3.  USA Urban'!L54+'3.  USA Suburban'!L54+'3.  USA Rural'!L55</f>
        <v>66000000.000000015</v>
      </c>
      <c r="H42" s="177">
        <f>'3.  USA Dense Urban'!M54+'3.  USA Urban'!M54+'3.  USA Suburban'!M54+'3.  USA Rural'!M55</f>
        <v>104500000</v>
      </c>
      <c r="I42" s="177">
        <f>'3.  USA Dense Urban'!N54+'3.  USA Urban'!N54+'3.  USA Suburban'!N54+'3.  USA Rural'!N55</f>
        <v>186999999.99999997</v>
      </c>
      <c r="J42" s="177">
        <f>'3.  USA Dense Urban'!O54+'3.  USA Urban'!O54+'3.  USA Suburban'!O54+'3.  USA Rural'!O55</f>
        <v>324500000</v>
      </c>
      <c r="K42" s="192">
        <f>'3.  USA Dense Urban'!P54+'3.  USA Urban'!P54+'3.  USA Suburban'!P54+'3.  USA Rural'!P55</f>
        <v>242000000</v>
      </c>
      <c r="L42" s="83"/>
    </row>
    <row r="43" spans="2:12" x14ac:dyDescent="0.25">
      <c r="B43" s="171" t="s">
        <v>47</v>
      </c>
      <c r="C43" s="177">
        <f>'3.  USA Dense Urban'!H55+'3.  USA Urban'!H55+'3.  USA Suburban'!H55+'3.  USA Rural'!H56</f>
        <v>0</v>
      </c>
      <c r="D43" s="177">
        <f>'3.  USA Dense Urban'!I55+'3.  USA Urban'!I55+'3.  USA Suburban'!I55+'3.  USA Rural'!I56</f>
        <v>0</v>
      </c>
      <c r="E43" s="177">
        <f>'3.  USA Dense Urban'!J55+'3.  USA Urban'!J55+'3.  USA Suburban'!J55+'3.  USA Rural'!J56</f>
        <v>0</v>
      </c>
      <c r="F43" s="177">
        <f>'3.  USA Dense Urban'!K55+'3.  USA Urban'!K55+'3.  USA Suburban'!K55+'3.  USA Rural'!K56</f>
        <v>0</v>
      </c>
      <c r="G43" s="177">
        <f>'3.  USA Dense Urban'!L55+'3.  USA Urban'!L55+'3.  USA Suburban'!L55+'3.  USA Rural'!L56</f>
        <v>0</v>
      </c>
      <c r="H43" s="177">
        <f>'3.  USA Dense Urban'!M55+'3.  USA Urban'!M55+'3.  USA Suburban'!M55+'3.  USA Rural'!M56</f>
        <v>0</v>
      </c>
      <c r="I43" s="177">
        <f>'3.  USA Dense Urban'!N55+'3.  USA Urban'!N55+'3.  USA Suburban'!N55+'3.  USA Rural'!N56</f>
        <v>0</v>
      </c>
      <c r="J43" s="177">
        <f>'3.  USA Dense Urban'!O55+'3.  USA Urban'!O55+'3.  USA Suburban'!O55+'3.  USA Rural'!O56</f>
        <v>0</v>
      </c>
      <c r="K43" s="192">
        <f>'3.  USA Dense Urban'!P55+'3.  USA Urban'!P55+'3.  USA Suburban'!P55+'3.  USA Rural'!P56</f>
        <v>0</v>
      </c>
      <c r="L43" s="83"/>
    </row>
    <row r="44" spans="2:12" x14ac:dyDescent="0.25">
      <c r="B44" s="190" t="s">
        <v>121</v>
      </c>
      <c r="C44" s="177">
        <f>'3.  USA Dense Urban'!H56+'3.  USA Urban'!H56+'3.  USA Suburban'!H56+'3.  USA Rural'!H57</f>
        <v>2518830600</v>
      </c>
      <c r="D44" s="177">
        <f>'3.  USA Dense Urban'!I56+'3.  USA Urban'!I56+'3.  USA Suburban'!I56+'3.  USA Rural'!I57</f>
        <v>2580006000</v>
      </c>
      <c r="E44" s="177">
        <f>'3.  USA Dense Urban'!J56+'3.  USA Urban'!J56+'3.  USA Suburban'!J56+'3.  USA Rural'!J57</f>
        <v>2653150500</v>
      </c>
      <c r="F44" s="177">
        <f>'3.  USA Dense Urban'!K56+'3.  USA Urban'!K56+'3.  USA Suburban'!K56+'3.  USA Rural'!K57</f>
        <v>2712996000</v>
      </c>
      <c r="G44" s="177">
        <f>'3.  USA Dense Urban'!L56+'3.  USA Urban'!L56+'3.  USA Suburban'!L56+'3.  USA Rural'!L57</f>
        <v>2779491000</v>
      </c>
      <c r="H44" s="177">
        <f>'3.  USA Dense Urban'!M56+'3.  USA Urban'!M56+'3.  USA Suburban'!M56+'3.  USA Rural'!M57</f>
        <v>2839336500</v>
      </c>
      <c r="I44" s="177">
        <f>'3.  USA Dense Urban'!N56+'3.  USA Urban'!N56+'3.  USA Suburban'!N56+'3.  USA Rural'!N57</f>
        <v>2899182000</v>
      </c>
      <c r="J44" s="177">
        <f>'3.  USA Dense Urban'!O56+'3.  USA Urban'!O56+'3.  USA Suburban'!O56+'3.  USA Rural'!O57</f>
        <v>2960357400</v>
      </c>
      <c r="K44" s="192">
        <f>'3.  USA Dense Urban'!P56+'3.  USA Urban'!P56+'3.  USA Suburban'!P56+'3.  USA Rural'!P57</f>
        <v>3034831800</v>
      </c>
      <c r="L44" s="83"/>
    </row>
    <row r="45" spans="2:12" x14ac:dyDescent="0.25">
      <c r="B45" s="190" t="s">
        <v>122</v>
      </c>
      <c r="C45" s="177">
        <f>'3.  USA Dense Urban'!H57+'3.  USA Urban'!H57+'3.  USA Suburban'!H57+'3.  USA Rural'!H58</f>
        <v>2566707000</v>
      </c>
      <c r="D45" s="177">
        <f>'3.  USA Dense Urban'!I57+'3.  USA Urban'!I57+'3.  USA Suburban'!I57+'3.  USA Rural'!I58</f>
        <v>2617243200</v>
      </c>
      <c r="E45" s="177">
        <f>'3.  USA Dense Urban'!J57+'3.  USA Urban'!J57+'3.  USA Suburban'!J57+'3.  USA Rural'!J58</f>
        <v>2679748500</v>
      </c>
      <c r="F45" s="177">
        <f>'3.  USA Dense Urban'!K57+'3.  USA Urban'!K57+'3.  USA Suburban'!K57+'3.  USA Rural'!K58</f>
        <v>2728954800</v>
      </c>
      <c r="G45" s="177">
        <f>'3.  USA Dense Urban'!L57+'3.  USA Urban'!L57+'3.  USA Suburban'!L57+'3.  USA Rural'!L58</f>
        <v>2784810600</v>
      </c>
      <c r="H45" s="177">
        <f>'3.  USA Dense Urban'!M57+'3.  USA Urban'!M57+'3.  USA Suburban'!M57+'3.  USA Rural'!M58</f>
        <v>2839336500</v>
      </c>
      <c r="I45" s="177">
        <f>'3.  USA Dense Urban'!N57+'3.  USA Urban'!N57+'3.  USA Suburban'!N57+'3.  USA Rural'!N58</f>
        <v>2899182000</v>
      </c>
      <c r="J45" s="177">
        <f>'3.  USA Dense Urban'!O57+'3.  USA Urban'!O57+'3.  USA Suburban'!O57+'3.  USA Rural'!O58</f>
        <v>2960357400</v>
      </c>
      <c r="K45" s="192">
        <f>'3.  USA Dense Urban'!P57+'3.  USA Urban'!P57+'3.  USA Suburban'!P57+'3.  USA Rural'!P58</f>
        <v>3034831800</v>
      </c>
      <c r="L45" s="83"/>
    </row>
    <row r="46" spans="2:12" x14ac:dyDescent="0.25">
      <c r="B46" s="190" t="s">
        <v>132</v>
      </c>
      <c r="C46" s="177">
        <f>'3.  USA Dense Urban'!H58+'3.  USA Urban'!H58+'3.  USA Suburban'!H58+'3.  USA Rural'!H59</f>
        <v>22962420</v>
      </c>
      <c r="D46" s="177">
        <f>'3.  USA Dense Urban'!I58+'3.  USA Urban'!I58+'3.  USA Suburban'!I58+'3.  USA Rural'!I59</f>
        <v>114812100</v>
      </c>
      <c r="E46" s="177">
        <f>'3.  USA Dense Urban'!J58+'3.  USA Urban'!J58+'3.  USA Suburban'!J58+'3.  USA Rural'!J59</f>
        <v>306165600</v>
      </c>
      <c r="F46" s="177">
        <f>'3.  USA Dense Urban'!K58+'3.  USA Urban'!K58+'3.  USA Suburban'!K58+'3.  USA Rural'!K59</f>
        <v>561303600</v>
      </c>
      <c r="G46" s="177">
        <f>'3.  USA Dense Urban'!L58+'3.  USA Urban'!L58+'3.  USA Suburban'!L58+'3.  USA Rural'!L59</f>
        <v>816441600</v>
      </c>
      <c r="H46" s="177">
        <f>'3.  USA Dense Urban'!M58+'3.  USA Urban'!M58+'3.  USA Suburban'!M58+'3.  USA Rural'!M59</f>
        <v>816441600</v>
      </c>
      <c r="I46" s="177">
        <f>'3.  USA Dense Urban'!N58+'3.  USA Urban'!N58+'3.  USA Suburban'!N58+'3.  USA Rural'!N59</f>
        <v>816441600</v>
      </c>
      <c r="J46" s="177">
        <f>'3.  USA Dense Urban'!O58+'3.  USA Urban'!O58+'3.  USA Suburban'!O58+'3.  USA Rural'!O59</f>
        <v>816441600</v>
      </c>
      <c r="K46" s="192">
        <f>'3.  USA Dense Urban'!P58+'3.  USA Urban'!P58+'3.  USA Suburban'!P58+'3.  USA Rural'!P59</f>
        <v>816441600</v>
      </c>
      <c r="L46" s="83"/>
    </row>
    <row r="47" spans="2:12" x14ac:dyDescent="0.25">
      <c r="B47" s="190" t="s">
        <v>133</v>
      </c>
      <c r="C47" s="177">
        <f>'3.  USA Dense Urban'!H59+'3.  USA Urban'!H59+'3.  USA Suburban'!H59+'3.  USA Rural'!H60</f>
        <v>0</v>
      </c>
      <c r="D47" s="177">
        <f>'3.  USA Dense Urban'!I59+'3.  USA Urban'!I59+'3.  USA Suburban'!I59+'3.  USA Rural'!I60</f>
        <v>0</v>
      </c>
      <c r="E47" s="177">
        <f>'3.  USA Dense Urban'!J59+'3.  USA Urban'!J59+'3.  USA Suburban'!J59+'3.  USA Rural'!J60</f>
        <v>187005000</v>
      </c>
      <c r="F47" s="177">
        <f>'3.  USA Dense Urban'!K59+'3.  USA Urban'!K59+'3.  USA Suburban'!K59+'3.  USA Rural'!K60</f>
        <v>601087500</v>
      </c>
      <c r="G47" s="177">
        <f>'3.  USA Dense Urban'!L59+'3.  USA Urban'!L59+'3.  USA Suburban'!L59+'3.  USA Rural'!L60</f>
        <v>1175460000</v>
      </c>
      <c r="H47" s="177">
        <f>'3.  USA Dense Urban'!M59+'3.  USA Urban'!M59+'3.  USA Suburban'!M59+'3.  USA Rural'!M60</f>
        <v>1923480000</v>
      </c>
      <c r="I47" s="177">
        <f>'3.  USA Dense Urban'!N59+'3.  USA Urban'!N59+'3.  USA Suburban'!N59+'3.  USA Rural'!N60</f>
        <v>2337562500</v>
      </c>
      <c r="J47" s="177">
        <f>'3.  USA Dense Urban'!O59+'3.  USA Urban'!O59+'3.  USA Suburban'!O59+'3.  USA Rural'!O60</f>
        <v>2606048250</v>
      </c>
      <c r="K47" s="192">
        <f>'3.  USA Dense Urban'!P59+'3.  USA Urban'!P59+'3.  USA Suburban'!P59+'3.  USA Rural'!P60</f>
        <v>2823775500</v>
      </c>
      <c r="L47" s="83"/>
    </row>
    <row r="48" spans="2:12" x14ac:dyDescent="0.25">
      <c r="B48" s="163" t="s">
        <v>255</v>
      </c>
      <c r="C48" s="177">
        <f>'3.  USA Dense Urban'!H60+'3.  USA Urban'!H60+'3.  USA Suburban'!H60+'3.  USA Rural'!H61</f>
        <v>64713600</v>
      </c>
      <c r="D48" s="177">
        <f>'3.  USA Dense Urban'!I60+'3.  USA Urban'!I60+'3.  USA Suburban'!I60+'3.  USA Rural'!I61</f>
        <v>86284800</v>
      </c>
      <c r="E48" s="177">
        <f>'3.  USA Dense Urban'!J60+'3.  USA Urban'!J60+'3.  USA Suburban'!J60+'3.  USA Rural'!J61</f>
        <v>107856000</v>
      </c>
      <c r="F48" s="177">
        <f>'3.  USA Dense Urban'!K60+'3.  USA Urban'!K60+'3.  USA Suburban'!K60+'3.  USA Rural'!K61</f>
        <v>92448000</v>
      </c>
      <c r="G48" s="177">
        <f>'3.  USA Dense Urban'!L60+'3.  USA Urban'!L60+'3.  USA Suburban'!L60+'3.  USA Rural'!L61</f>
        <v>64713600</v>
      </c>
      <c r="H48" s="177">
        <f>'3.  USA Dense Urban'!M60+'3.  USA Urban'!M60+'3.  USA Suburban'!M60+'3.  USA Rural'!M61</f>
        <v>49305600</v>
      </c>
      <c r="I48" s="177">
        <f>'3.  USA Dense Urban'!N60+'3.  USA Urban'!N60+'3.  USA Suburban'!N60+'3.  USA Rural'!N61</f>
        <v>40060800</v>
      </c>
      <c r="J48" s="177">
        <f>'3.  USA Dense Urban'!O60+'3.  USA Urban'!O60+'3.  USA Suburban'!O60+'3.  USA Rural'!O61</f>
        <v>33897600</v>
      </c>
      <c r="K48" s="192">
        <f>'3.  USA Dense Urban'!P60+'3.  USA Urban'!P60+'3.  USA Suburban'!P60+'3.  USA Rural'!P61</f>
        <v>21571200</v>
      </c>
      <c r="L48" s="83"/>
    </row>
    <row r="49" spans="2:13" x14ac:dyDescent="0.25">
      <c r="B49" s="163" t="s">
        <v>256</v>
      </c>
      <c r="C49" s="177">
        <f>'3.  USA Dense Urban'!H61+'3.  USA Urban'!H61+'3.  USA Suburban'!H61+'3.  USA Rural'!H62</f>
        <v>0</v>
      </c>
      <c r="D49" s="177">
        <f>'3.  USA Dense Urban'!I61+'3.  USA Urban'!I61+'3.  USA Suburban'!I61+'3.  USA Rural'!I62</f>
        <v>21571200</v>
      </c>
      <c r="E49" s="177">
        <f>'3.  USA Dense Urban'!J61+'3.  USA Urban'!J61+'3.  USA Suburban'!J61+'3.  USA Rural'!J62</f>
        <v>52387200</v>
      </c>
      <c r="F49" s="177">
        <f>'3.  USA Dense Urban'!K61+'3.  USA Urban'!K61+'3.  USA Suburban'!K61+'3.  USA Rural'!K62</f>
        <v>64713600</v>
      </c>
      <c r="G49" s="177">
        <f>'3.  USA Dense Urban'!L61+'3.  USA Urban'!L61+'3.  USA Suburban'!L61+'3.  USA Rural'!L62</f>
        <v>132508800</v>
      </c>
      <c r="H49" s="177">
        <f>'3.  USA Dense Urban'!M61+'3.  USA Urban'!M61+'3.  USA Suburban'!M61+'3.  USA Rural'!M62</f>
        <v>197222400</v>
      </c>
      <c r="I49" s="177">
        <f>'3.  USA Dense Urban'!N61+'3.  USA Urban'!N61+'3.  USA Suburban'!N61+'3.  USA Rural'!N62</f>
        <v>280425600</v>
      </c>
      <c r="J49" s="177">
        <f>'3.  USA Dense Urban'!O61+'3.  USA Urban'!O61+'3.  USA Suburban'!O61+'3.  USA Rural'!O62</f>
        <v>357465600</v>
      </c>
      <c r="K49" s="192">
        <f>'3.  USA Dense Urban'!P61+'3.  USA Urban'!P61+'3.  USA Suburban'!P61+'3.  USA Rural'!P62</f>
        <v>452995200</v>
      </c>
      <c r="L49" s="83"/>
    </row>
    <row r="50" spans="2:13" x14ac:dyDescent="0.25">
      <c r="B50" s="176" t="s">
        <v>129</v>
      </c>
      <c r="C50" s="177">
        <f>'3.  USA Dense Urban'!H62+'3.  USA Urban'!H62+'3.  USA Suburban'!H62+'3.  USA Rural'!H63</f>
        <v>822000</v>
      </c>
      <c r="D50" s="177">
        <f>'3.  USA Dense Urban'!I62+'3.  USA Urban'!I62+'3.  USA Suburban'!I62+'3.  USA Rural'!I63</f>
        <v>12330000</v>
      </c>
      <c r="E50" s="177">
        <f>'3.  USA Dense Urban'!J62+'3.  USA Urban'!J62+'3.  USA Suburban'!J62+'3.  USA Rural'!J63</f>
        <v>24660000</v>
      </c>
      <c r="F50" s="177">
        <f>'3.  USA Dense Urban'!K62+'3.  USA Urban'!K62+'3.  USA Suburban'!K62+'3.  USA Rural'!K63</f>
        <v>36990000</v>
      </c>
      <c r="G50" s="177">
        <f>'3.  USA Dense Urban'!L62+'3.  USA Urban'!L62+'3.  USA Suburban'!L62+'3.  USA Rural'!L63</f>
        <v>61650000</v>
      </c>
      <c r="H50" s="177">
        <f>'3.  USA Dense Urban'!M62+'3.  USA Urban'!M62+'3.  USA Suburban'!M62+'3.  USA Rural'!M63</f>
        <v>100695000</v>
      </c>
      <c r="I50" s="177">
        <f>'3.  USA Dense Urban'!N62+'3.  USA Urban'!N62+'3.  USA Suburban'!N62+'3.  USA Rural'!N63</f>
        <v>170565000</v>
      </c>
      <c r="J50" s="177">
        <f>'3.  USA Dense Urban'!O62+'3.  USA Urban'!O62+'3.  USA Suburban'!O62+'3.  USA Rural'!O63</f>
        <v>291810000</v>
      </c>
      <c r="K50" s="192">
        <f>'3.  USA Dense Urban'!P62+'3.  USA Urban'!P62+'3.  USA Suburban'!P62+'3.  USA Rural'!P63</f>
        <v>382230000</v>
      </c>
      <c r="L50" s="83"/>
    </row>
    <row r="51" spans="2:13" ht="15.75" thickBot="1" x14ac:dyDescent="0.3">
      <c r="B51" s="187" t="s">
        <v>12</v>
      </c>
      <c r="C51" s="196">
        <f t="shared" ref="C51:K51" si="1">SUM(C32:C50)</f>
        <v>7786558751.6869297</v>
      </c>
      <c r="D51" s="196">
        <f t="shared" si="1"/>
        <v>26878847300</v>
      </c>
      <c r="E51" s="196">
        <f t="shared" si="1"/>
        <v>6978210300</v>
      </c>
      <c r="F51" s="196">
        <f t="shared" si="1"/>
        <v>8232381000</v>
      </c>
      <c r="G51" s="196">
        <f t="shared" si="1"/>
        <v>9548388100</v>
      </c>
      <c r="H51" s="196">
        <f t="shared" si="1"/>
        <v>10377230100</v>
      </c>
      <c r="I51" s="196">
        <f t="shared" si="1"/>
        <v>10602744500</v>
      </c>
      <c r="J51" s="196">
        <f t="shared" si="1"/>
        <v>11036052850</v>
      </c>
      <c r="K51" s="197">
        <f t="shared" si="1"/>
        <v>11450339600</v>
      </c>
      <c r="L51" s="83"/>
    </row>
    <row r="52" spans="2:13" x14ac:dyDescent="0.25">
      <c r="B52" s="72"/>
      <c r="C52" s="83"/>
      <c r="D52" s="83"/>
      <c r="E52" s="83"/>
      <c r="F52" s="83"/>
      <c r="G52" s="83"/>
      <c r="H52" s="83"/>
      <c r="I52" s="83"/>
      <c r="J52" s="83"/>
      <c r="K52" s="83"/>
      <c r="L52" s="83"/>
    </row>
    <row r="53" spans="2:13" ht="15.75" thickBot="1" x14ac:dyDescent="0.3">
      <c r="G53" s="83"/>
      <c r="H53" s="83"/>
      <c r="I53" s="83"/>
      <c r="J53" s="83"/>
      <c r="K53" s="83"/>
      <c r="L53" s="83"/>
    </row>
    <row r="54" spans="2:13" x14ac:dyDescent="0.25">
      <c r="B54" s="19" t="s">
        <v>105</v>
      </c>
      <c r="C54" s="15" t="s">
        <v>8</v>
      </c>
      <c r="D54" s="15" t="s">
        <v>0</v>
      </c>
      <c r="E54" s="15" t="s">
        <v>1</v>
      </c>
      <c r="F54" s="15" t="s">
        <v>2</v>
      </c>
      <c r="G54" s="15" t="s">
        <v>3</v>
      </c>
      <c r="H54" s="15" t="s">
        <v>4</v>
      </c>
      <c r="I54" s="15" t="s">
        <v>5</v>
      </c>
      <c r="J54" s="15" t="s">
        <v>6</v>
      </c>
      <c r="K54" s="16" t="s">
        <v>7</v>
      </c>
      <c r="L54" s="83"/>
    </row>
    <row r="55" spans="2:13" x14ac:dyDescent="0.25">
      <c r="B55" s="171" t="s">
        <v>107</v>
      </c>
      <c r="C55" s="31">
        <f>'3.  USA Dense Urban'!H68+'3.  USA Urban'!H68+'3.  USA Suburban'!H68+'3.  USA Rural'!H69</f>
        <v>58242843749.999992</v>
      </c>
      <c r="D55" s="31">
        <f>'3.  USA Dense Urban'!I68+'3.  USA Urban'!I68+'3.  USA Suburban'!I68+'3.  USA Rural'!I69</f>
        <v>60595854637.5</v>
      </c>
      <c r="E55" s="31">
        <f>'3.  USA Dense Urban'!J68+'3.  USA Urban'!J68+'3.  USA Suburban'!J68+'3.  USA Rural'!J69</f>
        <v>63019688823</v>
      </c>
      <c r="F55" s="31">
        <f>'3.  USA Dense Urban'!K68+'3.  USA Urban'!K68+'3.  USA Suburban'!K68+'3.  USA Rural'!K69</f>
        <v>65516238034.064995</v>
      </c>
      <c r="G55" s="31">
        <f>'3.  USA Dense Urban'!L68+'3.  USA Urban'!L68+'3.  USA Suburban'!L68+'3.  USA Rural'!L69</f>
        <v>68087441338.043396</v>
      </c>
      <c r="H55" s="31">
        <f>'3.  USA Dense Urban'!M68+'3.  USA Urban'!M68+'3.  USA Suburban'!M68+'3.  USA Rural'!M69</f>
        <v>70735286278.967316</v>
      </c>
      <c r="I55" s="31">
        <f>'3.  USA Dense Urban'!N68+'3.  USA Urban'!N68+'3.  USA Suburban'!N68+'3.  USA Rural'!N69</f>
        <v>73461810040.992966</v>
      </c>
      <c r="J55" s="31">
        <f>'3.  USA Dense Urban'!O68+'3.  USA Urban'!O68+'3.  USA Suburban'!O68+'3.  USA Rural'!O69</f>
        <v>76269100638.988037</v>
      </c>
      <c r="K55" s="48">
        <f>'3.  USA Dense Urban'!P68+'3.  USA Urban'!P68+'3.  USA Suburban'!P68+'3.  USA Rural'!P69</f>
        <v>79159298136.886536</v>
      </c>
      <c r="L55" s="83"/>
    </row>
    <row r="56" spans="2:13" x14ac:dyDescent="0.25">
      <c r="B56" s="171" t="s">
        <v>288</v>
      </c>
      <c r="C56" s="31">
        <f>'3.  USA Dense Urban'!H73+'3.  USA Urban'!H73+'3.  USA Suburban'!H73+'3.  USA Rural'!H74</f>
        <v>7786558751.6869297</v>
      </c>
      <c r="D56" s="31">
        <f>'3.  USA Dense Urban'!I73+'3.  USA Urban'!I73+'3.  USA Suburban'!I73+'3.  USA Rural'!I74</f>
        <v>26878847300</v>
      </c>
      <c r="E56" s="31">
        <f>'3.  USA Dense Urban'!J73+'3.  USA Urban'!J73+'3.  USA Suburban'!J73+'3.  USA Rural'!J74</f>
        <v>6978210300</v>
      </c>
      <c r="F56" s="31">
        <f>'3.  USA Dense Urban'!K73+'3.  USA Urban'!K73+'3.  USA Suburban'!K73+'3.  USA Rural'!K74</f>
        <v>8232381000</v>
      </c>
      <c r="G56" s="31">
        <f>'3.  USA Dense Urban'!L73+'3.  USA Urban'!L73+'3.  USA Suburban'!L73+'3.  USA Rural'!L74</f>
        <v>9548388100</v>
      </c>
      <c r="H56" s="31">
        <f>'3.  USA Dense Urban'!M73+'3.  USA Urban'!M73+'3.  USA Suburban'!M73+'3.  USA Rural'!M74</f>
        <v>10377230100</v>
      </c>
      <c r="I56" s="31">
        <f>'3.  USA Dense Urban'!N73+'3.  USA Urban'!N73+'3.  USA Suburban'!N73+'3.  USA Rural'!N74</f>
        <v>10602744500</v>
      </c>
      <c r="J56" s="31">
        <f>'3.  USA Dense Urban'!O73+'3.  USA Urban'!O73+'3.  USA Suburban'!O73+'3.  USA Rural'!O74</f>
        <v>11036052850</v>
      </c>
      <c r="K56" s="48">
        <f>'3.  USA Dense Urban'!P73+'3.  USA Urban'!P73+'3.  USA Suburban'!P73+'3.  USA Rural'!P74</f>
        <v>11450339600</v>
      </c>
      <c r="L56" s="83"/>
      <c r="M56" s="83"/>
    </row>
    <row r="57" spans="2:13" x14ac:dyDescent="0.25">
      <c r="B57" s="171" t="s">
        <v>257</v>
      </c>
      <c r="C57" s="31">
        <f>'3.  USA Dense Urban'!H74+'3.  USA Urban'!H74+'3.  USA Suburban'!H74+'3.  USA Rural'!H75</f>
        <v>14560710937.499998</v>
      </c>
      <c r="D57" s="31">
        <f>'3.  USA Dense Urban'!I74+'3.  USA Urban'!I74+'3.  USA Suburban'!I74+'3.  USA Rural'!I75</f>
        <v>15148963659.375</v>
      </c>
      <c r="E57" s="31">
        <f>'3.  USA Dense Urban'!J74+'3.  USA Urban'!J74+'3.  USA Suburban'!J74+'3.  USA Rural'!J75</f>
        <v>15754922205.75</v>
      </c>
      <c r="F57" s="31">
        <f>'3.  USA Dense Urban'!K74+'3.  USA Urban'!K74+'3.  USA Suburban'!K74+'3.  USA Rural'!K75</f>
        <v>16379059508.516249</v>
      </c>
      <c r="G57" s="31">
        <f>'3.  USA Dense Urban'!L74+'3.  USA Urban'!L74+'3.  USA Suburban'!L74+'3.  USA Rural'!L75</f>
        <v>17021860334.510849</v>
      </c>
      <c r="H57" s="31">
        <f>'3.  USA Dense Urban'!M74+'3.  USA Urban'!M74+'3.  USA Suburban'!M74+'3.  USA Rural'!M75</f>
        <v>17683821569.741829</v>
      </c>
      <c r="I57" s="31">
        <f>'3.  USA Dense Urban'!N74+'3.  USA Urban'!N74+'3.  USA Suburban'!N74+'3.  USA Rural'!N75</f>
        <v>18365452510.248241</v>
      </c>
      <c r="J57" s="31">
        <f>'3.  USA Dense Urban'!O74+'3.  USA Urban'!O74+'3.  USA Suburban'!O74+'3.  USA Rural'!O75</f>
        <v>19067275159.747009</v>
      </c>
      <c r="K57" s="48">
        <f>'3.  USA Dense Urban'!P74+'3.  USA Urban'!P74+'3.  USA Suburban'!P74+'3.  USA Rural'!P75</f>
        <v>19789824534.221634</v>
      </c>
      <c r="L57" s="83"/>
      <c r="M57" s="83"/>
    </row>
    <row r="58" spans="2:13" ht="15.75" thickBot="1" x14ac:dyDescent="0.3">
      <c r="B58" s="187" t="s">
        <v>9</v>
      </c>
      <c r="C58" s="183">
        <f>C55-C57-C56</f>
        <v>35895574060.813065</v>
      </c>
      <c r="D58" s="183">
        <f t="shared" ref="D58:K58" si="2">D55-D57-D56</f>
        <v>18568043678.125</v>
      </c>
      <c r="E58" s="183">
        <f t="shared" si="2"/>
        <v>40286556317.25</v>
      </c>
      <c r="F58" s="183">
        <f t="shared" si="2"/>
        <v>40904797525.548744</v>
      </c>
      <c r="G58" s="183">
        <f t="shared" si="2"/>
        <v>41517192903.532547</v>
      </c>
      <c r="H58" s="183">
        <f t="shared" si="2"/>
        <v>42674234609.225487</v>
      </c>
      <c r="I58" s="183">
        <f t="shared" si="2"/>
        <v>44493613030.74472</v>
      </c>
      <c r="J58" s="183">
        <f t="shared" si="2"/>
        <v>46165772629.241028</v>
      </c>
      <c r="K58" s="184">
        <f t="shared" si="2"/>
        <v>47919134002.664902</v>
      </c>
      <c r="L58" s="83"/>
      <c r="M58" s="83"/>
    </row>
    <row r="59" spans="2:13" ht="15.75" thickBot="1" x14ac:dyDescent="0.3">
      <c r="B59" s="83"/>
      <c r="C59" s="83"/>
      <c r="D59" s="83"/>
      <c r="E59" s="83"/>
      <c r="F59" s="83"/>
      <c r="G59" s="83"/>
      <c r="H59" s="83"/>
      <c r="I59" s="83"/>
      <c r="J59" s="83"/>
      <c r="K59" s="83"/>
      <c r="L59" s="83"/>
      <c r="M59" s="83"/>
    </row>
    <row r="60" spans="2:13" x14ac:dyDescent="0.25">
      <c r="B60" s="185" t="s">
        <v>108</v>
      </c>
      <c r="C60" s="191">
        <f>NPV(0.1,C58:K58)</f>
        <v>220742970090.8414</v>
      </c>
      <c r="D60" s="83"/>
      <c r="E60" s="83"/>
      <c r="F60" s="83"/>
      <c r="G60" s="83"/>
      <c r="H60" s="83"/>
      <c r="I60" s="83"/>
      <c r="J60" s="83"/>
      <c r="K60" s="83"/>
      <c r="L60" s="83"/>
      <c r="M60" s="83"/>
    </row>
    <row r="61" spans="2:13" ht="15.75" thickBot="1" x14ac:dyDescent="0.3">
      <c r="B61" s="186" t="s">
        <v>109</v>
      </c>
      <c r="C61" s="269" t="str">
        <f>IFERROR(IRR(C58:K58,-99%), "N/A")</f>
        <v>N/A</v>
      </c>
      <c r="D61" s="83"/>
      <c r="E61" s="83"/>
      <c r="F61" s="83"/>
      <c r="G61" s="83"/>
      <c r="H61" s="83"/>
      <c r="I61" s="83"/>
      <c r="J61" s="83"/>
      <c r="K61" s="83"/>
      <c r="L61" s="83"/>
      <c r="M61" s="83"/>
    </row>
    <row r="62" spans="2:13" x14ac:dyDescent="0.25">
      <c r="L62" s="83"/>
      <c r="M62" s="83"/>
    </row>
    <row r="63" spans="2:13" x14ac:dyDescent="0.25">
      <c r="L63" s="83"/>
      <c r="M63" s="83"/>
    </row>
    <row r="64" spans="2:13" x14ac:dyDescent="0.25">
      <c r="L64" s="83"/>
      <c r="M64" s="83"/>
    </row>
    <row r="65" spans="2:18" ht="15.75" thickBot="1" x14ac:dyDescent="0.3">
      <c r="L65" s="83"/>
      <c r="M65" s="83"/>
    </row>
    <row r="66" spans="2:18" x14ac:dyDescent="0.25">
      <c r="B66" s="19" t="s">
        <v>284</v>
      </c>
      <c r="C66" s="15" t="s">
        <v>8</v>
      </c>
      <c r="D66" s="15" t="s">
        <v>0</v>
      </c>
      <c r="E66" s="15" t="s">
        <v>1</v>
      </c>
      <c r="F66" s="15" t="s">
        <v>2</v>
      </c>
      <c r="G66" s="15" t="s">
        <v>3</v>
      </c>
      <c r="H66" s="15" t="s">
        <v>4</v>
      </c>
      <c r="I66" s="15" t="s">
        <v>5</v>
      </c>
      <c r="J66" s="15" t="s">
        <v>6</v>
      </c>
      <c r="K66" s="16" t="s">
        <v>7</v>
      </c>
      <c r="L66" s="83"/>
      <c r="M66" s="83"/>
    </row>
    <row r="67" spans="2:18" x14ac:dyDescent="0.25">
      <c r="B67" s="54" t="s">
        <v>11</v>
      </c>
      <c r="C67" s="31">
        <f>'3.  USA Dense Urban'!H75</f>
        <v>8550023761.6109428</v>
      </c>
      <c r="D67" s="31">
        <f>'3.  USA Dense Urban'!I75</f>
        <v>536190052.5</v>
      </c>
      <c r="E67" s="31">
        <f>'3.  USA Dense Urban'!J75</f>
        <v>9986092982.5999985</v>
      </c>
      <c r="F67" s="31">
        <f>'3.  USA Dense Urban'!K75</f>
        <v>10200831288.602999</v>
      </c>
      <c r="G67" s="31">
        <f>'3.  USA Dense Urban'!L75</f>
        <v>10278907268.533081</v>
      </c>
      <c r="H67" s="31">
        <f>'3.  USA Dense Urban'!M75</f>
        <v>10600298477.864925</v>
      </c>
      <c r="I67" s="31">
        <f>'3.  USA Dense Urban'!N75</f>
        <v>11108059542.102629</v>
      </c>
      <c r="J67" s="31">
        <f>'3.  USA Dense Urban'!O75</f>
        <v>11502645974.318687</v>
      </c>
      <c r="K67" s="48">
        <f>'3.  USA Dense Urban'!P75</f>
        <v>11930666797.766556</v>
      </c>
      <c r="L67" s="83"/>
      <c r="M67" s="83"/>
    </row>
    <row r="68" spans="2:18" x14ac:dyDescent="0.25">
      <c r="B68" s="54" t="s">
        <v>17</v>
      </c>
      <c r="C68" s="31">
        <f>'3.  USA Urban'!H75</f>
        <v>9944289885.8852539</v>
      </c>
      <c r="D68" s="31">
        <f>'3.  USA Urban'!I75</f>
        <v>4130538659.0624962</v>
      </c>
      <c r="E68" s="31">
        <f>'3.  USA Urban'!J75</f>
        <v>11311731105.424999</v>
      </c>
      <c r="F68" s="31">
        <f>'3.  USA Urban'!K75</f>
        <v>11413890749.678375</v>
      </c>
      <c r="G68" s="31">
        <f>'3.  USA Urban'!L75</f>
        <v>11499373427.099712</v>
      </c>
      <c r="H68" s="31">
        <f>'3.  USA Urban'!M75</f>
        <v>11881308987.598038</v>
      </c>
      <c r="I68" s="31">
        <f>'3.  USA Urban'!N75</f>
        <v>12457139184.865454</v>
      </c>
      <c r="J68" s="31">
        <f>'3.  USA Urban'!O75</f>
        <v>13009517371.108524</v>
      </c>
      <c r="K68" s="48">
        <f>'3.  USA Urban'!P75</f>
        <v>13543040847.487373</v>
      </c>
      <c r="L68" s="83"/>
      <c r="M68" s="83"/>
    </row>
    <row r="69" spans="2:18" x14ac:dyDescent="0.25">
      <c r="B69" s="54" t="s">
        <v>13</v>
      </c>
      <c r="C69" s="31">
        <f>'3.  USA Suburban'!H75</f>
        <v>11366050177.906532</v>
      </c>
      <c r="D69" s="31">
        <f>'3.  USA Suburban'!I75</f>
        <v>8377319964.0625</v>
      </c>
      <c r="E69" s="31">
        <f>'3.  USA Suburban'!J75</f>
        <v>12416605522.625</v>
      </c>
      <c r="F69" s="31">
        <f>'3.  USA Suburban'!K75</f>
        <v>12605829355.444374</v>
      </c>
      <c r="G69" s="31">
        <f>'3.  USA Suburban'!L75</f>
        <v>12937421657.167473</v>
      </c>
      <c r="H69" s="31">
        <f>'3.  USA Suburban'!M75</f>
        <v>13116881951.057322</v>
      </c>
      <c r="I69" s="31">
        <f>'3.  USA Suburban'!N75</f>
        <v>13744345102.479897</v>
      </c>
      <c r="J69" s="31">
        <f>'3.  USA Suburban'!O75</f>
        <v>14280450588.538944</v>
      </c>
      <c r="K69" s="48">
        <f>'3.  USA Suburban'!P75</f>
        <v>14889514423.999367</v>
      </c>
    </row>
    <row r="70" spans="2:18" ht="15.75" thickBot="1" x14ac:dyDescent="0.3">
      <c r="B70" s="58" t="s">
        <v>14</v>
      </c>
      <c r="C70" s="256">
        <f>'3.  USA Rural'!H76</f>
        <v>6035210235.4103346</v>
      </c>
      <c r="D70" s="256">
        <f>'3.  USA Rural'!I76</f>
        <v>5523995002.5</v>
      </c>
      <c r="E70" s="256">
        <f>'3.  USA Rural'!J76</f>
        <v>6572126706.5999994</v>
      </c>
      <c r="F70" s="256">
        <f>'3.  USA Rural'!K76</f>
        <v>6684246131.823</v>
      </c>
      <c r="G70" s="256">
        <f>'3.  USA Rural'!L76</f>
        <v>6801490550.7322807</v>
      </c>
      <c r="H70" s="256">
        <f>'3.  USA Rural'!M76</f>
        <v>7075745192.7052021</v>
      </c>
      <c r="I70" s="256">
        <f>'3.  USA Rural'!N76</f>
        <v>7184069201.2967529</v>
      </c>
      <c r="J70" s="256">
        <f>'3.  USA Rural'!O76</f>
        <v>7373158695.2748718</v>
      </c>
      <c r="K70" s="257">
        <f>'3.  USA Rural'!P76</f>
        <v>7555911933.4116058</v>
      </c>
    </row>
    <row r="74" spans="2:18" x14ac:dyDescent="0.25">
      <c r="G74" s="83"/>
      <c r="H74" s="83"/>
      <c r="I74" s="83"/>
      <c r="J74" s="83"/>
      <c r="K74" s="83"/>
    </row>
    <row r="77" spans="2:18" x14ac:dyDescent="0.25">
      <c r="E77" s="227"/>
      <c r="F77" s="227"/>
      <c r="G77" s="227"/>
      <c r="H77" s="227"/>
      <c r="I77" s="227"/>
      <c r="J77" s="227"/>
      <c r="K77" s="227"/>
      <c r="L77" s="83"/>
      <c r="M77" s="83"/>
    </row>
    <row r="78" spans="2:18" x14ac:dyDescent="0.25">
      <c r="E78" s="264"/>
      <c r="F78" s="264"/>
      <c r="G78" s="264"/>
      <c r="H78" s="264"/>
      <c r="I78" s="264"/>
      <c r="J78" s="264"/>
      <c r="K78" s="264"/>
      <c r="L78" s="83"/>
      <c r="M78" s="83"/>
    </row>
    <row r="79" spans="2:18" ht="15.75" thickBot="1" x14ac:dyDescent="0.3">
      <c r="E79" s="188"/>
      <c r="F79" s="188"/>
      <c r="G79" s="188"/>
      <c r="H79" s="188"/>
      <c r="I79" s="188"/>
      <c r="J79" s="188"/>
      <c r="K79" s="188"/>
      <c r="M79" s="83"/>
      <c r="N79" s="83"/>
      <c r="O79" s="83"/>
      <c r="P79" s="83"/>
      <c r="Q79" s="83"/>
      <c r="R79" s="83"/>
    </row>
    <row r="80" spans="2:18" x14ac:dyDescent="0.25">
      <c r="B80" s="19" t="s">
        <v>297</v>
      </c>
      <c r="C80" s="15" t="s">
        <v>8</v>
      </c>
      <c r="D80" s="15" t="s">
        <v>0</v>
      </c>
      <c r="E80" s="15" t="s">
        <v>1</v>
      </c>
      <c r="F80" s="15" t="s">
        <v>2</v>
      </c>
      <c r="G80" s="15" t="s">
        <v>3</v>
      </c>
      <c r="H80" s="15" t="s">
        <v>4</v>
      </c>
      <c r="I80" s="15" t="s">
        <v>5</v>
      </c>
      <c r="J80" s="15" t="s">
        <v>6</v>
      </c>
      <c r="K80" s="16" t="s">
        <v>7</v>
      </c>
      <c r="M80" s="83"/>
    </row>
    <row r="81" spans="2:18" x14ac:dyDescent="0.25">
      <c r="B81" s="171" t="s">
        <v>107</v>
      </c>
      <c r="C81" s="31">
        <f t="shared" ref="C81:D81" si="3">IF(SUM(C18:C20,C25)&gt;C12,C55,C55*(2*(SUM(C18:C20,C25)/C12)+1)/3)</f>
        <v>58242843749.999992</v>
      </c>
      <c r="D81" s="31">
        <f t="shared" si="3"/>
        <v>60595854637.5</v>
      </c>
      <c r="E81" s="31">
        <f>IF(SUM(E18:E20,E25)&gt;E12,E55,E55*(2*(SUM(E18:E20,E25)/E12)+1)/3)</f>
        <v>60105888690.764091</v>
      </c>
      <c r="F81" s="31">
        <f t="shared" ref="F81:K81" si="4">IF(SUM(F18:F20,F25)&gt;F12,F55,F55*(2*(SUM(F18:F20,F25)/F12)+1)/3)</f>
        <v>49374201092.846321</v>
      </c>
      <c r="G81" s="31">
        <f t="shared" si="4"/>
        <v>41142807423.987869</v>
      </c>
      <c r="H81" s="31">
        <f t="shared" si="4"/>
        <v>36895084470.030952</v>
      </c>
      <c r="I81" s="31">
        <f t="shared" si="4"/>
        <v>34633610680.794762</v>
      </c>
      <c r="J81" s="31">
        <f t="shared" si="4"/>
        <v>33489656726.432514</v>
      </c>
      <c r="K81" s="48">
        <f t="shared" si="4"/>
        <v>32852102977.230347</v>
      </c>
      <c r="M81" s="83"/>
    </row>
    <row r="82" spans="2:18" x14ac:dyDescent="0.25">
      <c r="B82" s="171" t="s">
        <v>288</v>
      </c>
      <c r="C82" s="31">
        <f>C36+C37+C40+C44+C45+C48</f>
        <v>5385663700</v>
      </c>
      <c r="D82" s="31">
        <f t="shared" ref="D82:K82" si="5">D36+D37+D40+D44+D45+D48</f>
        <v>5623934000</v>
      </c>
      <c r="E82" s="31">
        <f t="shared" si="5"/>
        <v>5680242500</v>
      </c>
      <c r="F82" s="31">
        <f t="shared" si="5"/>
        <v>5754036300</v>
      </c>
      <c r="G82" s="31">
        <f t="shared" si="5"/>
        <v>5786077700</v>
      </c>
      <c r="H82" s="31">
        <f t="shared" si="5"/>
        <v>5887391100</v>
      </c>
      <c r="I82" s="31">
        <f t="shared" si="5"/>
        <v>6010999800</v>
      </c>
      <c r="J82" s="31">
        <f t="shared" si="5"/>
        <v>6095012400</v>
      </c>
      <c r="K82" s="48">
        <f t="shared" si="5"/>
        <v>6253572300</v>
      </c>
      <c r="M82" s="83"/>
    </row>
    <row r="83" spans="2:18" x14ac:dyDescent="0.25">
      <c r="B83" s="171" t="s">
        <v>257</v>
      </c>
      <c r="C83" s="31">
        <f>C81*0.25</f>
        <v>14560710937.499998</v>
      </c>
      <c r="D83" s="31">
        <f t="shared" ref="D83:K83" si="6">D81*0.25</f>
        <v>15148963659.375</v>
      </c>
      <c r="E83" s="31">
        <f t="shared" si="6"/>
        <v>15026472172.691023</v>
      </c>
      <c r="F83" s="31">
        <f t="shared" si="6"/>
        <v>12343550273.21158</v>
      </c>
      <c r="G83" s="31">
        <f t="shared" si="6"/>
        <v>10285701855.996967</v>
      </c>
      <c r="H83" s="31">
        <f t="shared" si="6"/>
        <v>9223771117.5077381</v>
      </c>
      <c r="I83" s="31">
        <f t="shared" si="6"/>
        <v>8658402670.1986904</v>
      </c>
      <c r="J83" s="31">
        <f t="shared" si="6"/>
        <v>8372414181.6081285</v>
      </c>
      <c r="K83" s="48">
        <f t="shared" si="6"/>
        <v>8213025744.3075867</v>
      </c>
      <c r="M83" s="83"/>
    </row>
    <row r="84" spans="2:18" ht="15.75" thickBot="1" x14ac:dyDescent="0.3">
      <c r="B84" s="187" t="s">
        <v>9</v>
      </c>
      <c r="C84" s="183">
        <f>C81-C83-C82</f>
        <v>38296469112.499992</v>
      </c>
      <c r="D84" s="183">
        <f t="shared" ref="D84:K84" si="7">D81-D83-D82</f>
        <v>39822956978.125</v>
      </c>
      <c r="E84" s="183">
        <f t="shared" si="7"/>
        <v>39399174018.073067</v>
      </c>
      <c r="F84" s="183">
        <f t="shared" si="7"/>
        <v>31276614519.634743</v>
      </c>
      <c r="G84" s="183">
        <f t="shared" si="7"/>
        <v>25071027867.990902</v>
      </c>
      <c r="H84" s="183">
        <f t="shared" si="7"/>
        <v>21783922252.523216</v>
      </c>
      <c r="I84" s="183">
        <f t="shared" si="7"/>
        <v>19964208210.596069</v>
      </c>
      <c r="J84" s="183">
        <f t="shared" si="7"/>
        <v>19022230144.824387</v>
      </c>
      <c r="K84" s="184">
        <f t="shared" si="7"/>
        <v>18385504932.92276</v>
      </c>
      <c r="M84" s="83"/>
    </row>
    <row r="85" spans="2:18" ht="15.75" thickBot="1" x14ac:dyDescent="0.3">
      <c r="B85" s="83"/>
      <c r="C85" s="83"/>
      <c r="D85" s="83"/>
      <c r="E85" s="83"/>
      <c r="F85" s="83"/>
      <c r="G85" s="83"/>
      <c r="H85" s="83"/>
      <c r="I85" s="83"/>
      <c r="J85" s="83"/>
      <c r="K85" s="83"/>
      <c r="M85" s="83"/>
    </row>
    <row r="86" spans="2:18" x14ac:dyDescent="0.25">
      <c r="B86" s="185" t="s">
        <v>108</v>
      </c>
      <c r="C86" s="191">
        <f>NPV(0.1,C84:K84)</f>
        <v>173469684874.03781</v>
      </c>
      <c r="D86" s="83"/>
      <c r="E86" s="83"/>
      <c r="F86" s="83"/>
      <c r="G86" s="83"/>
      <c r="H86" s="83"/>
      <c r="I86" s="83"/>
      <c r="J86" s="83"/>
      <c r="K86" s="83"/>
      <c r="M86" s="83"/>
      <c r="N86" s="83"/>
      <c r="O86" s="83"/>
      <c r="P86" s="83"/>
      <c r="Q86" s="83"/>
      <c r="R86" s="83"/>
    </row>
    <row r="87" spans="2:18" ht="15.75" thickBot="1" x14ac:dyDescent="0.3">
      <c r="B87" s="186" t="s">
        <v>109</v>
      </c>
      <c r="C87" s="269" t="str">
        <f>IFERROR(IRR(C84:K84,-99%), "N/A")</f>
        <v>N/A</v>
      </c>
      <c r="D87" s="83"/>
      <c r="E87" s="83"/>
      <c r="F87" s="83"/>
      <c r="G87" s="83"/>
      <c r="H87" s="83"/>
      <c r="I87" s="83"/>
      <c r="J87" s="83"/>
      <c r="K87" s="83"/>
      <c r="M87" s="83"/>
      <c r="N87" s="83"/>
      <c r="O87" s="83"/>
      <c r="P87" s="83"/>
      <c r="Q87" s="83"/>
      <c r="R87" s="83"/>
    </row>
    <row r="88" spans="2:18" x14ac:dyDescent="0.25">
      <c r="M88" s="83"/>
      <c r="N88" s="83"/>
      <c r="O88" s="83"/>
      <c r="P88" s="83"/>
    </row>
    <row r="89" spans="2:18" x14ac:dyDescent="0.25">
      <c r="M89" s="83"/>
      <c r="N89" s="83"/>
      <c r="O89" s="83"/>
      <c r="P89" s="83"/>
    </row>
    <row r="90" spans="2:18" x14ac:dyDescent="0.25">
      <c r="M90" s="83"/>
      <c r="N90" s="83"/>
      <c r="O90" s="83"/>
      <c r="P90" s="83"/>
    </row>
  </sheetData>
  <conditionalFormatting sqref="A1:XFD4 A9:XFD1048576 H5:XFD8 A8 C8:F8 A5:F7">
    <cfRule type="expression" dxfId="11" priority="1">
      <formula>"a1&lt;0"</formula>
    </cfRule>
  </conditionalFormatting>
  <pageMargins left="0.7" right="0.7" top="0.75" bottom="0.75" header="0.3" footer="0.3"/>
  <pageSetup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80"/>
  <sheetViews>
    <sheetView zoomScale="90" zoomScaleNormal="90" workbookViewId="0">
      <selection activeCell="A3" sqref="A3"/>
    </sheetView>
  </sheetViews>
  <sheetFormatPr defaultColWidth="8.85546875" defaultRowHeight="15" x14ac:dyDescent="0.25"/>
  <cols>
    <col min="1" max="2" width="8.85546875" style="318"/>
    <col min="3" max="3" width="25.28515625" style="318" customWidth="1"/>
    <col min="4" max="4" width="14" style="318" bestFit="1" customWidth="1"/>
    <col min="5" max="5" width="11.7109375" style="318" customWidth="1"/>
    <col min="6" max="6" width="8.85546875" style="318"/>
    <col min="7" max="7" width="31.28515625" style="318" customWidth="1"/>
    <col min="8" max="8" width="18.7109375" style="318" bestFit="1" customWidth="1"/>
    <col min="9" max="16" width="15.7109375" style="318" bestFit="1" customWidth="1"/>
    <col min="17" max="16384" width="8.85546875" style="318"/>
  </cols>
  <sheetData>
    <row r="1" spans="1:16" x14ac:dyDescent="0.25">
      <c r="A1" s="317" t="s">
        <v>300</v>
      </c>
    </row>
    <row r="2" spans="1:16" x14ac:dyDescent="0.25">
      <c r="A2" s="318" t="s">
        <v>112</v>
      </c>
    </row>
    <row r="3" spans="1:16" x14ac:dyDescent="0.25">
      <c r="B3" s="318" t="s">
        <v>156</v>
      </c>
    </row>
    <row r="4" spans="1:16" x14ac:dyDescent="0.25">
      <c r="C4" s="318" t="s">
        <v>157</v>
      </c>
      <c r="D4" s="319">
        <f>'3.  USA OVERALL'!C5*0.2</f>
        <v>13000</v>
      </c>
      <c r="E4" s="318" t="s">
        <v>145</v>
      </c>
    </row>
    <row r="5" spans="1:16" x14ac:dyDescent="0.25">
      <c r="C5" s="318" t="s">
        <v>144</v>
      </c>
      <c r="D5" s="320">
        <v>20000</v>
      </c>
      <c r="E5" s="318" t="s">
        <v>145</v>
      </c>
    </row>
    <row r="6" spans="1:16" x14ac:dyDescent="0.25">
      <c r="C6" s="318" t="s">
        <v>249</v>
      </c>
      <c r="D6" s="319">
        <v>77220000</v>
      </c>
      <c r="E6" s="318" t="s">
        <v>250</v>
      </c>
    </row>
    <row r="7" spans="1:16" x14ac:dyDescent="0.25">
      <c r="C7" s="318" t="s">
        <v>303</v>
      </c>
      <c r="D7" s="321">
        <v>0.15</v>
      </c>
      <c r="E7" s="318" t="s">
        <v>251</v>
      </c>
    </row>
    <row r="8" spans="1:16" ht="15.75" thickBot="1" x14ac:dyDescent="0.3">
      <c r="H8" s="322">
        <v>2019</v>
      </c>
      <c r="I8" s="322">
        <v>2020</v>
      </c>
      <c r="J8" s="322">
        <v>2021</v>
      </c>
      <c r="K8" s="322">
        <v>2022</v>
      </c>
      <c r="L8" s="322">
        <v>2023</v>
      </c>
      <c r="M8" s="322">
        <v>2024</v>
      </c>
      <c r="N8" s="322">
        <v>2025</v>
      </c>
      <c r="O8" s="322">
        <v>2026</v>
      </c>
      <c r="P8" s="322">
        <v>2027</v>
      </c>
    </row>
    <row r="9" spans="1:16" s="317" customFormat="1" x14ac:dyDescent="0.25">
      <c r="A9" s="323"/>
      <c r="B9" s="324" t="s">
        <v>142</v>
      </c>
      <c r="C9" s="325"/>
      <c r="D9" s="325"/>
      <c r="E9" s="326"/>
      <c r="G9" s="327" t="s">
        <v>88</v>
      </c>
      <c r="H9" s="328" t="s">
        <v>8</v>
      </c>
      <c r="I9" s="328" t="s">
        <v>0</v>
      </c>
      <c r="J9" s="328" t="s">
        <v>1</v>
      </c>
      <c r="K9" s="328" t="s">
        <v>2</v>
      </c>
      <c r="L9" s="328" t="s">
        <v>3</v>
      </c>
      <c r="M9" s="328" t="s">
        <v>4</v>
      </c>
      <c r="N9" s="328" t="s">
        <v>5</v>
      </c>
      <c r="O9" s="328" t="s">
        <v>6</v>
      </c>
      <c r="P9" s="329" t="s">
        <v>7</v>
      </c>
    </row>
    <row r="10" spans="1:16" x14ac:dyDescent="0.25">
      <c r="A10" s="330"/>
      <c r="B10" s="331"/>
      <c r="C10" s="332" t="s">
        <v>154</v>
      </c>
      <c r="D10" s="333">
        <v>0</v>
      </c>
      <c r="E10" s="334" t="s">
        <v>68</v>
      </c>
      <c r="G10" s="335" t="s">
        <v>15</v>
      </c>
      <c r="H10" s="306">
        <v>15</v>
      </c>
      <c r="I10" s="306">
        <f>H10*1.4</f>
        <v>21</v>
      </c>
      <c r="J10" s="306">
        <f t="shared" ref="J10" si="0">I10*1.4</f>
        <v>29.4</v>
      </c>
      <c r="K10" s="306">
        <f>J10*1.5</f>
        <v>44.099999999999994</v>
      </c>
      <c r="L10" s="306">
        <f>K10*1.5</f>
        <v>66.149999999999991</v>
      </c>
      <c r="M10" s="306">
        <f>L10*1.4</f>
        <v>92.609999999999985</v>
      </c>
      <c r="N10" s="306">
        <f>M10*1.35</f>
        <v>125.02349999999998</v>
      </c>
      <c r="O10" s="306">
        <f>N10*1.3</f>
        <v>162.53054999999998</v>
      </c>
      <c r="P10" s="307">
        <f>O10*1.25</f>
        <v>203.16318749999996</v>
      </c>
    </row>
    <row r="11" spans="1:16" x14ac:dyDescent="0.25">
      <c r="A11" s="330"/>
      <c r="B11" s="331"/>
      <c r="C11" s="332" t="s">
        <v>67</v>
      </c>
      <c r="D11" s="336">
        <v>2</v>
      </c>
      <c r="E11" s="334" t="s">
        <v>69</v>
      </c>
      <c r="G11" s="331" t="s">
        <v>115</v>
      </c>
      <c r="H11" s="308">
        <v>0.35</v>
      </c>
      <c r="I11" s="308">
        <v>0.35</v>
      </c>
      <c r="J11" s="308">
        <v>0.35</v>
      </c>
      <c r="K11" s="308">
        <v>0.35</v>
      </c>
      <c r="L11" s="308">
        <v>0.35</v>
      </c>
      <c r="M11" s="308">
        <v>0.35</v>
      </c>
      <c r="N11" s="308">
        <v>0.35</v>
      </c>
      <c r="O11" s="308">
        <v>0.35</v>
      </c>
      <c r="P11" s="309">
        <v>0.35</v>
      </c>
    </row>
    <row r="12" spans="1:16" ht="15.75" thickBot="1" x14ac:dyDescent="0.3">
      <c r="A12" s="330"/>
      <c r="B12" s="337"/>
      <c r="C12" s="338" t="s">
        <v>126</v>
      </c>
      <c r="D12" s="339">
        <f>D10*D11*60*60*24*30*3*D7/8/1000</f>
        <v>0</v>
      </c>
      <c r="E12" s="340"/>
      <c r="G12" s="341" t="s">
        <v>116</v>
      </c>
      <c r="H12" s="310">
        <f>H11*$D6</f>
        <v>27027000</v>
      </c>
      <c r="I12" s="310">
        <f>I11*$D6*1.02</f>
        <v>27567540</v>
      </c>
      <c r="J12" s="310">
        <f>J11*$D6*1.04</f>
        <v>28108080</v>
      </c>
      <c r="K12" s="310">
        <f>K11*$D6*1.06</f>
        <v>28648620</v>
      </c>
      <c r="L12" s="310">
        <f>L11*$D6*1.08</f>
        <v>29189160.000000004</v>
      </c>
      <c r="M12" s="310">
        <f>M11*$D6*1.1</f>
        <v>29729700.000000004</v>
      </c>
      <c r="N12" s="310">
        <f>N11*$D6*1.12</f>
        <v>30270240.000000004</v>
      </c>
      <c r="O12" s="310">
        <f>O11*$D6*1.14</f>
        <v>30810779.999999996</v>
      </c>
      <c r="P12" s="311">
        <f>P11*$D6*1.16</f>
        <v>31351319.999999996</v>
      </c>
    </row>
    <row r="13" spans="1:16" ht="15.75" thickBot="1" x14ac:dyDescent="0.3">
      <c r="A13" s="330"/>
      <c r="B13" s="342" t="s">
        <v>143</v>
      </c>
      <c r="C13" s="323"/>
      <c r="D13" s="323"/>
      <c r="E13" s="343"/>
      <c r="G13" s="344" t="s">
        <v>117</v>
      </c>
      <c r="H13" s="312">
        <f>H12*H10</f>
        <v>405405000</v>
      </c>
      <c r="I13" s="312">
        <f t="shared" ref="I13:P13" si="1">I12*I10</f>
        <v>578918340</v>
      </c>
      <c r="J13" s="312">
        <f t="shared" si="1"/>
        <v>826377552</v>
      </c>
      <c r="K13" s="312">
        <f t="shared" si="1"/>
        <v>1263404141.9999998</v>
      </c>
      <c r="L13" s="312">
        <f t="shared" si="1"/>
        <v>1930862934</v>
      </c>
      <c r="M13" s="312">
        <f t="shared" si="1"/>
        <v>2753267517</v>
      </c>
      <c r="N13" s="312">
        <f t="shared" si="1"/>
        <v>3784491350.6399999</v>
      </c>
      <c r="O13" s="312">
        <f t="shared" si="1"/>
        <v>5007693019.3289986</v>
      </c>
      <c r="P13" s="313">
        <f t="shared" si="1"/>
        <v>6369434103.5324984</v>
      </c>
    </row>
    <row r="14" spans="1:16" x14ac:dyDescent="0.25">
      <c r="A14" s="330"/>
      <c r="B14" s="331"/>
      <c r="C14" s="332" t="s">
        <v>66</v>
      </c>
      <c r="D14" s="336">
        <v>40</v>
      </c>
      <c r="E14" s="334" t="s">
        <v>68</v>
      </c>
      <c r="G14" s="317"/>
      <c r="H14" s="314"/>
      <c r="I14" s="314"/>
      <c r="J14" s="314"/>
      <c r="K14" s="314"/>
      <c r="L14" s="314"/>
      <c r="M14" s="314"/>
      <c r="N14" s="314"/>
      <c r="O14" s="314"/>
      <c r="P14" s="314"/>
    </row>
    <row r="15" spans="1:16" s="317" customFormat="1" x14ac:dyDescent="0.25">
      <c r="A15" s="323"/>
      <c r="B15" s="331"/>
      <c r="C15" s="332" t="s">
        <v>67</v>
      </c>
      <c r="D15" s="336">
        <v>2</v>
      </c>
      <c r="E15" s="334" t="s">
        <v>69</v>
      </c>
      <c r="G15" s="345" t="s">
        <v>123</v>
      </c>
      <c r="H15" s="315"/>
      <c r="I15" s="315"/>
      <c r="J15" s="315"/>
      <c r="K15" s="315"/>
      <c r="L15" s="315"/>
      <c r="M15" s="315"/>
      <c r="N15" s="315"/>
      <c r="O15" s="315"/>
      <c r="P15" s="315"/>
    </row>
    <row r="16" spans="1:16" ht="15.75" thickBot="1" x14ac:dyDescent="0.3">
      <c r="A16" s="330"/>
      <c r="B16" s="331"/>
      <c r="C16" s="332" t="s">
        <v>126</v>
      </c>
      <c r="D16" s="333">
        <f>D14*D15*60*60*24*30*3*D7/8/1000</f>
        <v>11664</v>
      </c>
      <c r="E16" s="334"/>
      <c r="G16" s="345" t="s">
        <v>128</v>
      </c>
      <c r="H16" s="316"/>
      <c r="I16" s="316"/>
      <c r="J16" s="316"/>
      <c r="K16" s="316"/>
      <c r="L16" s="316"/>
      <c r="M16" s="316"/>
      <c r="N16" s="316"/>
      <c r="O16" s="316"/>
      <c r="P16" s="316"/>
    </row>
    <row r="17" spans="1:30" x14ac:dyDescent="0.25">
      <c r="A17" s="330"/>
      <c r="B17" s="324" t="s">
        <v>147</v>
      </c>
      <c r="C17" s="325"/>
      <c r="D17" s="325"/>
      <c r="E17" s="326"/>
      <c r="G17" s="345" t="s">
        <v>121</v>
      </c>
      <c r="H17" s="316">
        <v>0.9</v>
      </c>
      <c r="I17" s="316">
        <v>0.92</v>
      </c>
      <c r="J17" s="316">
        <v>0.94</v>
      </c>
      <c r="K17" s="316">
        <v>0.96</v>
      </c>
      <c r="L17" s="316">
        <v>0.98</v>
      </c>
      <c r="M17" s="316">
        <v>1</v>
      </c>
      <c r="N17" s="316">
        <v>1.02</v>
      </c>
      <c r="O17" s="316">
        <v>1.04</v>
      </c>
      <c r="P17" s="316">
        <v>1.06</v>
      </c>
    </row>
    <row r="18" spans="1:30" x14ac:dyDescent="0.25">
      <c r="A18" s="330"/>
      <c r="B18" s="331"/>
      <c r="C18" s="332" t="s">
        <v>161</v>
      </c>
      <c r="D18" s="336">
        <v>60</v>
      </c>
      <c r="E18" s="334" t="s">
        <v>68</v>
      </c>
      <c r="G18" s="345" t="s">
        <v>122</v>
      </c>
      <c r="H18" s="316">
        <v>0.99</v>
      </c>
      <c r="I18" s="316">
        <v>0.99</v>
      </c>
      <c r="J18" s="316">
        <v>0.99</v>
      </c>
      <c r="K18" s="316">
        <v>0.99</v>
      </c>
      <c r="L18" s="316">
        <v>0.99</v>
      </c>
      <c r="M18" s="316">
        <v>1</v>
      </c>
      <c r="N18" s="316">
        <v>1.02</v>
      </c>
      <c r="O18" s="316">
        <v>1.04</v>
      </c>
      <c r="P18" s="316">
        <v>1.06</v>
      </c>
    </row>
    <row r="19" spans="1:30" x14ac:dyDescent="0.25">
      <c r="A19" s="330"/>
      <c r="B19" s="331"/>
      <c r="C19" s="332" t="s">
        <v>67</v>
      </c>
      <c r="D19" s="336">
        <v>2</v>
      </c>
      <c r="E19" s="334" t="s">
        <v>69</v>
      </c>
      <c r="G19" s="345" t="s">
        <v>120</v>
      </c>
      <c r="H19" s="316"/>
      <c r="I19" s="316"/>
      <c r="J19" s="316"/>
      <c r="K19" s="316"/>
      <c r="L19" s="316"/>
      <c r="M19" s="316"/>
      <c r="N19" s="316"/>
      <c r="O19" s="316"/>
      <c r="P19" s="316"/>
    </row>
    <row r="20" spans="1:30" ht="15.75" thickBot="1" x14ac:dyDescent="0.3">
      <c r="A20" s="330"/>
      <c r="B20" s="337"/>
      <c r="C20" s="338" t="s">
        <v>126</v>
      </c>
      <c r="D20" s="339">
        <f>D18*D19*60*60*24*30*3*D7/8/1000</f>
        <v>17496</v>
      </c>
      <c r="E20" s="340"/>
      <c r="G20" s="345" t="s">
        <v>131</v>
      </c>
      <c r="H20" s="316"/>
      <c r="I20" s="316"/>
      <c r="J20" s="316"/>
      <c r="K20" s="316"/>
      <c r="L20" s="316"/>
      <c r="M20" s="316"/>
      <c r="N20" s="316"/>
      <c r="O20" s="316"/>
      <c r="P20" s="316"/>
    </row>
    <row r="21" spans="1:30" s="317" customFormat="1" x14ac:dyDescent="0.25">
      <c r="A21" s="323"/>
      <c r="B21" s="342" t="s">
        <v>138</v>
      </c>
      <c r="C21" s="323"/>
      <c r="D21" s="323"/>
      <c r="E21" s="343"/>
      <c r="F21" s="318"/>
      <c r="G21" s="345" t="s">
        <v>130</v>
      </c>
      <c r="H21" s="316"/>
      <c r="I21" s="316"/>
      <c r="J21" s="316"/>
      <c r="K21" s="316"/>
      <c r="L21" s="316"/>
      <c r="M21" s="316"/>
      <c r="N21" s="316"/>
      <c r="O21" s="316"/>
      <c r="P21" s="316"/>
      <c r="Q21" s="318"/>
    </row>
    <row r="22" spans="1:30" x14ac:dyDescent="0.25">
      <c r="A22" s="330"/>
      <c r="B22" s="331"/>
      <c r="C22" s="332" t="s">
        <v>74</v>
      </c>
      <c r="D22" s="333">
        <v>0</v>
      </c>
      <c r="E22" s="334" t="s">
        <v>68</v>
      </c>
      <c r="G22" s="345" t="s">
        <v>132</v>
      </c>
      <c r="H22" s="316">
        <v>0.02</v>
      </c>
      <c r="I22" s="316">
        <v>0.1</v>
      </c>
      <c r="J22" s="316">
        <v>0.2</v>
      </c>
      <c r="K22" s="316">
        <v>0.3</v>
      </c>
      <c r="L22" s="316">
        <v>0.4</v>
      </c>
      <c r="M22" s="316">
        <v>0.4</v>
      </c>
      <c r="N22" s="316">
        <v>0.4</v>
      </c>
      <c r="O22" s="316">
        <v>0.4</v>
      </c>
      <c r="P22" s="316">
        <v>0.4</v>
      </c>
    </row>
    <row r="23" spans="1:30" x14ac:dyDescent="0.25">
      <c r="A23" s="330"/>
      <c r="B23" s="331"/>
      <c r="C23" s="332" t="s">
        <v>67</v>
      </c>
      <c r="D23" s="336">
        <v>2</v>
      </c>
      <c r="E23" s="334" t="s">
        <v>69</v>
      </c>
      <c r="G23" s="345" t="s">
        <v>133</v>
      </c>
      <c r="H23" s="316">
        <v>0</v>
      </c>
      <c r="I23" s="316">
        <v>0</v>
      </c>
      <c r="J23" s="316">
        <v>0.1</v>
      </c>
      <c r="K23" s="316">
        <v>0.3</v>
      </c>
      <c r="L23" s="316">
        <v>0.6</v>
      </c>
      <c r="M23" s="316">
        <v>0.9</v>
      </c>
      <c r="N23" s="316">
        <v>1</v>
      </c>
      <c r="O23" s="316">
        <v>1.04</v>
      </c>
      <c r="P23" s="316">
        <v>1.06</v>
      </c>
    </row>
    <row r="24" spans="1:30" ht="15.75" thickBot="1" x14ac:dyDescent="0.3">
      <c r="A24" s="330"/>
      <c r="B24" s="331"/>
      <c r="C24" s="332" t="s">
        <v>126</v>
      </c>
      <c r="D24" s="339">
        <f>D22*D23*60*60*24*30*3*D7/8/1000</f>
        <v>0</v>
      </c>
      <c r="E24" s="334"/>
      <c r="G24" s="345" t="s">
        <v>152</v>
      </c>
      <c r="H24" s="316">
        <v>0.3</v>
      </c>
      <c r="I24" s="316">
        <v>0.4</v>
      </c>
      <c r="J24" s="316">
        <v>0.5</v>
      </c>
      <c r="K24" s="316">
        <v>0.3</v>
      </c>
      <c r="L24" s="316">
        <v>0.1</v>
      </c>
      <c r="M24" s="316">
        <v>0</v>
      </c>
      <c r="N24" s="316">
        <v>0</v>
      </c>
      <c r="O24" s="316">
        <v>0</v>
      </c>
      <c r="P24" s="316">
        <v>0</v>
      </c>
    </row>
    <row r="25" spans="1:30" x14ac:dyDescent="0.25">
      <c r="A25" s="330"/>
      <c r="B25" s="324" t="s">
        <v>137</v>
      </c>
      <c r="C25" s="325"/>
      <c r="D25" s="325"/>
      <c r="E25" s="326"/>
      <c r="G25" s="345" t="s">
        <v>153</v>
      </c>
      <c r="H25" s="316">
        <v>0</v>
      </c>
      <c r="I25" s="316">
        <v>0.1</v>
      </c>
      <c r="J25" s="316">
        <v>0.2</v>
      </c>
      <c r="K25" s="316">
        <v>0.3</v>
      </c>
      <c r="L25" s="316">
        <v>0.6</v>
      </c>
      <c r="M25" s="316">
        <v>0.9</v>
      </c>
      <c r="N25" s="316">
        <v>1.2</v>
      </c>
      <c r="O25" s="316">
        <v>1.5</v>
      </c>
      <c r="P25" s="316">
        <v>1.8</v>
      </c>
    </row>
    <row r="26" spans="1:30" x14ac:dyDescent="0.25">
      <c r="A26" s="330"/>
      <c r="B26" s="331"/>
      <c r="C26" s="332" t="s">
        <v>74</v>
      </c>
      <c r="D26" s="333">
        <v>0</v>
      </c>
      <c r="E26" s="334" t="s">
        <v>68</v>
      </c>
      <c r="G26" s="345" t="s">
        <v>119</v>
      </c>
      <c r="H26" s="316">
        <v>1E-3</v>
      </c>
      <c r="I26" s="316">
        <v>0.01</v>
      </c>
      <c r="J26" s="316">
        <v>0.02</v>
      </c>
      <c r="K26" s="316">
        <v>0.03</v>
      </c>
      <c r="L26" s="316">
        <v>0.05</v>
      </c>
      <c r="M26" s="316">
        <v>0.08</v>
      </c>
      <c r="N26" s="316">
        <v>0.12</v>
      </c>
      <c r="O26" s="316">
        <v>0.18</v>
      </c>
      <c r="P26" s="316">
        <v>0.24</v>
      </c>
      <c r="AA26" s="318">
        <v>2026</v>
      </c>
      <c r="AB26" s="318">
        <v>2027</v>
      </c>
      <c r="AC26" s="318">
        <v>2028</v>
      </c>
      <c r="AD26" s="318">
        <v>2029</v>
      </c>
    </row>
    <row r="27" spans="1:30" ht="15.75" thickBot="1" x14ac:dyDescent="0.3">
      <c r="A27" s="330"/>
      <c r="B27" s="331"/>
      <c r="C27" s="332" t="s">
        <v>67</v>
      </c>
      <c r="D27" s="336">
        <v>2</v>
      </c>
      <c r="E27" s="334" t="s">
        <v>69</v>
      </c>
      <c r="H27" s="346"/>
      <c r="I27" s="346"/>
      <c r="J27" s="346"/>
      <c r="K27" s="346"/>
      <c r="L27" s="346"/>
      <c r="M27" s="346"/>
      <c r="N27" s="346"/>
      <c r="O27" s="346"/>
      <c r="P27" s="346"/>
    </row>
    <row r="28" spans="1:30" ht="15.75" thickBot="1" x14ac:dyDescent="0.3">
      <c r="A28" s="330"/>
      <c r="B28" s="337"/>
      <c r="C28" s="338" t="s">
        <v>126</v>
      </c>
      <c r="D28" s="339">
        <f>D26*D27*60*60*24*30*3*D7/8/1000</f>
        <v>0</v>
      </c>
      <c r="E28" s="340"/>
      <c r="G28" s="347" t="s">
        <v>87</v>
      </c>
      <c r="H28" s="348" t="s">
        <v>8</v>
      </c>
      <c r="I28" s="348" t="s">
        <v>0</v>
      </c>
      <c r="J28" s="348" t="s">
        <v>1</v>
      </c>
      <c r="K28" s="348" t="s">
        <v>2</v>
      </c>
      <c r="L28" s="348" t="s">
        <v>3</v>
      </c>
      <c r="M28" s="348" t="s">
        <v>4</v>
      </c>
      <c r="N28" s="348" t="s">
        <v>5</v>
      </c>
      <c r="O28" s="348" t="s">
        <v>6</v>
      </c>
      <c r="P28" s="349" t="s">
        <v>7</v>
      </c>
    </row>
    <row r="29" spans="1:30" x14ac:dyDescent="0.25">
      <c r="A29" s="330"/>
      <c r="B29" s="324" t="s">
        <v>136</v>
      </c>
      <c r="C29" s="325"/>
      <c r="D29" s="325"/>
      <c r="E29" s="326"/>
      <c r="G29" s="350" t="s">
        <v>128</v>
      </c>
      <c r="H29" s="351">
        <f t="shared" ref="H29:P29" si="2">H16*$D12*$D4</f>
        <v>0</v>
      </c>
      <c r="I29" s="351">
        <f t="shared" si="2"/>
        <v>0</v>
      </c>
      <c r="J29" s="351">
        <f t="shared" si="2"/>
        <v>0</v>
      </c>
      <c r="K29" s="351">
        <f t="shared" si="2"/>
        <v>0</v>
      </c>
      <c r="L29" s="351">
        <f t="shared" si="2"/>
        <v>0</v>
      </c>
      <c r="M29" s="351">
        <f t="shared" si="2"/>
        <v>0</v>
      </c>
      <c r="N29" s="351">
        <f t="shared" si="2"/>
        <v>0</v>
      </c>
      <c r="O29" s="351">
        <f t="shared" si="2"/>
        <v>0</v>
      </c>
      <c r="P29" s="352">
        <f t="shared" si="2"/>
        <v>0</v>
      </c>
    </row>
    <row r="30" spans="1:30" x14ac:dyDescent="0.25">
      <c r="A30" s="330"/>
      <c r="B30" s="331"/>
      <c r="C30" s="332" t="s">
        <v>74</v>
      </c>
      <c r="D30" s="333">
        <v>0</v>
      </c>
      <c r="E30" s="334" t="s">
        <v>68</v>
      </c>
      <c r="F30" s="353"/>
      <c r="G30" s="350" t="s">
        <v>121</v>
      </c>
      <c r="H30" s="351">
        <f t="shared" ref="H30:P30" si="3">H17*$D16*$D4</f>
        <v>136468800</v>
      </c>
      <c r="I30" s="351">
        <f t="shared" si="3"/>
        <v>139501440</v>
      </c>
      <c r="J30" s="351">
        <f t="shared" si="3"/>
        <v>142534080</v>
      </c>
      <c r="K30" s="351">
        <f t="shared" si="3"/>
        <v>145566719.99999997</v>
      </c>
      <c r="L30" s="351">
        <f t="shared" si="3"/>
        <v>148599360</v>
      </c>
      <c r="M30" s="351">
        <f t="shared" si="3"/>
        <v>151632000</v>
      </c>
      <c r="N30" s="351">
        <f t="shared" si="3"/>
        <v>154664640</v>
      </c>
      <c r="O30" s="351">
        <f t="shared" si="3"/>
        <v>157697280.00000003</v>
      </c>
      <c r="P30" s="352">
        <f t="shared" si="3"/>
        <v>160729920</v>
      </c>
      <c r="Q30" s="330"/>
    </row>
    <row r="31" spans="1:30" x14ac:dyDescent="0.25">
      <c r="A31" s="330"/>
      <c r="B31" s="331"/>
      <c r="C31" s="332" t="s">
        <v>67</v>
      </c>
      <c r="D31" s="336">
        <v>6</v>
      </c>
      <c r="E31" s="334" t="s">
        <v>69</v>
      </c>
      <c r="F31" s="354"/>
      <c r="G31" s="350" t="s">
        <v>122</v>
      </c>
      <c r="H31" s="351">
        <f t="shared" ref="H31:P31" si="4">H18*$D20*$D4</f>
        <v>225173520</v>
      </c>
      <c r="I31" s="351">
        <f t="shared" si="4"/>
        <v>225173520</v>
      </c>
      <c r="J31" s="351">
        <f t="shared" si="4"/>
        <v>225173520</v>
      </c>
      <c r="K31" s="351">
        <f t="shared" si="4"/>
        <v>225173520</v>
      </c>
      <c r="L31" s="351">
        <f t="shared" si="4"/>
        <v>225173520</v>
      </c>
      <c r="M31" s="351">
        <f t="shared" si="4"/>
        <v>227448000</v>
      </c>
      <c r="N31" s="351">
        <f t="shared" si="4"/>
        <v>231996960.00000003</v>
      </c>
      <c r="O31" s="351">
        <f t="shared" si="4"/>
        <v>236545920</v>
      </c>
      <c r="P31" s="352">
        <f t="shared" si="4"/>
        <v>241094880.00000003</v>
      </c>
      <c r="Q31" s="330"/>
    </row>
    <row r="32" spans="1:30" ht="15.75" thickBot="1" x14ac:dyDescent="0.3">
      <c r="A32" s="330"/>
      <c r="B32" s="337"/>
      <c r="C32" s="338" t="s">
        <v>126</v>
      </c>
      <c r="D32" s="339">
        <f>D30*D31*60*60*24*30*3*D7/8/1000</f>
        <v>0</v>
      </c>
      <c r="E32" s="340"/>
      <c r="F32" s="353"/>
      <c r="G32" s="350" t="s">
        <v>120</v>
      </c>
      <c r="H32" s="351">
        <f t="shared" ref="H32:P32" si="5">H19*$D24*$D4</f>
        <v>0</v>
      </c>
      <c r="I32" s="351">
        <f t="shared" si="5"/>
        <v>0</v>
      </c>
      <c r="J32" s="351">
        <f t="shared" si="5"/>
        <v>0</v>
      </c>
      <c r="K32" s="351">
        <f t="shared" si="5"/>
        <v>0</v>
      </c>
      <c r="L32" s="351">
        <f t="shared" si="5"/>
        <v>0</v>
      </c>
      <c r="M32" s="351">
        <f t="shared" si="5"/>
        <v>0</v>
      </c>
      <c r="N32" s="351">
        <f t="shared" si="5"/>
        <v>0</v>
      </c>
      <c r="O32" s="351">
        <f t="shared" si="5"/>
        <v>0</v>
      </c>
      <c r="P32" s="352">
        <f t="shared" si="5"/>
        <v>0</v>
      </c>
    </row>
    <row r="33" spans="1:18" x14ac:dyDescent="0.25">
      <c r="A33" s="330"/>
      <c r="B33" s="324" t="s">
        <v>135</v>
      </c>
      <c r="C33" s="355"/>
      <c r="D33" s="356"/>
      <c r="E33" s="357"/>
      <c r="G33" s="350" t="s">
        <v>124</v>
      </c>
      <c r="H33" s="351">
        <f t="shared" ref="H33:P33" si="6">+H20*$D28*$D4</f>
        <v>0</v>
      </c>
      <c r="I33" s="351">
        <f t="shared" si="6"/>
        <v>0</v>
      </c>
      <c r="J33" s="351">
        <f t="shared" si="6"/>
        <v>0</v>
      </c>
      <c r="K33" s="351">
        <f t="shared" si="6"/>
        <v>0</v>
      </c>
      <c r="L33" s="351">
        <f t="shared" si="6"/>
        <v>0</v>
      </c>
      <c r="M33" s="351">
        <f t="shared" si="6"/>
        <v>0</v>
      </c>
      <c r="N33" s="351">
        <f t="shared" si="6"/>
        <v>0</v>
      </c>
      <c r="O33" s="351">
        <f t="shared" si="6"/>
        <v>0</v>
      </c>
      <c r="P33" s="352">
        <f t="shared" si="6"/>
        <v>0</v>
      </c>
    </row>
    <row r="34" spans="1:18" x14ac:dyDescent="0.25">
      <c r="A34" s="330"/>
      <c r="B34" s="331"/>
      <c r="C34" s="332" t="s">
        <v>74</v>
      </c>
      <c r="D34" s="336">
        <v>40</v>
      </c>
      <c r="E34" s="334" t="s">
        <v>68</v>
      </c>
      <c r="G34" s="350" t="s">
        <v>118</v>
      </c>
      <c r="H34" s="351">
        <f t="shared" ref="H34:P34" si="7">+H21*$D32*$D4</f>
        <v>0</v>
      </c>
      <c r="I34" s="351">
        <f t="shared" si="7"/>
        <v>0</v>
      </c>
      <c r="J34" s="351">
        <f t="shared" si="7"/>
        <v>0</v>
      </c>
      <c r="K34" s="351">
        <f t="shared" si="7"/>
        <v>0</v>
      </c>
      <c r="L34" s="351">
        <f t="shared" si="7"/>
        <v>0</v>
      </c>
      <c r="M34" s="351">
        <f t="shared" si="7"/>
        <v>0</v>
      </c>
      <c r="N34" s="351">
        <f t="shared" si="7"/>
        <v>0</v>
      </c>
      <c r="O34" s="351">
        <f t="shared" si="7"/>
        <v>0</v>
      </c>
      <c r="P34" s="352">
        <f t="shared" si="7"/>
        <v>0</v>
      </c>
    </row>
    <row r="35" spans="1:18" x14ac:dyDescent="0.25">
      <c r="A35" s="330"/>
      <c r="B35" s="331"/>
      <c r="C35" s="332" t="s">
        <v>67</v>
      </c>
      <c r="D35" s="336">
        <v>5.7</v>
      </c>
      <c r="E35" s="334" t="s">
        <v>69</v>
      </c>
      <c r="G35" s="350" t="s">
        <v>132</v>
      </c>
      <c r="H35" s="351">
        <f t="shared" ref="H35:P35" si="8">+H22*$D36*($D4+$D5)</f>
        <v>21939984.000000004</v>
      </c>
      <c r="I35" s="351">
        <f t="shared" si="8"/>
        <v>109699920.00000001</v>
      </c>
      <c r="J35" s="351">
        <f t="shared" si="8"/>
        <v>219399840.00000003</v>
      </c>
      <c r="K35" s="351">
        <f t="shared" si="8"/>
        <v>329099760</v>
      </c>
      <c r="L35" s="351">
        <f t="shared" si="8"/>
        <v>438799680.00000006</v>
      </c>
      <c r="M35" s="351">
        <f t="shared" si="8"/>
        <v>438799680.00000006</v>
      </c>
      <c r="N35" s="351">
        <f t="shared" si="8"/>
        <v>438799680.00000006</v>
      </c>
      <c r="O35" s="351">
        <f t="shared" si="8"/>
        <v>438799680.00000006</v>
      </c>
      <c r="P35" s="352">
        <f t="shared" si="8"/>
        <v>438799680.00000006</v>
      </c>
    </row>
    <row r="36" spans="1:18" ht="15.75" thickBot="1" x14ac:dyDescent="0.3">
      <c r="A36" s="330"/>
      <c r="B36" s="337"/>
      <c r="C36" s="338" t="s">
        <v>126</v>
      </c>
      <c r="D36" s="339">
        <f>D34*D35*60*60*24*30*3*D7/8/1000</f>
        <v>33242.400000000001</v>
      </c>
      <c r="E36" s="340"/>
      <c r="F36" s="317"/>
      <c r="G36" s="350" t="s">
        <v>133</v>
      </c>
      <c r="H36" s="351">
        <f t="shared" ref="H36:P36" si="9">+H23*$D40*$D4</f>
        <v>0</v>
      </c>
      <c r="I36" s="351">
        <f t="shared" si="9"/>
        <v>0</v>
      </c>
      <c r="J36" s="351">
        <f t="shared" si="9"/>
        <v>108037800</v>
      </c>
      <c r="K36" s="351">
        <f t="shared" si="9"/>
        <v>324113400</v>
      </c>
      <c r="L36" s="351">
        <f t="shared" si="9"/>
        <v>648226800</v>
      </c>
      <c r="M36" s="351">
        <f t="shared" si="9"/>
        <v>972340200.00000012</v>
      </c>
      <c r="N36" s="351">
        <f t="shared" si="9"/>
        <v>1080378000</v>
      </c>
      <c r="O36" s="351">
        <f t="shared" si="9"/>
        <v>1123593120</v>
      </c>
      <c r="P36" s="352">
        <f t="shared" si="9"/>
        <v>1145200680</v>
      </c>
    </row>
    <row r="37" spans="1:18" x14ac:dyDescent="0.25">
      <c r="A37" s="330"/>
      <c r="B37" s="342" t="s">
        <v>134</v>
      </c>
      <c r="C37" s="332"/>
      <c r="D37" s="333"/>
      <c r="E37" s="334"/>
      <c r="G37" s="350" t="s">
        <v>149</v>
      </c>
      <c r="H37" s="351">
        <f t="shared" ref="H37:P37" si="10">H24*$D$44*$D$5</f>
        <v>279936000</v>
      </c>
      <c r="I37" s="351">
        <f t="shared" si="10"/>
        <v>373248000</v>
      </c>
      <c r="J37" s="351">
        <f t="shared" si="10"/>
        <v>466560000</v>
      </c>
      <c r="K37" s="351">
        <f t="shared" si="10"/>
        <v>279936000</v>
      </c>
      <c r="L37" s="351">
        <f t="shared" si="10"/>
        <v>93312000</v>
      </c>
      <c r="M37" s="351">
        <f t="shared" si="10"/>
        <v>0</v>
      </c>
      <c r="N37" s="351">
        <f t="shared" si="10"/>
        <v>0</v>
      </c>
      <c r="O37" s="351">
        <f t="shared" si="10"/>
        <v>0</v>
      </c>
      <c r="P37" s="352">
        <f t="shared" si="10"/>
        <v>0</v>
      </c>
    </row>
    <row r="38" spans="1:18" x14ac:dyDescent="0.25">
      <c r="A38" s="330"/>
      <c r="B38" s="331"/>
      <c r="C38" s="332" t="s">
        <v>74</v>
      </c>
      <c r="D38" s="336">
        <v>100</v>
      </c>
      <c r="E38" s="334" t="s">
        <v>68</v>
      </c>
      <c r="G38" s="350" t="s">
        <v>150</v>
      </c>
      <c r="H38" s="351">
        <f t="shared" ref="H38:P38" si="11">H25*$D5*$D48</f>
        <v>0</v>
      </c>
      <c r="I38" s="351">
        <f t="shared" si="11"/>
        <v>81648000</v>
      </c>
      <c r="J38" s="351">
        <f t="shared" si="11"/>
        <v>163296000</v>
      </c>
      <c r="K38" s="351">
        <f t="shared" si="11"/>
        <v>244944000</v>
      </c>
      <c r="L38" s="351">
        <f t="shared" si="11"/>
        <v>489888000</v>
      </c>
      <c r="M38" s="351">
        <f t="shared" si="11"/>
        <v>734832000</v>
      </c>
      <c r="N38" s="351">
        <f t="shared" si="11"/>
        <v>979776000</v>
      </c>
      <c r="O38" s="351">
        <f t="shared" si="11"/>
        <v>1224720000</v>
      </c>
      <c r="P38" s="352">
        <f t="shared" si="11"/>
        <v>1469664000</v>
      </c>
    </row>
    <row r="39" spans="1:18" x14ac:dyDescent="0.25">
      <c r="A39" s="330"/>
      <c r="B39" s="331"/>
      <c r="C39" s="332" t="s">
        <v>67</v>
      </c>
      <c r="D39" s="336">
        <v>5.7</v>
      </c>
      <c r="E39" s="334" t="s">
        <v>69</v>
      </c>
      <c r="G39" s="358" t="s">
        <v>139</v>
      </c>
      <c r="H39" s="359">
        <f t="shared" ref="H39:P39" si="12">SUM(H29:H38)</f>
        <v>663518304</v>
      </c>
      <c r="I39" s="359">
        <f t="shared" si="12"/>
        <v>929270880</v>
      </c>
      <c r="J39" s="359">
        <f t="shared" si="12"/>
        <v>1325001240</v>
      </c>
      <c r="K39" s="359">
        <f t="shared" si="12"/>
        <v>1548833400</v>
      </c>
      <c r="L39" s="359">
        <f t="shared" si="12"/>
        <v>2043999360</v>
      </c>
      <c r="M39" s="359">
        <f t="shared" si="12"/>
        <v>2525051880</v>
      </c>
      <c r="N39" s="359">
        <f t="shared" si="12"/>
        <v>2885615280</v>
      </c>
      <c r="O39" s="359">
        <f t="shared" si="12"/>
        <v>3181356000</v>
      </c>
      <c r="P39" s="360">
        <f t="shared" si="12"/>
        <v>3455489160</v>
      </c>
    </row>
    <row r="40" spans="1:18" ht="15.75" thickBot="1" x14ac:dyDescent="0.3">
      <c r="A40" s="330"/>
      <c r="B40" s="337"/>
      <c r="C40" s="338" t="s">
        <v>126</v>
      </c>
      <c r="D40" s="339">
        <f>D38*D39*60*60*24*30*3*D7/8/1000</f>
        <v>83106</v>
      </c>
      <c r="E40" s="340"/>
      <c r="G40" s="350" t="s">
        <v>140</v>
      </c>
      <c r="H40" s="361">
        <f t="shared" ref="H40" si="13">+H26*$D52*$D5</f>
        <v>14580000</v>
      </c>
      <c r="I40" s="361">
        <f t="shared" ref="I40:P40" si="14">+I26*$D52*$D5</f>
        <v>145800000</v>
      </c>
      <c r="J40" s="361">
        <f t="shared" si="14"/>
        <v>291600000</v>
      </c>
      <c r="K40" s="361">
        <f t="shared" si="14"/>
        <v>437400000</v>
      </c>
      <c r="L40" s="361">
        <f t="shared" si="14"/>
        <v>729000000</v>
      </c>
      <c r="M40" s="361">
        <f t="shared" si="14"/>
        <v>1166400000</v>
      </c>
      <c r="N40" s="361">
        <f t="shared" si="14"/>
        <v>1749600000</v>
      </c>
      <c r="O40" s="361">
        <f t="shared" si="14"/>
        <v>2624400000</v>
      </c>
      <c r="P40" s="362">
        <f t="shared" si="14"/>
        <v>3499200000</v>
      </c>
    </row>
    <row r="41" spans="1:18" ht="15.75" thickBot="1" x14ac:dyDescent="0.3">
      <c r="A41" s="330"/>
      <c r="B41" s="342" t="s">
        <v>148</v>
      </c>
      <c r="C41" s="332"/>
      <c r="D41" s="333"/>
      <c r="E41" s="334"/>
      <c r="G41" s="363" t="s">
        <v>125</v>
      </c>
      <c r="H41" s="364">
        <f>+H39+H40</f>
        <v>678098304</v>
      </c>
      <c r="I41" s="364">
        <f t="shared" ref="I41:P41" si="15">+I39+I40</f>
        <v>1075070880</v>
      </c>
      <c r="J41" s="364">
        <f t="shared" si="15"/>
        <v>1616601240</v>
      </c>
      <c r="K41" s="364">
        <f t="shared" si="15"/>
        <v>1986233400</v>
      </c>
      <c r="L41" s="364">
        <f t="shared" si="15"/>
        <v>2772999360</v>
      </c>
      <c r="M41" s="364">
        <f t="shared" si="15"/>
        <v>3691451880</v>
      </c>
      <c r="N41" s="364">
        <f t="shared" si="15"/>
        <v>4635215280</v>
      </c>
      <c r="O41" s="364">
        <f t="shared" si="15"/>
        <v>5805756000</v>
      </c>
      <c r="P41" s="365">
        <f t="shared" si="15"/>
        <v>6954689160</v>
      </c>
    </row>
    <row r="42" spans="1:18" ht="15.75" thickBot="1" x14ac:dyDescent="0.3">
      <c r="A42" s="330"/>
      <c r="B42" s="331"/>
      <c r="C42" s="332" t="s">
        <v>74</v>
      </c>
      <c r="D42" s="336">
        <f>60+60+40</f>
        <v>160</v>
      </c>
      <c r="E42" s="334" t="s">
        <v>68</v>
      </c>
      <c r="G42" s="366"/>
      <c r="H42" s="367"/>
      <c r="I42" s="367"/>
      <c r="J42" s="367"/>
      <c r="K42" s="367"/>
      <c r="L42" s="367"/>
      <c r="M42" s="367"/>
      <c r="N42" s="367"/>
      <c r="O42" s="367"/>
      <c r="P42" s="367"/>
    </row>
    <row r="43" spans="1:18" x14ac:dyDescent="0.25">
      <c r="A43" s="330"/>
      <c r="B43" s="331"/>
      <c r="C43" s="332" t="s">
        <v>67</v>
      </c>
      <c r="D43" s="336">
        <v>2</v>
      </c>
      <c r="E43" s="334" t="s">
        <v>69</v>
      </c>
      <c r="G43" s="347" t="s">
        <v>91</v>
      </c>
      <c r="H43" s="348" t="s">
        <v>8</v>
      </c>
      <c r="I43" s="348" t="s">
        <v>0</v>
      </c>
      <c r="J43" s="348" t="s">
        <v>1</v>
      </c>
      <c r="K43" s="348" t="s">
        <v>2</v>
      </c>
      <c r="L43" s="348" t="s">
        <v>3</v>
      </c>
      <c r="M43" s="348" t="s">
        <v>4</v>
      </c>
      <c r="N43" s="348" t="s">
        <v>5</v>
      </c>
      <c r="O43" s="348" t="s">
        <v>6</v>
      </c>
      <c r="P43" s="349" t="s">
        <v>7</v>
      </c>
    </row>
    <row r="44" spans="1:18" ht="15" customHeight="1" thickBot="1" x14ac:dyDescent="0.3">
      <c r="A44" s="330"/>
      <c r="B44" s="331"/>
      <c r="C44" s="338" t="s">
        <v>126</v>
      </c>
      <c r="D44" s="339">
        <f>D42*D43*60*60*24*30*3*D7/8/1000</f>
        <v>46656</v>
      </c>
      <c r="E44" s="340"/>
      <c r="G44" s="294" t="s">
        <v>19</v>
      </c>
      <c r="H44" s="287"/>
      <c r="I44" s="288"/>
      <c r="J44" s="288"/>
      <c r="K44" s="288"/>
      <c r="L44" s="288"/>
      <c r="M44" s="288"/>
      <c r="N44" s="288"/>
      <c r="O44" s="288"/>
      <c r="P44" s="289"/>
      <c r="Q44" s="354"/>
      <c r="R44" s="354"/>
    </row>
    <row r="45" spans="1:18" x14ac:dyDescent="0.25">
      <c r="A45" s="330"/>
      <c r="B45" s="324" t="s">
        <v>151</v>
      </c>
      <c r="C45" s="355"/>
      <c r="D45" s="356"/>
      <c r="E45" s="357"/>
      <c r="G45" s="297" t="s">
        <v>252</v>
      </c>
      <c r="H45" s="287">
        <v>926640000</v>
      </c>
      <c r="I45" s="287">
        <v>9266400000</v>
      </c>
      <c r="J45" s="288"/>
      <c r="K45" s="288"/>
      <c r="L45" s="288"/>
      <c r="M45" s="288"/>
      <c r="N45" s="288"/>
      <c r="O45" s="288"/>
      <c r="P45" s="289"/>
      <c r="Q45" s="354"/>
      <c r="R45" s="354"/>
    </row>
    <row r="46" spans="1:18" x14ac:dyDescent="0.25">
      <c r="A46" s="330"/>
      <c r="B46" s="331"/>
      <c r="C46" s="332" t="s">
        <v>74</v>
      </c>
      <c r="D46" s="333">
        <f>D22+D34+D38</f>
        <v>140</v>
      </c>
      <c r="E46" s="334" t="s">
        <v>68</v>
      </c>
      <c r="G46" s="297" t="s">
        <v>253</v>
      </c>
      <c r="H46" s="287">
        <v>102606368.38905776</v>
      </c>
      <c r="I46" s="288"/>
      <c r="J46" s="288"/>
      <c r="K46" s="288"/>
      <c r="L46" s="288"/>
      <c r="M46" s="288"/>
      <c r="N46" s="288"/>
      <c r="O46" s="288"/>
      <c r="P46" s="289"/>
      <c r="Q46" s="354"/>
      <c r="R46" s="354"/>
    </row>
    <row r="47" spans="1:18" x14ac:dyDescent="0.25">
      <c r="A47" s="330"/>
      <c r="B47" s="331"/>
      <c r="C47" s="332" t="s">
        <v>67</v>
      </c>
      <c r="D47" s="336">
        <v>2</v>
      </c>
      <c r="E47" s="334" t="s">
        <v>69</v>
      </c>
      <c r="G47" s="294" t="s">
        <v>48</v>
      </c>
      <c r="H47" s="288"/>
      <c r="I47" s="290"/>
      <c r="J47" s="288"/>
      <c r="K47" s="288"/>
      <c r="L47" s="288"/>
      <c r="M47" s="288"/>
      <c r="N47" s="288"/>
      <c r="O47" s="288"/>
      <c r="P47" s="289"/>
      <c r="Q47" s="354"/>
      <c r="R47" s="354"/>
    </row>
    <row r="48" spans="1:18" ht="15.75" thickBot="1" x14ac:dyDescent="0.3">
      <c r="A48" s="330"/>
      <c r="B48" s="337"/>
      <c r="C48" s="338" t="s">
        <v>126</v>
      </c>
      <c r="D48" s="339">
        <f>D46*D47*60*60*24*30*3*D7/8/1000</f>
        <v>40824</v>
      </c>
      <c r="E48" s="340"/>
      <c r="G48" s="299" t="s">
        <v>121</v>
      </c>
      <c r="H48" s="287">
        <f>+(H17-90%)*$D4*('Cost per Cell'!$M6+'Cost per Cell'!$M7)</f>
        <v>0</v>
      </c>
      <c r="I48" s="287">
        <f>+(I17-H17)*$D4*('Cost per Cell'!$M6+'Cost per Cell'!$M7)</f>
        <v>11700000.000000009</v>
      </c>
      <c r="J48" s="287">
        <f>+(J17-I17)*$D4*('Cost per Cell'!$M6+'Cost per Cell'!$M7)</f>
        <v>11699999.999999946</v>
      </c>
      <c r="K48" s="287">
        <f>+(K17-J17)*$D4*('Cost per Cell'!$M6+'Cost per Cell'!$M7)</f>
        <v>11700000.000000009</v>
      </c>
      <c r="L48" s="287">
        <f>+(L17-K17)*$D4*('Cost per Cell'!$M6+'Cost per Cell'!$M7)</f>
        <v>11700000.000000009</v>
      </c>
      <c r="M48" s="287">
        <f>+(M17-L17)*$D4*('Cost per Cell'!$M6+'Cost per Cell'!$M7)</f>
        <v>11700000.000000009</v>
      </c>
      <c r="N48" s="287">
        <f>+(N17-M17)*$D4*('Cost per Cell'!$M6+'Cost per Cell'!$M7)</f>
        <v>11700000.000000009</v>
      </c>
      <c r="O48" s="287">
        <f>+(O17-N17)*$D4*('Cost per Cell'!$M6+'Cost per Cell'!$M7)</f>
        <v>11700000.000000009</v>
      </c>
      <c r="P48" s="291">
        <f>+(P17-O17)*$D4*('Cost per Cell'!$M6+'Cost per Cell'!$M7)</f>
        <v>11700000.000000009</v>
      </c>
      <c r="Q48" s="354"/>
      <c r="R48" s="354"/>
    </row>
    <row r="49" spans="1:20" x14ac:dyDescent="0.25">
      <c r="A49" s="330"/>
      <c r="B49" s="324" t="s">
        <v>114</v>
      </c>
      <c r="C49" s="325"/>
      <c r="D49" s="325"/>
      <c r="E49" s="326"/>
      <c r="G49" s="299" t="s">
        <v>122</v>
      </c>
      <c r="H49" s="287">
        <f>+(H18-99%)*$D4*('Cost per Cell'!$M6+'Cost per Cell'!$M7)</f>
        <v>0</v>
      </c>
      <c r="I49" s="287">
        <f>+(I18-H18)*$D4*('Cost per Cell'!$M6+'Cost per Cell'!$M7)</f>
        <v>0</v>
      </c>
      <c r="J49" s="287">
        <f>+(J18-I18)*$D4*('Cost per Cell'!$M6+'Cost per Cell'!$M7)</f>
        <v>0</v>
      </c>
      <c r="K49" s="287">
        <f>+(K18-J18)*$D4*('Cost per Cell'!$M6+'Cost per Cell'!$M7)</f>
        <v>0</v>
      </c>
      <c r="L49" s="287">
        <f>+(L18-K18)*$D4*('Cost per Cell'!$M6+'Cost per Cell'!$M7)</f>
        <v>0</v>
      </c>
      <c r="M49" s="287">
        <f>+(M18-L18)*$D4*('Cost per Cell'!$M6+'Cost per Cell'!$M7)</f>
        <v>5850000.0000000047</v>
      </c>
      <c r="N49" s="287">
        <f>+(N18-M18)*$D4*('Cost per Cell'!$M6+'Cost per Cell'!$M7)</f>
        <v>11700000.000000009</v>
      </c>
      <c r="O49" s="287">
        <f>+(O18-N18)*$D4*('Cost per Cell'!$M6+'Cost per Cell'!$M7)</f>
        <v>11700000.000000009</v>
      </c>
      <c r="P49" s="291">
        <f>+(P18-O18)*$D4*('Cost per Cell'!$M6+'Cost per Cell'!$M7)</f>
        <v>11700000.000000009</v>
      </c>
      <c r="Q49" s="354"/>
      <c r="R49" s="354"/>
    </row>
    <row r="50" spans="1:20" x14ac:dyDescent="0.25">
      <c r="A50" s="330"/>
      <c r="B50" s="331"/>
      <c r="C50" s="332" t="s">
        <v>74</v>
      </c>
      <c r="D50" s="336">
        <v>800</v>
      </c>
      <c r="E50" s="334" t="s">
        <v>68</v>
      </c>
      <c r="G50" s="299" t="s">
        <v>132</v>
      </c>
      <c r="H50" s="287"/>
      <c r="I50" s="287">
        <f>+(I22-H22)*$D4*('Cost per Cell'!$G6+'Cost per Cell'!$G7)</f>
        <v>72800000</v>
      </c>
      <c r="J50" s="287">
        <f>+(J22-I22)*$D4*('Cost per Cell'!$G6+'Cost per Cell'!$G7)</f>
        <v>91000000</v>
      </c>
      <c r="K50" s="287">
        <f>+(K22-J22)*$D4*('Cost per Cell'!$G6+'Cost per Cell'!$G7)</f>
        <v>90999999.999999985</v>
      </c>
      <c r="L50" s="287">
        <f>+(L22-K22)*$D4*('Cost per Cell'!$G6+'Cost per Cell'!$G7)</f>
        <v>91000000.00000003</v>
      </c>
      <c r="M50" s="287">
        <f>+(M22-L22)*$D4*('Cost per Cell'!$G6+'Cost per Cell'!$G7)</f>
        <v>0</v>
      </c>
      <c r="N50" s="287">
        <f>+(N22-M22)*$D4*('Cost per Cell'!$G6+'Cost per Cell'!$G7)</f>
        <v>0</v>
      </c>
      <c r="O50" s="287">
        <f>+(O22-N22)*$D4*('Cost per Cell'!$G6+'Cost per Cell'!$G7)</f>
        <v>0</v>
      </c>
      <c r="P50" s="291">
        <f>+(P22-O22)*$D4*('Cost per Cell'!$G6+'Cost per Cell'!$G7)</f>
        <v>0</v>
      </c>
      <c r="Q50" s="354"/>
      <c r="R50" s="354"/>
    </row>
    <row r="51" spans="1:20" x14ac:dyDescent="0.25">
      <c r="A51" s="330"/>
      <c r="B51" s="331"/>
      <c r="C51" s="332" t="s">
        <v>67</v>
      </c>
      <c r="D51" s="366">
        <f>5000/800</f>
        <v>6.25</v>
      </c>
      <c r="E51" s="334" t="s">
        <v>69</v>
      </c>
      <c r="G51" s="299" t="s">
        <v>133</v>
      </c>
      <c r="H51" s="287"/>
      <c r="I51" s="287">
        <f>+(I23-H23)*$D4*('Cost per Cell'!$E6+'Cost per Cell'!$E7)</f>
        <v>0</v>
      </c>
      <c r="J51" s="287">
        <f>+(J23-I23)*$D4*('Cost per Cell'!$E6+'Cost per Cell'!$E7)</f>
        <v>91000000</v>
      </c>
      <c r="K51" s="287">
        <f>+(K23-J23)*$D4*('Cost per Cell'!$E6+'Cost per Cell'!$E7)</f>
        <v>182000000</v>
      </c>
      <c r="L51" s="287">
        <f>+(L23-K23)*$D4*('Cost per Cell'!$E6+'Cost per Cell'!$E7)</f>
        <v>273000000</v>
      </c>
      <c r="M51" s="287">
        <f>+(M23-L23)*$D4*('Cost per Cell'!$E6+'Cost per Cell'!$E7)</f>
        <v>273000000.00000006</v>
      </c>
      <c r="N51" s="287">
        <f>+(N23-M23)*$D4*('Cost per Cell'!$E6+'Cost per Cell'!$E7)</f>
        <v>90999999.999999985</v>
      </c>
      <c r="O51" s="287">
        <f>+(O23-N23)*$D4*('Cost per Cell'!$E6+'Cost per Cell'!$E7)</f>
        <v>36400000.00000003</v>
      </c>
      <c r="P51" s="291">
        <f>+(P23-O23)*$D4*('Cost per Cell'!$E6+'Cost per Cell'!$E7)</f>
        <v>18200000.000000015</v>
      </c>
      <c r="Q51" s="354"/>
      <c r="R51" s="354"/>
    </row>
    <row r="52" spans="1:20" ht="15.75" thickBot="1" x14ac:dyDescent="0.3">
      <c r="A52" s="330"/>
      <c r="B52" s="337"/>
      <c r="C52" s="338" t="s">
        <v>126</v>
      </c>
      <c r="D52" s="339">
        <f>D50*D51*60*60*24*30*3*D7/8/1000</f>
        <v>729000</v>
      </c>
      <c r="E52" s="340"/>
      <c r="G52" s="300" t="s">
        <v>255</v>
      </c>
      <c r="H52" s="287">
        <f>IF((H24-25%)&gt;0, (H24-25%),0)*$D5*('Cost per Cell'!$O6+'Cost per Cell'!$O7)</f>
        <v>6999999.9999999981</v>
      </c>
      <c r="I52" s="287">
        <f>IF((I24-H24)&gt;0, (I24-H24),0)*$D5*('Cost per Cell'!$O6+'Cost per Cell'!$O7)</f>
        <v>14000000.000000006</v>
      </c>
      <c r="J52" s="287">
        <f>IF((J24-I24)&gt;0, (J24-I24),0)*$D5*('Cost per Cell'!$O6+'Cost per Cell'!$O7)</f>
        <v>13999999.999999996</v>
      </c>
      <c r="K52" s="287">
        <f>IF((K24-J24)&gt;0, (K24-J24),0)*$D5*('Cost per Cell'!$O6+'Cost per Cell'!$O7)</f>
        <v>0</v>
      </c>
      <c r="L52" s="287">
        <f>IF((L24-K24)&gt;0, (L24-K24),0)*$D5*('Cost per Cell'!$O6+'Cost per Cell'!$O7)</f>
        <v>0</v>
      </c>
      <c r="M52" s="287">
        <f>IF((M24-L24)&gt;0, (M24-L24),0)*$D5*('Cost per Cell'!$O6+'Cost per Cell'!$O7)</f>
        <v>0</v>
      </c>
      <c r="N52" s="287">
        <f>IF((N24-M24)&gt;0, (N24-M24),0)*$D5*('Cost per Cell'!$O6+'Cost per Cell'!$O7)</f>
        <v>0</v>
      </c>
      <c r="O52" s="287">
        <f>IF((O24-N24)&gt;0, (O24-N24),0)*$D5*('Cost per Cell'!$O6+'Cost per Cell'!$O7)</f>
        <v>0</v>
      </c>
      <c r="P52" s="291">
        <f>IF((P24-O24)&gt;0, (P24-O24),0)*$D5*('Cost per Cell'!$O6+'Cost per Cell'!$O7)</f>
        <v>0</v>
      </c>
    </row>
    <row r="53" spans="1:20" x14ac:dyDescent="0.25">
      <c r="B53" s="330"/>
      <c r="C53" s="330"/>
      <c r="D53" s="330"/>
      <c r="E53" s="330"/>
      <c r="G53" s="300" t="s">
        <v>256</v>
      </c>
      <c r="H53" s="287">
        <f>IF((H25-0)&gt;0, (H25-0),0)*$D5*('Cost per Cell'!$O6+'Cost per Cell'!$O7)</f>
        <v>0</v>
      </c>
      <c r="I53" s="287">
        <f>IF((I25-H25)&gt;0, (I25-H25),0)*$D5*('Cost per Cell'!$O6+'Cost per Cell'!$O7)</f>
        <v>14000000</v>
      </c>
      <c r="J53" s="287">
        <f>IF((J25-I25)&gt;0, (J25-I25),0)*$D5*('Cost per Cell'!$O6+'Cost per Cell'!$O7)</f>
        <v>14000000</v>
      </c>
      <c r="K53" s="287">
        <f>IF((K25-J25)&gt;0, (K25-J25),0)*$D5*('Cost per Cell'!$O6+'Cost per Cell'!$O7)</f>
        <v>13999999.999999996</v>
      </c>
      <c r="L53" s="287">
        <f>IF((L25-K25)&gt;0, (L25-K25),0)*$D5*('Cost per Cell'!$O6+'Cost per Cell'!$O7)</f>
        <v>42000000</v>
      </c>
      <c r="M53" s="287">
        <f>IF((M25-L25)&gt;0, (M25-L25),0)*$D5*('Cost per Cell'!$O6+'Cost per Cell'!$O7)</f>
        <v>42000000.000000007</v>
      </c>
      <c r="N53" s="287">
        <f>IF((N25-M25)&gt;0, (N25-M25),0)*$D5*('Cost per Cell'!$O6+'Cost per Cell'!$O7)</f>
        <v>41999999.999999993</v>
      </c>
      <c r="O53" s="287">
        <f>IF((O25-N25)&gt;0, (O25-N25),0)*$D5*('Cost per Cell'!$O6+'Cost per Cell'!$O7)</f>
        <v>42000000.000000007</v>
      </c>
      <c r="P53" s="291">
        <f>IF((P25-O25)&gt;0, (P25-O25),0)*$D5*('Cost per Cell'!$O6+'Cost per Cell'!$O7)</f>
        <v>42000000.000000007</v>
      </c>
    </row>
    <row r="54" spans="1:20" x14ac:dyDescent="0.25">
      <c r="B54" s="330"/>
      <c r="C54" s="330"/>
      <c r="D54" s="330"/>
      <c r="E54" s="330"/>
      <c r="G54" s="297" t="s">
        <v>129</v>
      </c>
      <c r="H54" s="287">
        <f>IF((H26-0)&gt;0, (H26-0),0)*$D5*('Cost per Cell'!$I6+'Cost per Cell'!$I7)</f>
        <v>2200000</v>
      </c>
      <c r="I54" s="287">
        <f>IF((I26-H26)&gt;0, (I26-H26),0)*$D5*('Cost per Cell'!$I6+'Cost per Cell'!$I7)</f>
        <v>19800000.000000004</v>
      </c>
      <c r="J54" s="287">
        <f>IF((J26-I26)&gt;0, (J26-I26),0)*$D5*('Cost per Cell'!$I6+'Cost per Cell'!$I7)</f>
        <v>22000000</v>
      </c>
      <c r="K54" s="287">
        <f>IF((K26-J26)&gt;0, (K26-J26),0)*$D5*('Cost per Cell'!$I6+'Cost per Cell'!$I7)</f>
        <v>21999999.999999996</v>
      </c>
      <c r="L54" s="287">
        <f>IF((L26-K26)&gt;0, (L26-K26),0)*$D5*('Cost per Cell'!$I6+'Cost per Cell'!$I7)</f>
        <v>44000000.000000007</v>
      </c>
      <c r="M54" s="287">
        <f>IF((M26-L26)&gt;0, (M26-L26),0)*$D5*('Cost per Cell'!$I6+'Cost per Cell'!$I7)</f>
        <v>66000000</v>
      </c>
      <c r="N54" s="287">
        <f>IF((N26-M26)&gt;0, (N26-M26),0)*$D5*('Cost per Cell'!$I6+'Cost per Cell'!$I7)</f>
        <v>87999999.999999985</v>
      </c>
      <c r="O54" s="287">
        <f>IF((O26-N26)&gt;0, (O26-N26),0)*$D5*('Cost per Cell'!$I6+'Cost per Cell'!$I7)</f>
        <v>132000000</v>
      </c>
      <c r="P54" s="291">
        <f>IF((P26-O26)&gt;0, (P26-O26),0)*$D5*('Cost per Cell'!$I6+'Cost per Cell'!$I7)</f>
        <v>132000000</v>
      </c>
      <c r="Q54" s="354"/>
      <c r="R54" s="354"/>
    </row>
    <row r="55" spans="1:20" x14ac:dyDescent="0.25">
      <c r="B55" s="330"/>
      <c r="C55" s="330"/>
      <c r="D55" s="330"/>
      <c r="E55" s="330"/>
      <c r="G55" s="294" t="s">
        <v>47</v>
      </c>
      <c r="H55" s="288"/>
      <c r="I55" s="288"/>
      <c r="J55" s="288"/>
      <c r="K55" s="288"/>
      <c r="L55" s="288"/>
      <c r="M55" s="288"/>
      <c r="N55" s="288"/>
      <c r="O55" s="288"/>
      <c r="P55" s="289"/>
      <c r="Q55" s="354"/>
      <c r="R55" s="354"/>
    </row>
    <row r="56" spans="1:20" x14ac:dyDescent="0.25">
      <c r="B56" s="330"/>
      <c r="C56" s="372"/>
      <c r="D56" s="330"/>
      <c r="E56" s="330"/>
      <c r="G56" s="299" t="s">
        <v>121</v>
      </c>
      <c r="H56" s="292">
        <f>$D4*H17*SUM('Cost per Cell'!$M11:$M14)*12</f>
        <v>478764000</v>
      </c>
      <c r="I56" s="292">
        <f>$D4*I17*SUM('Cost per Cell'!$M11:$M14)*12</f>
        <v>489403200</v>
      </c>
      <c r="J56" s="292">
        <f>$D4*J17*SUM('Cost per Cell'!$M11:$M14)*12</f>
        <v>500042400</v>
      </c>
      <c r="K56" s="292">
        <f>$D4*K17*SUM('Cost per Cell'!$M11:$M14)*12</f>
        <v>510681600</v>
      </c>
      <c r="L56" s="292">
        <f>$D4*L17*SUM('Cost per Cell'!$M11:$M14)*12</f>
        <v>521320800</v>
      </c>
      <c r="M56" s="292">
        <f>$D4*M17*SUM('Cost per Cell'!$M11:$M14)*12</f>
        <v>531960000</v>
      </c>
      <c r="N56" s="292">
        <f>$D4*N17*SUM('Cost per Cell'!$M11:$M14)*12</f>
        <v>542599200</v>
      </c>
      <c r="O56" s="292">
        <f>$D4*O17*SUM('Cost per Cell'!$M11:$M14)*12</f>
        <v>553238400</v>
      </c>
      <c r="P56" s="293">
        <f>$D4*P17*SUM('Cost per Cell'!$M11:$M14)*12</f>
        <v>563877600</v>
      </c>
      <c r="Q56" s="354"/>
      <c r="R56" s="354"/>
    </row>
    <row r="57" spans="1:20" x14ac:dyDescent="0.25">
      <c r="B57" s="330"/>
      <c r="C57" s="330"/>
      <c r="D57" s="373"/>
      <c r="E57" s="330"/>
      <c r="G57" s="299" t="s">
        <v>122</v>
      </c>
      <c r="H57" s="292">
        <f>$D4*H18*SUM('Cost per Cell'!$M11:$M14)*12</f>
        <v>526640400</v>
      </c>
      <c r="I57" s="292">
        <f>$D4*I18*SUM('Cost per Cell'!$M11:$M14)*12</f>
        <v>526640400</v>
      </c>
      <c r="J57" s="292">
        <f>$D4*J18*SUM('Cost per Cell'!$M11:$M14)*12</f>
        <v>526640400</v>
      </c>
      <c r="K57" s="292">
        <f>$D4*K18*SUM('Cost per Cell'!$M11:$M14)*12</f>
        <v>526640400</v>
      </c>
      <c r="L57" s="292">
        <f>$D4*L18*SUM('Cost per Cell'!$M11:$M14)*12</f>
        <v>526640400</v>
      </c>
      <c r="M57" s="292">
        <f>$D4*M18*SUM('Cost per Cell'!$M11:$M14)*12</f>
        <v>531960000</v>
      </c>
      <c r="N57" s="292">
        <f>$D4*N18*SUM('Cost per Cell'!$M11:$M14)*12</f>
        <v>542599200</v>
      </c>
      <c r="O57" s="292">
        <f>$D4*O18*SUM('Cost per Cell'!$M11:$M14)*12</f>
        <v>553238400</v>
      </c>
      <c r="P57" s="293">
        <f>$D4*P18*SUM('Cost per Cell'!$M11:$M14)*12</f>
        <v>563877600</v>
      </c>
      <c r="Q57" s="374"/>
      <c r="R57" s="374"/>
      <c r="S57" s="374"/>
      <c r="T57" s="374"/>
    </row>
    <row r="58" spans="1:20" x14ac:dyDescent="0.25">
      <c r="B58" s="330"/>
      <c r="C58" s="330"/>
      <c r="D58" s="373"/>
      <c r="E58" s="330"/>
      <c r="G58" s="299" t="s">
        <v>132</v>
      </c>
      <c r="H58" s="292">
        <f>$D4*H22*SUM('Cost per Cell'!$G11:$G14)*12</f>
        <v>10205520</v>
      </c>
      <c r="I58" s="292">
        <f>$D4*I22*SUM('Cost per Cell'!$G11:$G14)*12</f>
        <v>51027600</v>
      </c>
      <c r="J58" s="292">
        <f>$D4*J22*SUM('Cost per Cell'!$G11:$G14)*12</f>
        <v>102055200</v>
      </c>
      <c r="K58" s="292">
        <f>$D4*K22*SUM('Cost per Cell'!$G11:$G14)*12</f>
        <v>153082800</v>
      </c>
      <c r="L58" s="292">
        <f>$D4*L22*SUM('Cost per Cell'!$G11:$G14)*12</f>
        <v>204110400</v>
      </c>
      <c r="M58" s="292">
        <f>$D4*M22*SUM('Cost per Cell'!$G11:$G14)*12</f>
        <v>204110400</v>
      </c>
      <c r="N58" s="292">
        <f>$D4*N22*SUM('Cost per Cell'!$G11:$G14)*12</f>
        <v>204110400</v>
      </c>
      <c r="O58" s="292">
        <f>$D4*O22*SUM('Cost per Cell'!$G11:$G14)*12</f>
        <v>204110400</v>
      </c>
      <c r="P58" s="293">
        <f>$D4*P22*SUM('Cost per Cell'!$G11:$G14)*12</f>
        <v>204110400</v>
      </c>
      <c r="Q58" s="354"/>
      <c r="R58" s="354"/>
    </row>
    <row r="59" spans="1:20" x14ac:dyDescent="0.25">
      <c r="B59" s="330"/>
      <c r="C59" s="330"/>
      <c r="D59" s="375"/>
      <c r="E59" s="330"/>
      <c r="G59" s="299" t="s">
        <v>133</v>
      </c>
      <c r="H59" s="292">
        <f>$D4*H23*SUM('Cost per Cell'!$E11:$E14)*12</f>
        <v>0</v>
      </c>
      <c r="I59" s="292">
        <f>$D4*I23*SUM('Cost per Cell'!$E11:$E14)*12</f>
        <v>0</v>
      </c>
      <c r="J59" s="292">
        <f>$D4*J23*SUM('Cost per Cell'!$E11:$E14)*12</f>
        <v>53430000</v>
      </c>
      <c r="K59" s="292">
        <f>$D4*K23*SUM('Cost per Cell'!$E11:$E14)*12</f>
        <v>160290000</v>
      </c>
      <c r="L59" s="292">
        <f>$D4*L23*SUM('Cost per Cell'!$E11:$E14)*12</f>
        <v>320580000</v>
      </c>
      <c r="M59" s="292">
        <f>$D4*M23*SUM('Cost per Cell'!$E11:$E14)*12</f>
        <v>480870000</v>
      </c>
      <c r="N59" s="292">
        <f>$D4*N23*SUM('Cost per Cell'!$E11:$E14)*12</f>
        <v>534300000</v>
      </c>
      <c r="O59" s="292">
        <f>$D4*O23*SUM('Cost per Cell'!$E11:$E14)*12</f>
        <v>555672000</v>
      </c>
      <c r="P59" s="293">
        <f>$D4*P23*SUM('Cost per Cell'!$E11:$E14)*12</f>
        <v>566358000</v>
      </c>
      <c r="Q59" s="354"/>
      <c r="R59" s="354"/>
    </row>
    <row r="60" spans="1:20" x14ac:dyDescent="0.25">
      <c r="B60" s="330"/>
      <c r="C60" s="330"/>
      <c r="D60" s="330"/>
      <c r="E60" s="330"/>
      <c r="G60" s="300" t="s">
        <v>255</v>
      </c>
      <c r="H60" s="292">
        <f>$D5*H24*SUM('Cost per Cell'!$O11:$O14)*12</f>
        <v>36979200</v>
      </c>
      <c r="I60" s="292">
        <f>$D5*I24*SUM('Cost per Cell'!$O11:$O14)*12</f>
        <v>49305600</v>
      </c>
      <c r="J60" s="292">
        <f>$D5*J24*SUM('Cost per Cell'!$O11:$O14)*12</f>
        <v>61632000</v>
      </c>
      <c r="K60" s="292">
        <f>$D5*K24*SUM('Cost per Cell'!$O11:$O14)*12</f>
        <v>36979200</v>
      </c>
      <c r="L60" s="292">
        <f>$D5*L24*SUM('Cost per Cell'!$O11:$O14)*12</f>
        <v>12326400</v>
      </c>
      <c r="M60" s="292">
        <f>$D5*M24*SUM('Cost per Cell'!$O11:$O14)*12</f>
        <v>0</v>
      </c>
      <c r="N60" s="292">
        <f>$D5*N24*SUM('Cost per Cell'!$O11:$O14)*12</f>
        <v>0</v>
      </c>
      <c r="O60" s="292">
        <f>$D5*O24*SUM('Cost per Cell'!$O11:$O14)*12</f>
        <v>0</v>
      </c>
      <c r="P60" s="293">
        <f>$D5*P24*SUM('Cost per Cell'!$O11:$O14)*12</f>
        <v>0</v>
      </c>
      <c r="Q60" s="354"/>
      <c r="R60" s="354"/>
    </row>
    <row r="61" spans="1:20" x14ac:dyDescent="0.25">
      <c r="G61" s="300" t="s">
        <v>256</v>
      </c>
      <c r="H61" s="292">
        <f>$D5*H25*SUM('Cost per Cell'!$O11:$O14)*12</f>
        <v>0</v>
      </c>
      <c r="I61" s="292">
        <f>$D5*I25*SUM('Cost per Cell'!$O11:$O14)*12</f>
        <v>12326400</v>
      </c>
      <c r="J61" s="292">
        <f>$D5*J25*SUM('Cost per Cell'!$O11:$O14)*12</f>
        <v>24652800</v>
      </c>
      <c r="K61" s="292">
        <f>$D5*K25*SUM('Cost per Cell'!$O11:$O14)*12</f>
        <v>36979200</v>
      </c>
      <c r="L61" s="292">
        <f>$D5*L25*SUM('Cost per Cell'!$O11:$O14)*12</f>
        <v>73958400</v>
      </c>
      <c r="M61" s="292">
        <f>$D5*M25*SUM('Cost per Cell'!$O11:$O14)*12</f>
        <v>110937600</v>
      </c>
      <c r="N61" s="292">
        <f>$D5*N25*SUM('Cost per Cell'!$O11:$O14)*12</f>
        <v>147916800</v>
      </c>
      <c r="O61" s="292">
        <f>$D5*O25*SUM('Cost per Cell'!$O11:$O14)*12</f>
        <v>184896000</v>
      </c>
      <c r="P61" s="293">
        <f>$D5*P25*SUM('Cost per Cell'!$O11:$O14)*12</f>
        <v>221875200</v>
      </c>
      <c r="Q61" s="354"/>
      <c r="R61" s="354"/>
    </row>
    <row r="62" spans="1:20" x14ac:dyDescent="0.25">
      <c r="G62" s="297" t="s">
        <v>129</v>
      </c>
      <c r="H62" s="292">
        <f>$D5*H26*SUM('Cost per Cell'!$I11:$I14)*12</f>
        <v>822000</v>
      </c>
      <c r="I62" s="292">
        <f>$D5*I26*SUM('Cost per Cell'!$I11:$I14)*12</f>
        <v>8220000</v>
      </c>
      <c r="J62" s="292">
        <f>$D5*J26*SUM('Cost per Cell'!$I11:$I14)*12</f>
        <v>16440000</v>
      </c>
      <c r="K62" s="292">
        <f>$D5*K26*SUM('Cost per Cell'!$I11:$I14)*12</f>
        <v>24660000</v>
      </c>
      <c r="L62" s="292">
        <f>$D5*L26*SUM('Cost per Cell'!$I11:$I14)*12</f>
        <v>41100000</v>
      </c>
      <c r="M62" s="292">
        <f>$D5*M26*SUM('Cost per Cell'!$I11:$I14)*12</f>
        <v>65760000</v>
      </c>
      <c r="N62" s="292">
        <f>$D5*N26*SUM('Cost per Cell'!$I11:$I14)*12</f>
        <v>98640000</v>
      </c>
      <c r="O62" s="292">
        <f>$D5*O26*SUM('Cost per Cell'!$I11:$I14)*12</f>
        <v>147960000</v>
      </c>
      <c r="P62" s="293">
        <f>$D5*P26*SUM('Cost per Cell'!$I11:$I14)*12</f>
        <v>197280000</v>
      </c>
      <c r="Q62" s="354"/>
      <c r="R62" s="354"/>
    </row>
    <row r="63" spans="1:20" ht="15.75" thickBot="1" x14ac:dyDescent="0.3">
      <c r="G63" s="301" t="s">
        <v>12</v>
      </c>
      <c r="H63" s="302">
        <f t="shared" ref="H63:P63" si="16">SUM(H44:H62)</f>
        <v>2091857488.3890576</v>
      </c>
      <c r="I63" s="302">
        <f t="shared" si="16"/>
        <v>10535623200</v>
      </c>
      <c r="J63" s="302">
        <f t="shared" si="16"/>
        <v>1528592800</v>
      </c>
      <c r="K63" s="302">
        <f t="shared" si="16"/>
        <v>1770013200</v>
      </c>
      <c r="L63" s="302">
        <f t="shared" si="16"/>
        <v>2161736400</v>
      </c>
      <c r="M63" s="302">
        <f t="shared" si="16"/>
        <v>2324148000</v>
      </c>
      <c r="N63" s="302">
        <f t="shared" si="16"/>
        <v>2314565600</v>
      </c>
      <c r="O63" s="302">
        <f t="shared" si="16"/>
        <v>2432915200</v>
      </c>
      <c r="P63" s="303">
        <f t="shared" si="16"/>
        <v>2532978800</v>
      </c>
      <c r="Q63" s="354"/>
      <c r="R63" s="354"/>
    </row>
    <row r="64" spans="1:20" x14ac:dyDescent="0.25">
      <c r="G64" s="354"/>
      <c r="H64" s="354"/>
      <c r="I64" s="354"/>
      <c r="J64" s="354"/>
      <c r="K64" s="354"/>
      <c r="L64" s="354"/>
      <c r="M64" s="354"/>
      <c r="N64" s="354"/>
      <c r="O64" s="354"/>
      <c r="P64" s="354"/>
      <c r="Q64" s="354"/>
      <c r="R64" s="354"/>
    </row>
    <row r="65" spans="7:18" ht="15.75" thickBot="1" x14ac:dyDescent="0.3">
      <c r="G65" s="354"/>
      <c r="H65" s="354"/>
      <c r="I65" s="354"/>
      <c r="J65" s="354"/>
      <c r="K65" s="354"/>
      <c r="L65" s="354"/>
      <c r="M65" s="354"/>
      <c r="N65" s="354"/>
      <c r="O65" s="354"/>
      <c r="P65" s="354"/>
      <c r="Q65" s="354"/>
      <c r="R65" s="354"/>
    </row>
    <row r="66" spans="7:18" x14ac:dyDescent="0.25">
      <c r="G66" s="347" t="s">
        <v>100</v>
      </c>
      <c r="H66" s="348" t="s">
        <v>8</v>
      </c>
      <c r="I66" s="348" t="s">
        <v>0</v>
      </c>
      <c r="J66" s="348" t="s">
        <v>1</v>
      </c>
      <c r="K66" s="348" t="s">
        <v>2</v>
      </c>
      <c r="L66" s="348" t="s">
        <v>3</v>
      </c>
      <c r="M66" s="348" t="s">
        <v>4</v>
      </c>
      <c r="N66" s="348" t="s">
        <v>5</v>
      </c>
      <c r="O66" s="348" t="s">
        <v>6</v>
      </c>
      <c r="P66" s="349" t="s">
        <v>7</v>
      </c>
      <c r="Q66" s="354"/>
      <c r="R66" s="354"/>
    </row>
    <row r="67" spans="7:18" x14ac:dyDescent="0.25">
      <c r="G67" s="377" t="s">
        <v>16</v>
      </c>
      <c r="H67" s="378">
        <f>140/3.2</f>
        <v>43.75</v>
      </c>
      <c r="I67" s="378">
        <f>H67*1.02</f>
        <v>44.625</v>
      </c>
      <c r="J67" s="378">
        <f t="shared" ref="J67:P67" si="17">I67*1.02</f>
        <v>45.517499999999998</v>
      </c>
      <c r="K67" s="378">
        <f t="shared" si="17"/>
        <v>46.427849999999999</v>
      </c>
      <c r="L67" s="378">
        <f t="shared" si="17"/>
        <v>47.356406999999997</v>
      </c>
      <c r="M67" s="378">
        <f t="shared" si="17"/>
        <v>48.303535140000001</v>
      </c>
      <c r="N67" s="378">
        <f t="shared" si="17"/>
        <v>49.269605842800004</v>
      </c>
      <c r="O67" s="378">
        <f t="shared" si="17"/>
        <v>50.254997959656002</v>
      </c>
      <c r="P67" s="379">
        <f t="shared" si="17"/>
        <v>51.260097918849127</v>
      </c>
      <c r="Q67" s="354"/>
      <c r="R67" s="354"/>
    </row>
    <row r="68" spans="7:18" ht="15.75" thickBot="1" x14ac:dyDescent="0.3">
      <c r="G68" s="380" t="s">
        <v>104</v>
      </c>
      <c r="H68" s="381">
        <f t="shared" ref="H68:P68" si="18">H12*H67*12</f>
        <v>14189175000</v>
      </c>
      <c r="I68" s="381">
        <f t="shared" si="18"/>
        <v>14762417670</v>
      </c>
      <c r="J68" s="381">
        <f t="shared" si="18"/>
        <v>15352914376.799999</v>
      </c>
      <c r="K68" s="381">
        <f t="shared" si="18"/>
        <v>15961125984.803999</v>
      </c>
      <c r="L68" s="381">
        <f t="shared" si="18"/>
        <v>16587524891.377441</v>
      </c>
      <c r="M68" s="381">
        <f t="shared" si="18"/>
        <v>17232595303.819901</v>
      </c>
      <c r="N68" s="381">
        <f t="shared" si="18"/>
        <v>17896833522.803505</v>
      </c>
      <c r="O68" s="381">
        <f t="shared" si="18"/>
        <v>18580748232.424915</v>
      </c>
      <c r="P68" s="382">
        <f t="shared" si="18"/>
        <v>19284860797.022076</v>
      </c>
      <c r="Q68" s="354"/>
      <c r="R68" s="354"/>
    </row>
    <row r="69" spans="7:18" x14ac:dyDescent="0.25">
      <c r="G69" s="354"/>
      <c r="H69" s="354"/>
      <c r="I69" s="354"/>
      <c r="J69" s="354"/>
      <c r="K69" s="354"/>
      <c r="L69" s="354"/>
      <c r="M69" s="354"/>
      <c r="N69" s="354"/>
      <c r="O69" s="354"/>
      <c r="P69" s="354"/>
      <c r="Q69" s="354"/>
      <c r="R69" s="354"/>
    </row>
    <row r="70" spans="7:18" ht="15.75" thickBot="1" x14ac:dyDescent="0.3">
      <c r="G70" s="354"/>
      <c r="H70" s="354"/>
      <c r="I70" s="354"/>
      <c r="J70" s="354"/>
      <c r="K70" s="354"/>
      <c r="L70" s="354"/>
      <c r="M70" s="354"/>
      <c r="N70" s="354"/>
      <c r="O70" s="354"/>
      <c r="P70" s="354"/>
      <c r="Q70" s="354"/>
      <c r="R70" s="354"/>
    </row>
    <row r="71" spans="7:18" x14ac:dyDescent="0.25">
      <c r="G71" s="347" t="s">
        <v>105</v>
      </c>
      <c r="H71" s="348" t="s">
        <v>8</v>
      </c>
      <c r="I71" s="348" t="s">
        <v>0</v>
      </c>
      <c r="J71" s="348" t="s">
        <v>1</v>
      </c>
      <c r="K71" s="348" t="s">
        <v>2</v>
      </c>
      <c r="L71" s="348" t="s">
        <v>3</v>
      </c>
      <c r="M71" s="348" t="s">
        <v>4</v>
      </c>
      <c r="N71" s="348" t="s">
        <v>5</v>
      </c>
      <c r="O71" s="348" t="s">
        <v>6</v>
      </c>
      <c r="P71" s="349" t="s">
        <v>7</v>
      </c>
      <c r="Q71" s="354"/>
      <c r="R71" s="354"/>
    </row>
    <row r="72" spans="7:18" x14ac:dyDescent="0.25">
      <c r="G72" s="377" t="s">
        <v>107</v>
      </c>
      <c r="H72" s="383">
        <f t="shared" ref="H72:P72" si="19">+H68</f>
        <v>14189175000</v>
      </c>
      <c r="I72" s="383">
        <f t="shared" si="19"/>
        <v>14762417670</v>
      </c>
      <c r="J72" s="383">
        <f t="shared" si="19"/>
        <v>15352914376.799999</v>
      </c>
      <c r="K72" s="383">
        <f t="shared" si="19"/>
        <v>15961125984.803999</v>
      </c>
      <c r="L72" s="383">
        <f t="shared" si="19"/>
        <v>16587524891.377441</v>
      </c>
      <c r="M72" s="383">
        <f t="shared" si="19"/>
        <v>17232595303.819901</v>
      </c>
      <c r="N72" s="383">
        <f t="shared" si="19"/>
        <v>17896833522.803505</v>
      </c>
      <c r="O72" s="383">
        <f t="shared" si="19"/>
        <v>18580748232.424915</v>
      </c>
      <c r="P72" s="384">
        <f t="shared" si="19"/>
        <v>19284860797.022076</v>
      </c>
      <c r="Q72" s="354"/>
      <c r="R72" s="354"/>
    </row>
    <row r="73" spans="7:18" x14ac:dyDescent="0.25">
      <c r="G73" s="377" t="s">
        <v>288</v>
      </c>
      <c r="H73" s="383">
        <f t="shared" ref="H73:P73" si="20">H63</f>
        <v>2091857488.3890576</v>
      </c>
      <c r="I73" s="383">
        <f t="shared" si="20"/>
        <v>10535623200</v>
      </c>
      <c r="J73" s="383">
        <f t="shared" si="20"/>
        <v>1528592800</v>
      </c>
      <c r="K73" s="383">
        <f t="shared" si="20"/>
        <v>1770013200</v>
      </c>
      <c r="L73" s="383">
        <f t="shared" si="20"/>
        <v>2161736400</v>
      </c>
      <c r="M73" s="383">
        <f t="shared" si="20"/>
        <v>2324148000</v>
      </c>
      <c r="N73" s="383">
        <f t="shared" si="20"/>
        <v>2314565600</v>
      </c>
      <c r="O73" s="383">
        <f t="shared" si="20"/>
        <v>2432915200</v>
      </c>
      <c r="P73" s="384">
        <f t="shared" si="20"/>
        <v>2532978800</v>
      </c>
      <c r="Q73" s="354"/>
      <c r="R73" s="354"/>
    </row>
    <row r="74" spans="7:18" x14ac:dyDescent="0.25">
      <c r="G74" s="377" t="s">
        <v>257</v>
      </c>
      <c r="H74" s="383">
        <f>H72*0.25</f>
        <v>3547293750</v>
      </c>
      <c r="I74" s="383">
        <f t="shared" ref="I74:P74" si="21">I72*0.25</f>
        <v>3690604417.5</v>
      </c>
      <c r="J74" s="383">
        <f t="shared" si="21"/>
        <v>3838228594.1999998</v>
      </c>
      <c r="K74" s="383">
        <f t="shared" si="21"/>
        <v>3990281496.2009997</v>
      </c>
      <c r="L74" s="383">
        <f t="shared" si="21"/>
        <v>4146881222.8443604</v>
      </c>
      <c r="M74" s="383">
        <f t="shared" si="21"/>
        <v>4308148825.9549751</v>
      </c>
      <c r="N74" s="383">
        <f t="shared" si="21"/>
        <v>4474208380.7008762</v>
      </c>
      <c r="O74" s="383">
        <f t="shared" si="21"/>
        <v>4645187058.1062288</v>
      </c>
      <c r="P74" s="384">
        <f t="shared" si="21"/>
        <v>4821215199.2555189</v>
      </c>
      <c r="Q74" s="354"/>
    </row>
    <row r="75" spans="7:18" ht="15.75" thickBot="1" x14ac:dyDescent="0.3">
      <c r="G75" s="380" t="s">
        <v>9</v>
      </c>
      <c r="H75" s="381">
        <f t="shared" ref="H75:P75" si="22">H72-H74-H73</f>
        <v>8550023761.6109428</v>
      </c>
      <c r="I75" s="381">
        <f t="shared" si="22"/>
        <v>536190052.5</v>
      </c>
      <c r="J75" s="381">
        <f t="shared" si="22"/>
        <v>9986092982.5999985</v>
      </c>
      <c r="K75" s="381">
        <f t="shared" si="22"/>
        <v>10200831288.602999</v>
      </c>
      <c r="L75" s="381">
        <f t="shared" si="22"/>
        <v>10278907268.533081</v>
      </c>
      <c r="M75" s="381">
        <f t="shared" si="22"/>
        <v>10600298477.864925</v>
      </c>
      <c r="N75" s="381">
        <f t="shared" si="22"/>
        <v>11108059542.102629</v>
      </c>
      <c r="O75" s="381">
        <f t="shared" si="22"/>
        <v>11502645974.318687</v>
      </c>
      <c r="P75" s="382">
        <f t="shared" si="22"/>
        <v>11930666797.766556</v>
      </c>
      <c r="Q75" s="354"/>
      <c r="R75" s="354"/>
    </row>
    <row r="76" spans="7:18" ht="15.75" thickBot="1" x14ac:dyDescent="0.3">
      <c r="G76" s="354"/>
      <c r="H76" s="354"/>
      <c r="I76" s="354"/>
      <c r="J76" s="354"/>
      <c r="K76" s="354"/>
      <c r="L76" s="354"/>
      <c r="M76" s="354"/>
      <c r="N76" s="354"/>
      <c r="O76" s="354"/>
      <c r="P76" s="354"/>
      <c r="Q76" s="354"/>
      <c r="R76" s="354"/>
    </row>
    <row r="77" spans="7:18" x14ac:dyDescent="0.25">
      <c r="G77" s="385" t="s">
        <v>108</v>
      </c>
      <c r="H77" s="386">
        <f>NPV(0.1,H75:P75)</f>
        <v>51177898023.648125</v>
      </c>
      <c r="I77" s="354"/>
      <c r="J77" s="354"/>
      <c r="K77" s="354"/>
      <c r="L77" s="354"/>
      <c r="M77" s="354"/>
      <c r="N77" s="354"/>
      <c r="O77" s="354"/>
      <c r="P77" s="354"/>
      <c r="Q77" s="354"/>
      <c r="R77" s="354"/>
    </row>
    <row r="78" spans="7:18" ht="15.75" thickBot="1" x14ac:dyDescent="0.3">
      <c r="G78" s="387" t="s">
        <v>109</v>
      </c>
      <c r="H78" s="388" t="str">
        <f>IFERROR(IRR(H75:P75,-99%), "N/A")</f>
        <v>N/A</v>
      </c>
      <c r="I78" s="354"/>
      <c r="J78" s="354"/>
      <c r="K78" s="354"/>
      <c r="L78" s="354"/>
      <c r="M78" s="354"/>
      <c r="N78" s="354"/>
      <c r="O78" s="354"/>
      <c r="P78" s="354"/>
      <c r="Q78" s="354"/>
    </row>
    <row r="79" spans="7:18" x14ac:dyDescent="0.25">
      <c r="G79" s="354"/>
      <c r="H79" s="354"/>
      <c r="I79" s="354"/>
      <c r="J79" s="354"/>
      <c r="K79" s="354"/>
      <c r="L79" s="354"/>
      <c r="M79" s="354"/>
      <c r="N79" s="354"/>
      <c r="O79" s="354"/>
      <c r="P79" s="354"/>
      <c r="Q79" s="354"/>
      <c r="R79" s="354"/>
    </row>
    <row r="80" spans="7:18" x14ac:dyDescent="0.25">
      <c r="G80" s="354"/>
      <c r="H80" s="354"/>
      <c r="I80" s="354"/>
      <c r="J80" s="354"/>
      <c r="K80" s="354"/>
      <c r="L80" s="354"/>
      <c r="M80" s="354"/>
      <c r="N80" s="354"/>
      <c r="O80" s="354"/>
      <c r="P80" s="354"/>
      <c r="Q80" s="354"/>
      <c r="R80" s="354"/>
    </row>
  </sheetData>
  <sheetProtection algorithmName="SHA-512" hashValue="v7luWE6Jyzwh/+HPoUduz8hCBwRr74s2LYijl0YECsqDqBoFd4RoZuzeCgOBZZf2WfPhLHaKm4Ged7c5ptiuJg==" saltValue="ua363s0nHieMl3w8bW4SFA==" spinCount="100000" sheet="1" objects="1" scenarios="1"/>
  <conditionalFormatting sqref="A1:XFD1048576">
    <cfRule type="expression" dxfId="10" priority="1">
      <formula>"a1&lt;0"</formula>
    </cfRule>
  </conditionalFormatting>
  <pageMargins left="0.7" right="0.7" top="0.75" bottom="0.75" header="0.3" footer="0.3"/>
  <pageSetup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80"/>
  <sheetViews>
    <sheetView zoomScale="76" zoomScaleNormal="76" workbookViewId="0">
      <selection activeCell="A3" sqref="A3"/>
    </sheetView>
  </sheetViews>
  <sheetFormatPr defaultColWidth="8.85546875" defaultRowHeight="15" x14ac:dyDescent="0.25"/>
  <cols>
    <col min="1" max="2" width="8.85546875" style="318"/>
    <col min="3" max="3" width="24.28515625" style="318" customWidth="1"/>
    <col min="4" max="4" width="14" style="318" bestFit="1" customWidth="1"/>
    <col min="5" max="5" width="11.7109375" style="318" customWidth="1"/>
    <col min="6" max="6" width="8.85546875" style="318"/>
    <col min="7" max="7" width="31.28515625" style="318" customWidth="1"/>
    <col min="8" max="8" width="18.7109375" style="318" bestFit="1" customWidth="1"/>
    <col min="9" max="16" width="15.7109375" style="318" bestFit="1" customWidth="1"/>
    <col min="17" max="16384" width="8.85546875" style="318"/>
  </cols>
  <sheetData>
    <row r="1" spans="1:16" x14ac:dyDescent="0.25">
      <c r="A1" s="317" t="s">
        <v>300</v>
      </c>
    </row>
    <row r="2" spans="1:16" x14ac:dyDescent="0.25">
      <c r="A2" s="318" t="s">
        <v>112</v>
      </c>
    </row>
    <row r="3" spans="1:16" x14ac:dyDescent="0.25">
      <c r="B3" s="318" t="s">
        <v>155</v>
      </c>
    </row>
    <row r="4" spans="1:16" x14ac:dyDescent="0.25">
      <c r="C4" s="318" t="s">
        <v>113</v>
      </c>
      <c r="D4" s="319">
        <f>'3.  USA OVERALL'!C5*0.25</f>
        <v>16250</v>
      </c>
      <c r="E4" s="318" t="s">
        <v>145</v>
      </c>
    </row>
    <row r="5" spans="1:16" x14ac:dyDescent="0.25">
      <c r="C5" s="318" t="s">
        <v>144</v>
      </c>
      <c r="D5" s="320">
        <v>10000</v>
      </c>
      <c r="E5" s="318" t="s">
        <v>145</v>
      </c>
    </row>
    <row r="6" spans="1:16" x14ac:dyDescent="0.25">
      <c r="C6" s="318" t="s">
        <v>93</v>
      </c>
      <c r="D6" s="319">
        <v>86872500</v>
      </c>
      <c r="E6" s="318" t="s">
        <v>250</v>
      </c>
    </row>
    <row r="7" spans="1:16" x14ac:dyDescent="0.25">
      <c r="C7" s="318" t="s">
        <v>303</v>
      </c>
      <c r="D7" s="321">
        <v>0.15</v>
      </c>
      <c r="E7" s="318" t="s">
        <v>251</v>
      </c>
    </row>
    <row r="8" spans="1:16" ht="15.75" thickBot="1" x14ac:dyDescent="0.3">
      <c r="H8" s="322">
        <v>2019</v>
      </c>
      <c r="I8" s="322">
        <v>2020</v>
      </c>
      <c r="J8" s="322">
        <v>2021</v>
      </c>
      <c r="K8" s="322">
        <v>2022</v>
      </c>
      <c r="L8" s="322">
        <v>2023</v>
      </c>
      <c r="M8" s="322">
        <v>2024</v>
      </c>
      <c r="N8" s="322">
        <v>2025</v>
      </c>
      <c r="O8" s="322">
        <v>2026</v>
      </c>
      <c r="P8" s="322">
        <v>2027</v>
      </c>
    </row>
    <row r="9" spans="1:16" s="317" customFormat="1" x14ac:dyDescent="0.25">
      <c r="A9" s="323"/>
      <c r="B9" s="324" t="s">
        <v>142</v>
      </c>
      <c r="C9" s="325"/>
      <c r="D9" s="325"/>
      <c r="E9" s="326"/>
      <c r="G9" s="327" t="s">
        <v>88</v>
      </c>
      <c r="H9" s="328" t="s">
        <v>8</v>
      </c>
      <c r="I9" s="328" t="s">
        <v>0</v>
      </c>
      <c r="J9" s="328" t="s">
        <v>1</v>
      </c>
      <c r="K9" s="328" t="s">
        <v>2</v>
      </c>
      <c r="L9" s="328" t="s">
        <v>3</v>
      </c>
      <c r="M9" s="328" t="s">
        <v>4</v>
      </c>
      <c r="N9" s="328" t="s">
        <v>5</v>
      </c>
      <c r="O9" s="328" t="s">
        <v>6</v>
      </c>
      <c r="P9" s="329" t="s">
        <v>7</v>
      </c>
    </row>
    <row r="10" spans="1:16" x14ac:dyDescent="0.25">
      <c r="A10" s="330"/>
      <c r="B10" s="331"/>
      <c r="C10" s="332" t="s">
        <v>154</v>
      </c>
      <c r="D10" s="333">
        <v>0</v>
      </c>
      <c r="E10" s="334" t="s">
        <v>68</v>
      </c>
      <c r="G10" s="335" t="s">
        <v>15</v>
      </c>
      <c r="H10" s="306">
        <v>13</v>
      </c>
      <c r="I10" s="306">
        <f>H10*1.4</f>
        <v>18.2</v>
      </c>
      <c r="J10" s="306">
        <f>I10*1.4</f>
        <v>25.479999999999997</v>
      </c>
      <c r="K10" s="306">
        <f>J10*1.45</f>
        <v>36.945999999999991</v>
      </c>
      <c r="L10" s="306">
        <f>K10*1.45</f>
        <v>53.571699999999986</v>
      </c>
      <c r="M10" s="306">
        <f>L10*1.4</f>
        <v>75.000379999999979</v>
      </c>
      <c r="N10" s="306">
        <f>M10*1.35</f>
        <v>101.25051299999998</v>
      </c>
      <c r="O10" s="306">
        <f>N10*1.3</f>
        <v>131.62566689999997</v>
      </c>
      <c r="P10" s="307">
        <f>O10*1.25</f>
        <v>164.53208362499996</v>
      </c>
    </row>
    <row r="11" spans="1:16" x14ac:dyDescent="0.25">
      <c r="A11" s="330"/>
      <c r="B11" s="331"/>
      <c r="C11" s="332" t="s">
        <v>67</v>
      </c>
      <c r="D11" s="336">
        <v>2</v>
      </c>
      <c r="E11" s="334" t="s">
        <v>69</v>
      </c>
      <c r="G11" s="331" t="s">
        <v>115</v>
      </c>
      <c r="H11" s="308">
        <v>0.35</v>
      </c>
      <c r="I11" s="308">
        <v>0.35</v>
      </c>
      <c r="J11" s="308">
        <v>0.35</v>
      </c>
      <c r="K11" s="308">
        <v>0.35</v>
      </c>
      <c r="L11" s="308">
        <v>0.35</v>
      </c>
      <c r="M11" s="308">
        <v>0.35</v>
      </c>
      <c r="N11" s="308">
        <v>0.35</v>
      </c>
      <c r="O11" s="308">
        <v>0.35</v>
      </c>
      <c r="P11" s="309">
        <v>0.35</v>
      </c>
    </row>
    <row r="12" spans="1:16" ht="15.75" thickBot="1" x14ac:dyDescent="0.3">
      <c r="A12" s="330"/>
      <c r="B12" s="337"/>
      <c r="C12" s="338" t="s">
        <v>126</v>
      </c>
      <c r="D12" s="339">
        <f>D10*D11*60*60*24*30*3*D7/8/1000</f>
        <v>0</v>
      </c>
      <c r="E12" s="340"/>
      <c r="G12" s="341" t="s">
        <v>116</v>
      </c>
      <c r="H12" s="310">
        <f>H11*$D6</f>
        <v>30405374.999999996</v>
      </c>
      <c r="I12" s="310">
        <f>I11*$D6*1.02</f>
        <v>31013482.499999996</v>
      </c>
      <c r="J12" s="310">
        <f>J11*$D6*1.04</f>
        <v>31621589.999999996</v>
      </c>
      <c r="K12" s="310">
        <f>K11*$D6*1.06</f>
        <v>32229697.499999996</v>
      </c>
      <c r="L12" s="310">
        <f>L11*$D6*1.08</f>
        <v>32837805</v>
      </c>
      <c r="M12" s="310">
        <f>M11*$D6*1.1</f>
        <v>33445912.5</v>
      </c>
      <c r="N12" s="310">
        <f>N11*$D6*1.12</f>
        <v>34054020</v>
      </c>
      <c r="O12" s="310">
        <f>O11*$D6*1.14</f>
        <v>34662127.499999993</v>
      </c>
      <c r="P12" s="311">
        <f>P11*$D6*1.16</f>
        <v>35270234.999999993</v>
      </c>
    </row>
    <row r="13" spans="1:16" ht="15.75" thickBot="1" x14ac:dyDescent="0.3">
      <c r="A13" s="330"/>
      <c r="B13" s="342" t="s">
        <v>143</v>
      </c>
      <c r="C13" s="323"/>
      <c r="D13" s="323"/>
      <c r="E13" s="343"/>
      <c r="G13" s="344" t="s">
        <v>117</v>
      </c>
      <c r="H13" s="312">
        <f>H12*H10</f>
        <v>395269874.99999994</v>
      </c>
      <c r="I13" s="312">
        <f t="shared" ref="I13:P13" si="0">I12*I10</f>
        <v>564445381.49999988</v>
      </c>
      <c r="J13" s="312">
        <f t="shared" si="0"/>
        <v>805718113.19999981</v>
      </c>
      <c r="K13" s="312">
        <f t="shared" si="0"/>
        <v>1190758403.8349996</v>
      </c>
      <c r="L13" s="312">
        <f t="shared" si="0"/>
        <v>1759177038.1184995</v>
      </c>
      <c r="M13" s="312">
        <f t="shared" si="0"/>
        <v>2508456146.9467492</v>
      </c>
      <c r="N13" s="312">
        <f t="shared" si="0"/>
        <v>3447986994.7122593</v>
      </c>
      <c r="O13" s="312">
        <f t="shared" si="0"/>
        <v>4562425648.3603277</v>
      </c>
      <c r="P13" s="313">
        <f t="shared" si="0"/>
        <v>5803085254.4933987</v>
      </c>
    </row>
    <row r="14" spans="1:16" x14ac:dyDescent="0.25">
      <c r="A14" s="330"/>
      <c r="B14" s="331"/>
      <c r="C14" s="332" t="s">
        <v>66</v>
      </c>
      <c r="D14" s="336">
        <v>40</v>
      </c>
      <c r="E14" s="334" t="s">
        <v>68</v>
      </c>
      <c r="G14" s="317"/>
      <c r="H14" s="314"/>
      <c r="I14" s="314"/>
      <c r="J14" s="314"/>
      <c r="K14" s="314"/>
      <c r="L14" s="314"/>
      <c r="M14" s="314"/>
      <c r="N14" s="314"/>
      <c r="O14" s="314"/>
      <c r="P14" s="314"/>
    </row>
    <row r="15" spans="1:16" s="317" customFormat="1" x14ac:dyDescent="0.25">
      <c r="A15" s="323"/>
      <c r="B15" s="331"/>
      <c r="C15" s="332" t="s">
        <v>67</v>
      </c>
      <c r="D15" s="336">
        <v>2</v>
      </c>
      <c r="E15" s="334" t="s">
        <v>69</v>
      </c>
      <c r="G15" s="345" t="s">
        <v>123</v>
      </c>
      <c r="H15" s="315"/>
      <c r="I15" s="315"/>
      <c r="J15" s="315"/>
      <c r="K15" s="315"/>
      <c r="L15" s="315"/>
      <c r="M15" s="315"/>
      <c r="N15" s="315"/>
      <c r="O15" s="315"/>
      <c r="P15" s="315"/>
    </row>
    <row r="16" spans="1:16" ht="15.75" thickBot="1" x14ac:dyDescent="0.3">
      <c r="A16" s="330"/>
      <c r="B16" s="331"/>
      <c r="C16" s="332" t="s">
        <v>126</v>
      </c>
      <c r="D16" s="333">
        <f>D14*D15*60*60*24*30*3*D7/8/1000</f>
        <v>11664</v>
      </c>
      <c r="E16" s="334"/>
      <c r="G16" s="345" t="s">
        <v>128</v>
      </c>
      <c r="H16" s="316"/>
      <c r="I16" s="316"/>
      <c r="J16" s="316"/>
      <c r="K16" s="316"/>
      <c r="L16" s="316"/>
      <c r="M16" s="316"/>
      <c r="N16" s="316"/>
      <c r="O16" s="316"/>
      <c r="P16" s="316"/>
    </row>
    <row r="17" spans="1:17" x14ac:dyDescent="0.25">
      <c r="A17" s="330"/>
      <c r="B17" s="324" t="s">
        <v>147</v>
      </c>
      <c r="C17" s="325"/>
      <c r="D17" s="325"/>
      <c r="E17" s="326"/>
      <c r="G17" s="345" t="s">
        <v>121</v>
      </c>
      <c r="H17" s="316">
        <v>0.9</v>
      </c>
      <c r="I17" s="316">
        <v>0.92</v>
      </c>
      <c r="J17" s="316">
        <v>0.94</v>
      </c>
      <c r="K17" s="316">
        <v>0.96</v>
      </c>
      <c r="L17" s="316">
        <v>0.98</v>
      </c>
      <c r="M17" s="316">
        <v>1</v>
      </c>
      <c r="N17" s="316">
        <v>1.02</v>
      </c>
      <c r="O17" s="316">
        <v>1.03</v>
      </c>
      <c r="P17" s="316">
        <v>1.05</v>
      </c>
    </row>
    <row r="18" spans="1:17" x14ac:dyDescent="0.25">
      <c r="A18" s="330"/>
      <c r="B18" s="331"/>
      <c r="C18" s="332" t="s">
        <v>161</v>
      </c>
      <c r="D18" s="336">
        <v>60</v>
      </c>
      <c r="E18" s="334" t="s">
        <v>68</v>
      </c>
      <c r="G18" s="345" t="s">
        <v>122</v>
      </c>
      <c r="H18" s="316">
        <v>0.99</v>
      </c>
      <c r="I18" s="316">
        <v>0.99</v>
      </c>
      <c r="J18" s="316">
        <v>0.99</v>
      </c>
      <c r="K18" s="316">
        <v>0.99</v>
      </c>
      <c r="L18" s="316">
        <v>0.99</v>
      </c>
      <c r="M18" s="316">
        <v>1</v>
      </c>
      <c r="N18" s="316">
        <v>1.02</v>
      </c>
      <c r="O18" s="316">
        <v>1.03</v>
      </c>
      <c r="P18" s="316">
        <v>1.05</v>
      </c>
    </row>
    <row r="19" spans="1:17" x14ac:dyDescent="0.25">
      <c r="A19" s="330"/>
      <c r="B19" s="331"/>
      <c r="C19" s="332" t="s">
        <v>67</v>
      </c>
      <c r="D19" s="336">
        <v>2</v>
      </c>
      <c r="E19" s="334" t="s">
        <v>69</v>
      </c>
      <c r="G19" s="345" t="s">
        <v>120</v>
      </c>
      <c r="H19" s="316"/>
      <c r="I19" s="316"/>
      <c r="J19" s="316"/>
      <c r="K19" s="316"/>
      <c r="L19" s="316"/>
      <c r="M19" s="316"/>
      <c r="N19" s="316"/>
      <c r="O19" s="316"/>
      <c r="P19" s="316"/>
    </row>
    <row r="20" spans="1:17" ht="15.75" thickBot="1" x14ac:dyDescent="0.3">
      <c r="A20" s="330"/>
      <c r="B20" s="337"/>
      <c r="C20" s="338" t="s">
        <v>126</v>
      </c>
      <c r="D20" s="389">
        <f>D18*D19*60*60*24*30*3*D7/8/1000</f>
        <v>17496</v>
      </c>
      <c r="E20" s="340"/>
      <c r="G20" s="345" t="s">
        <v>131</v>
      </c>
      <c r="H20" s="316"/>
      <c r="I20" s="316"/>
      <c r="J20" s="316"/>
      <c r="K20" s="316"/>
      <c r="L20" s="316"/>
      <c r="M20" s="316"/>
      <c r="N20" s="316"/>
      <c r="O20" s="316"/>
      <c r="P20" s="316"/>
    </row>
    <row r="21" spans="1:17" s="317" customFormat="1" x14ac:dyDescent="0.25">
      <c r="A21" s="323"/>
      <c r="B21" s="342" t="s">
        <v>138</v>
      </c>
      <c r="C21" s="323"/>
      <c r="D21" s="323"/>
      <c r="E21" s="343"/>
      <c r="F21" s="318"/>
      <c r="G21" s="345" t="s">
        <v>130</v>
      </c>
      <c r="H21" s="316"/>
      <c r="I21" s="316"/>
      <c r="J21" s="316"/>
      <c r="K21" s="316"/>
      <c r="L21" s="316"/>
      <c r="M21" s="316"/>
      <c r="N21" s="316"/>
      <c r="O21" s="316"/>
      <c r="P21" s="316"/>
      <c r="Q21" s="318"/>
    </row>
    <row r="22" spans="1:17" x14ac:dyDescent="0.25">
      <c r="A22" s="330"/>
      <c r="B22" s="331"/>
      <c r="C22" s="332" t="s">
        <v>74</v>
      </c>
      <c r="D22" s="333">
        <v>0</v>
      </c>
      <c r="E22" s="334" t="s">
        <v>68</v>
      </c>
      <c r="G22" s="345" t="s">
        <v>132</v>
      </c>
      <c r="H22" s="316">
        <v>0.01</v>
      </c>
      <c r="I22" s="316">
        <v>0.05</v>
      </c>
      <c r="J22" s="316">
        <v>0.1</v>
      </c>
      <c r="K22" s="316">
        <v>0.2</v>
      </c>
      <c r="L22" s="316">
        <v>0.3</v>
      </c>
      <c r="M22" s="316">
        <v>0.3</v>
      </c>
      <c r="N22" s="316">
        <v>0.3</v>
      </c>
      <c r="O22" s="316">
        <v>0.3</v>
      </c>
      <c r="P22" s="316">
        <v>0.3</v>
      </c>
    </row>
    <row r="23" spans="1:17" x14ac:dyDescent="0.25">
      <c r="A23" s="330"/>
      <c r="B23" s="331"/>
      <c r="C23" s="332" t="s">
        <v>67</v>
      </c>
      <c r="D23" s="336">
        <v>2</v>
      </c>
      <c r="E23" s="334" t="s">
        <v>69</v>
      </c>
      <c r="G23" s="345" t="s">
        <v>133</v>
      </c>
      <c r="H23" s="316">
        <v>0</v>
      </c>
      <c r="I23" s="316">
        <v>0</v>
      </c>
      <c r="J23" s="316">
        <v>0.1</v>
      </c>
      <c r="K23" s="316">
        <v>0.3</v>
      </c>
      <c r="L23" s="316">
        <v>0.6</v>
      </c>
      <c r="M23" s="316">
        <v>0.9</v>
      </c>
      <c r="N23" s="316">
        <v>1</v>
      </c>
      <c r="O23" s="316">
        <v>1.03</v>
      </c>
      <c r="P23" s="316">
        <v>1.05</v>
      </c>
    </row>
    <row r="24" spans="1:17" ht="15.75" thickBot="1" x14ac:dyDescent="0.3">
      <c r="A24" s="330"/>
      <c r="B24" s="331"/>
      <c r="C24" s="332" t="s">
        <v>126</v>
      </c>
      <c r="D24" s="339">
        <f>D22*D23*60*60*24*30*3*D7/8/1000</f>
        <v>0</v>
      </c>
      <c r="E24" s="334"/>
      <c r="G24" s="345" t="s">
        <v>152</v>
      </c>
      <c r="H24" s="316">
        <v>0.3</v>
      </c>
      <c r="I24" s="316">
        <v>0.4</v>
      </c>
      <c r="J24" s="316">
        <v>0.5</v>
      </c>
      <c r="K24" s="316">
        <v>0.6</v>
      </c>
      <c r="L24" s="316">
        <v>0.5</v>
      </c>
      <c r="M24" s="316">
        <v>0.5</v>
      </c>
      <c r="N24" s="316">
        <v>0.4</v>
      </c>
      <c r="O24" s="316">
        <v>0.3</v>
      </c>
      <c r="P24" s="316">
        <v>0.1</v>
      </c>
    </row>
    <row r="25" spans="1:17" x14ac:dyDescent="0.25">
      <c r="A25" s="330"/>
      <c r="B25" s="324" t="s">
        <v>137</v>
      </c>
      <c r="C25" s="325"/>
      <c r="D25" s="325"/>
      <c r="E25" s="326"/>
      <c r="G25" s="345" t="s">
        <v>153</v>
      </c>
      <c r="H25" s="316">
        <v>0</v>
      </c>
      <c r="I25" s="316">
        <v>0.1</v>
      </c>
      <c r="J25" s="316">
        <v>0.2</v>
      </c>
      <c r="K25" s="316">
        <v>0.3</v>
      </c>
      <c r="L25" s="316">
        <v>0.6</v>
      </c>
      <c r="M25" s="316">
        <v>0.9</v>
      </c>
      <c r="N25" s="316">
        <v>1.4</v>
      </c>
      <c r="O25" s="316">
        <v>1.8</v>
      </c>
      <c r="P25" s="316">
        <v>2.5</v>
      </c>
    </row>
    <row r="26" spans="1:17" x14ac:dyDescent="0.25">
      <c r="A26" s="330"/>
      <c r="B26" s="331"/>
      <c r="C26" s="332" t="s">
        <v>74</v>
      </c>
      <c r="D26" s="333">
        <v>0</v>
      </c>
      <c r="E26" s="334" t="s">
        <v>68</v>
      </c>
      <c r="G26" s="345" t="s">
        <v>119</v>
      </c>
      <c r="H26" s="316">
        <v>0</v>
      </c>
      <c r="I26" s="316">
        <v>0.01</v>
      </c>
      <c r="J26" s="316">
        <v>0.02</v>
      </c>
      <c r="K26" s="316">
        <v>0.03</v>
      </c>
      <c r="L26" s="316">
        <v>0.05</v>
      </c>
      <c r="M26" s="316">
        <v>0.08</v>
      </c>
      <c r="N26" s="316">
        <v>0.15</v>
      </c>
      <c r="O26" s="316">
        <v>0.25</v>
      </c>
      <c r="P26" s="316">
        <v>0.3</v>
      </c>
    </row>
    <row r="27" spans="1:17" ht="15.75" thickBot="1" x14ac:dyDescent="0.3">
      <c r="A27" s="330"/>
      <c r="B27" s="331"/>
      <c r="C27" s="332" t="s">
        <v>67</v>
      </c>
      <c r="D27" s="336">
        <v>2</v>
      </c>
      <c r="E27" s="334" t="s">
        <v>69</v>
      </c>
      <c r="H27" s="390"/>
      <c r="I27" s="390"/>
      <c r="J27" s="390"/>
      <c r="K27" s="390"/>
      <c r="L27" s="390"/>
      <c r="M27" s="390"/>
      <c r="N27" s="390"/>
      <c r="O27" s="390"/>
      <c r="P27" s="390"/>
    </row>
    <row r="28" spans="1:17" ht="15.75" thickBot="1" x14ac:dyDescent="0.3">
      <c r="A28" s="330"/>
      <c r="B28" s="337"/>
      <c r="C28" s="338" t="s">
        <v>126</v>
      </c>
      <c r="D28" s="339">
        <f>D26*D27*60*60*24*30*3*D7/8/1000</f>
        <v>0</v>
      </c>
      <c r="E28" s="340"/>
      <c r="G28" s="347" t="s">
        <v>87</v>
      </c>
      <c r="H28" s="348" t="s">
        <v>8</v>
      </c>
      <c r="I28" s="348" t="s">
        <v>0</v>
      </c>
      <c r="J28" s="348" t="s">
        <v>1</v>
      </c>
      <c r="K28" s="348" t="s">
        <v>2</v>
      </c>
      <c r="L28" s="348" t="s">
        <v>3</v>
      </c>
      <c r="M28" s="348" t="s">
        <v>4</v>
      </c>
      <c r="N28" s="348" t="s">
        <v>5</v>
      </c>
      <c r="O28" s="348" t="s">
        <v>6</v>
      </c>
      <c r="P28" s="349" t="s">
        <v>7</v>
      </c>
    </row>
    <row r="29" spans="1:17" x14ac:dyDescent="0.25">
      <c r="A29" s="330"/>
      <c r="B29" s="324" t="s">
        <v>136</v>
      </c>
      <c r="C29" s="325"/>
      <c r="D29" s="325"/>
      <c r="E29" s="326"/>
      <c r="G29" s="350" t="s">
        <v>128</v>
      </c>
      <c r="H29" s="351">
        <f t="shared" ref="H29:P29" si="1">H16*$D12*$D4</f>
        <v>0</v>
      </c>
      <c r="I29" s="351">
        <f t="shared" si="1"/>
        <v>0</v>
      </c>
      <c r="J29" s="351">
        <f t="shared" si="1"/>
        <v>0</v>
      </c>
      <c r="K29" s="351">
        <f t="shared" si="1"/>
        <v>0</v>
      </c>
      <c r="L29" s="351">
        <f t="shared" si="1"/>
        <v>0</v>
      </c>
      <c r="M29" s="351">
        <f t="shared" si="1"/>
        <v>0</v>
      </c>
      <c r="N29" s="351">
        <f t="shared" si="1"/>
        <v>0</v>
      </c>
      <c r="O29" s="351">
        <f t="shared" si="1"/>
        <v>0</v>
      </c>
      <c r="P29" s="352">
        <f t="shared" si="1"/>
        <v>0</v>
      </c>
    </row>
    <row r="30" spans="1:17" x14ac:dyDescent="0.25">
      <c r="A30" s="330"/>
      <c r="B30" s="331"/>
      <c r="C30" s="332" t="s">
        <v>74</v>
      </c>
      <c r="D30" s="333">
        <v>0</v>
      </c>
      <c r="E30" s="334" t="s">
        <v>68</v>
      </c>
      <c r="F30" s="353"/>
      <c r="G30" s="350" t="s">
        <v>121</v>
      </c>
      <c r="H30" s="351">
        <f t="shared" ref="H30:P30" si="2">H17*$D16*$D4</f>
        <v>170586000</v>
      </c>
      <c r="I30" s="351">
        <f t="shared" si="2"/>
        <v>174376800.00000003</v>
      </c>
      <c r="J30" s="351">
        <f t="shared" si="2"/>
        <v>178167600</v>
      </c>
      <c r="K30" s="351">
        <f t="shared" si="2"/>
        <v>181958399.99999997</v>
      </c>
      <c r="L30" s="351">
        <f t="shared" si="2"/>
        <v>185749200</v>
      </c>
      <c r="M30" s="351">
        <f t="shared" si="2"/>
        <v>189540000</v>
      </c>
      <c r="N30" s="351">
        <f t="shared" si="2"/>
        <v>193330800</v>
      </c>
      <c r="O30" s="351">
        <f t="shared" si="2"/>
        <v>195226200</v>
      </c>
      <c r="P30" s="352">
        <f t="shared" si="2"/>
        <v>199017000</v>
      </c>
      <c r="Q30" s="330"/>
    </row>
    <row r="31" spans="1:17" x14ac:dyDescent="0.25">
      <c r="A31" s="330"/>
      <c r="B31" s="331"/>
      <c r="C31" s="332" t="s">
        <v>67</v>
      </c>
      <c r="D31" s="336">
        <v>6</v>
      </c>
      <c r="E31" s="334" t="s">
        <v>69</v>
      </c>
      <c r="F31" s="353"/>
      <c r="G31" s="350" t="s">
        <v>122</v>
      </c>
      <c r="H31" s="351">
        <f t="shared" ref="H31:P31" si="3">H18*$D20*$D4</f>
        <v>281466900</v>
      </c>
      <c r="I31" s="351">
        <f t="shared" si="3"/>
        <v>281466900</v>
      </c>
      <c r="J31" s="351">
        <f t="shared" si="3"/>
        <v>281466900</v>
      </c>
      <c r="K31" s="351">
        <f t="shared" si="3"/>
        <v>281466900</v>
      </c>
      <c r="L31" s="351">
        <f t="shared" si="3"/>
        <v>281466900</v>
      </c>
      <c r="M31" s="351">
        <f t="shared" si="3"/>
        <v>284310000</v>
      </c>
      <c r="N31" s="351">
        <f t="shared" si="3"/>
        <v>289996200.00000006</v>
      </c>
      <c r="O31" s="351">
        <f t="shared" si="3"/>
        <v>292839300</v>
      </c>
      <c r="P31" s="352">
        <f t="shared" si="3"/>
        <v>298525500</v>
      </c>
      <c r="Q31" s="330"/>
    </row>
    <row r="32" spans="1:17" ht="15.75" thickBot="1" x14ac:dyDescent="0.3">
      <c r="A32" s="330"/>
      <c r="B32" s="337"/>
      <c r="C32" s="338" t="s">
        <v>126</v>
      </c>
      <c r="D32" s="339">
        <f>D30*D31*60*60*24*30*3*D7/8/1000</f>
        <v>0</v>
      </c>
      <c r="E32" s="340"/>
      <c r="G32" s="350" t="s">
        <v>120</v>
      </c>
      <c r="H32" s="351">
        <f t="shared" ref="H32:P32" si="4">H19*$D24*$D4</f>
        <v>0</v>
      </c>
      <c r="I32" s="351">
        <f t="shared" si="4"/>
        <v>0</v>
      </c>
      <c r="J32" s="351">
        <f t="shared" si="4"/>
        <v>0</v>
      </c>
      <c r="K32" s="351">
        <f t="shared" si="4"/>
        <v>0</v>
      </c>
      <c r="L32" s="351">
        <f t="shared" si="4"/>
        <v>0</v>
      </c>
      <c r="M32" s="351">
        <f t="shared" si="4"/>
        <v>0</v>
      </c>
      <c r="N32" s="351">
        <f t="shared" si="4"/>
        <v>0</v>
      </c>
      <c r="O32" s="351">
        <f t="shared" si="4"/>
        <v>0</v>
      </c>
      <c r="P32" s="352">
        <f t="shared" si="4"/>
        <v>0</v>
      </c>
    </row>
    <row r="33" spans="1:18" x14ac:dyDescent="0.25">
      <c r="A33" s="330"/>
      <c r="B33" s="324" t="s">
        <v>135</v>
      </c>
      <c r="C33" s="355"/>
      <c r="D33" s="356"/>
      <c r="E33" s="357"/>
      <c r="G33" s="350" t="s">
        <v>124</v>
      </c>
      <c r="H33" s="351">
        <f t="shared" ref="H33:P33" si="5">+H20*$D28*$D4</f>
        <v>0</v>
      </c>
      <c r="I33" s="351">
        <f t="shared" si="5"/>
        <v>0</v>
      </c>
      <c r="J33" s="351">
        <f t="shared" si="5"/>
        <v>0</v>
      </c>
      <c r="K33" s="351">
        <f t="shared" si="5"/>
        <v>0</v>
      </c>
      <c r="L33" s="351">
        <f t="shared" si="5"/>
        <v>0</v>
      </c>
      <c r="M33" s="351">
        <f t="shared" si="5"/>
        <v>0</v>
      </c>
      <c r="N33" s="351">
        <f t="shared" si="5"/>
        <v>0</v>
      </c>
      <c r="O33" s="351">
        <f t="shared" si="5"/>
        <v>0</v>
      </c>
      <c r="P33" s="352">
        <f t="shared" si="5"/>
        <v>0</v>
      </c>
    </row>
    <row r="34" spans="1:18" x14ac:dyDescent="0.25">
      <c r="A34" s="330"/>
      <c r="B34" s="331"/>
      <c r="C34" s="332" t="s">
        <v>74</v>
      </c>
      <c r="D34" s="336">
        <v>40</v>
      </c>
      <c r="E34" s="334" t="s">
        <v>68</v>
      </c>
      <c r="G34" s="350" t="s">
        <v>118</v>
      </c>
      <c r="H34" s="351">
        <f t="shared" ref="H34:P34" si="6">+H21*$D32*$D4</f>
        <v>0</v>
      </c>
      <c r="I34" s="351">
        <f t="shared" si="6"/>
        <v>0</v>
      </c>
      <c r="J34" s="351">
        <f t="shared" si="6"/>
        <v>0</v>
      </c>
      <c r="K34" s="351">
        <f t="shared" si="6"/>
        <v>0</v>
      </c>
      <c r="L34" s="351">
        <f t="shared" si="6"/>
        <v>0</v>
      </c>
      <c r="M34" s="351">
        <f t="shared" si="6"/>
        <v>0</v>
      </c>
      <c r="N34" s="351">
        <f t="shared" si="6"/>
        <v>0</v>
      </c>
      <c r="O34" s="351">
        <f t="shared" si="6"/>
        <v>0</v>
      </c>
      <c r="P34" s="352">
        <f t="shared" si="6"/>
        <v>0</v>
      </c>
    </row>
    <row r="35" spans="1:18" x14ac:dyDescent="0.25">
      <c r="A35" s="330"/>
      <c r="B35" s="331"/>
      <c r="C35" s="332" t="s">
        <v>67</v>
      </c>
      <c r="D35" s="336">
        <v>5.7</v>
      </c>
      <c r="E35" s="334" t="s">
        <v>69</v>
      </c>
      <c r="G35" s="350" t="s">
        <v>132</v>
      </c>
      <c r="H35" s="351">
        <f t="shared" ref="H35:P35" si="7">+H22*$D36*($D4+$D5)</f>
        <v>8726130</v>
      </c>
      <c r="I35" s="351">
        <f t="shared" si="7"/>
        <v>43630650</v>
      </c>
      <c r="J35" s="351">
        <f t="shared" si="7"/>
        <v>87261300</v>
      </c>
      <c r="K35" s="351">
        <f t="shared" si="7"/>
        <v>174522600</v>
      </c>
      <c r="L35" s="351">
        <f t="shared" si="7"/>
        <v>261783899.99999997</v>
      </c>
      <c r="M35" s="351">
        <f t="shared" si="7"/>
        <v>261783899.99999997</v>
      </c>
      <c r="N35" s="351">
        <f t="shared" si="7"/>
        <v>261783899.99999997</v>
      </c>
      <c r="O35" s="351">
        <f t="shared" si="7"/>
        <v>261783899.99999997</v>
      </c>
      <c r="P35" s="352">
        <f t="shared" si="7"/>
        <v>261783899.99999997</v>
      </c>
    </row>
    <row r="36" spans="1:18" ht="15.75" thickBot="1" x14ac:dyDescent="0.3">
      <c r="A36" s="330"/>
      <c r="B36" s="337"/>
      <c r="C36" s="338" t="s">
        <v>126</v>
      </c>
      <c r="D36" s="389">
        <f>D34*D35*60*60*24*30*3*D7/8/1000</f>
        <v>33242.400000000001</v>
      </c>
      <c r="E36" s="340"/>
      <c r="F36" s="317"/>
      <c r="G36" s="350" t="s">
        <v>133</v>
      </c>
      <c r="H36" s="351">
        <f t="shared" ref="H36:P36" si="8">+H23*$D40*$D4</f>
        <v>0</v>
      </c>
      <c r="I36" s="351">
        <f t="shared" si="8"/>
        <v>0</v>
      </c>
      <c r="J36" s="351">
        <f t="shared" si="8"/>
        <v>135047250</v>
      </c>
      <c r="K36" s="351">
        <f t="shared" si="8"/>
        <v>405141750</v>
      </c>
      <c r="L36" s="351">
        <f t="shared" si="8"/>
        <v>810283500</v>
      </c>
      <c r="M36" s="351">
        <f t="shared" si="8"/>
        <v>1215425250.0000002</v>
      </c>
      <c r="N36" s="351">
        <f t="shared" si="8"/>
        <v>1350472500</v>
      </c>
      <c r="O36" s="351">
        <f t="shared" si="8"/>
        <v>1390986675.0000002</v>
      </c>
      <c r="P36" s="352">
        <f t="shared" si="8"/>
        <v>1417996125</v>
      </c>
    </row>
    <row r="37" spans="1:18" x14ac:dyDescent="0.25">
      <c r="A37" s="330"/>
      <c r="B37" s="342" t="s">
        <v>134</v>
      </c>
      <c r="C37" s="332"/>
      <c r="D37" s="333"/>
      <c r="E37" s="334"/>
      <c r="G37" s="350" t="s">
        <v>149</v>
      </c>
      <c r="H37" s="351">
        <f t="shared" ref="H37:P37" si="9">H24*$D$44*$D$5</f>
        <v>139968000</v>
      </c>
      <c r="I37" s="351">
        <f t="shared" si="9"/>
        <v>186624000</v>
      </c>
      <c r="J37" s="351">
        <f t="shared" si="9"/>
        <v>233280000</v>
      </c>
      <c r="K37" s="351">
        <f t="shared" si="9"/>
        <v>279936000</v>
      </c>
      <c r="L37" s="351">
        <f t="shared" si="9"/>
        <v>233280000</v>
      </c>
      <c r="M37" s="351">
        <f t="shared" si="9"/>
        <v>233280000</v>
      </c>
      <c r="N37" s="351">
        <f t="shared" si="9"/>
        <v>186624000</v>
      </c>
      <c r="O37" s="351">
        <f t="shared" si="9"/>
        <v>139968000</v>
      </c>
      <c r="P37" s="352">
        <f t="shared" si="9"/>
        <v>46656000</v>
      </c>
    </row>
    <row r="38" spans="1:18" x14ac:dyDescent="0.25">
      <c r="A38" s="330"/>
      <c r="B38" s="331"/>
      <c r="C38" s="332" t="s">
        <v>74</v>
      </c>
      <c r="D38" s="336">
        <v>100</v>
      </c>
      <c r="E38" s="334" t="s">
        <v>68</v>
      </c>
      <c r="G38" s="350" t="s">
        <v>150</v>
      </c>
      <c r="H38" s="351">
        <f t="shared" ref="H38:P38" si="10">H25*$D5*$D48</f>
        <v>0</v>
      </c>
      <c r="I38" s="351">
        <f t="shared" si="10"/>
        <v>40824000</v>
      </c>
      <c r="J38" s="351">
        <f t="shared" si="10"/>
        <v>81648000</v>
      </c>
      <c r="K38" s="351">
        <f t="shared" si="10"/>
        <v>122472000</v>
      </c>
      <c r="L38" s="351">
        <f t="shared" si="10"/>
        <v>244944000</v>
      </c>
      <c r="M38" s="351">
        <f t="shared" si="10"/>
        <v>367416000</v>
      </c>
      <c r="N38" s="351">
        <f t="shared" si="10"/>
        <v>571536000</v>
      </c>
      <c r="O38" s="351">
        <f t="shared" si="10"/>
        <v>734832000</v>
      </c>
      <c r="P38" s="352">
        <f t="shared" si="10"/>
        <v>1020600000</v>
      </c>
    </row>
    <row r="39" spans="1:18" x14ac:dyDescent="0.25">
      <c r="A39" s="330"/>
      <c r="B39" s="331"/>
      <c r="C39" s="332" t="s">
        <v>67</v>
      </c>
      <c r="D39" s="336">
        <v>5.7</v>
      </c>
      <c r="E39" s="334" t="s">
        <v>69</v>
      </c>
      <c r="G39" s="358" t="s">
        <v>139</v>
      </c>
      <c r="H39" s="359">
        <f t="shared" ref="H39:P39" si="11">SUM(H29:H38)</f>
        <v>600747030</v>
      </c>
      <c r="I39" s="359">
        <f t="shared" si="11"/>
        <v>726922350</v>
      </c>
      <c r="J39" s="359">
        <f t="shared" si="11"/>
        <v>996871050</v>
      </c>
      <c r="K39" s="359">
        <f t="shared" si="11"/>
        <v>1445497650</v>
      </c>
      <c r="L39" s="359">
        <f t="shared" si="11"/>
        <v>2017507500</v>
      </c>
      <c r="M39" s="359">
        <f t="shared" si="11"/>
        <v>2551755150</v>
      </c>
      <c r="N39" s="359">
        <f t="shared" si="11"/>
        <v>2853743400</v>
      </c>
      <c r="O39" s="359">
        <f t="shared" si="11"/>
        <v>3015636075</v>
      </c>
      <c r="P39" s="360">
        <f t="shared" si="11"/>
        <v>3244578525</v>
      </c>
    </row>
    <row r="40" spans="1:18" ht="15.75" thickBot="1" x14ac:dyDescent="0.3">
      <c r="A40" s="330"/>
      <c r="B40" s="337"/>
      <c r="C40" s="338" t="s">
        <v>126</v>
      </c>
      <c r="D40" s="389">
        <f>D38*D39*60*60*24*30*3*D7/8/1000</f>
        <v>83106</v>
      </c>
      <c r="E40" s="340"/>
      <c r="G40" s="350" t="s">
        <v>140</v>
      </c>
      <c r="H40" s="361">
        <f t="shared" ref="H40:P40" si="12">+H26*$D52*$D5</f>
        <v>0</v>
      </c>
      <c r="I40" s="361">
        <f t="shared" si="12"/>
        <v>72900000</v>
      </c>
      <c r="J40" s="361">
        <f t="shared" si="12"/>
        <v>145800000</v>
      </c>
      <c r="K40" s="361">
        <f t="shared" si="12"/>
        <v>218700000</v>
      </c>
      <c r="L40" s="361">
        <f t="shared" si="12"/>
        <v>364500000</v>
      </c>
      <c r="M40" s="361">
        <f t="shared" si="12"/>
        <v>583200000</v>
      </c>
      <c r="N40" s="361">
        <f t="shared" si="12"/>
        <v>1093500000</v>
      </c>
      <c r="O40" s="361">
        <f t="shared" si="12"/>
        <v>1822500000</v>
      </c>
      <c r="P40" s="362">
        <f t="shared" si="12"/>
        <v>2187000000</v>
      </c>
    </row>
    <row r="41" spans="1:18" ht="15.75" thickBot="1" x14ac:dyDescent="0.3">
      <c r="A41" s="330"/>
      <c r="B41" s="342" t="s">
        <v>148</v>
      </c>
      <c r="C41" s="332"/>
      <c r="D41" s="333"/>
      <c r="E41" s="334"/>
      <c r="G41" s="363" t="s">
        <v>125</v>
      </c>
      <c r="H41" s="364">
        <f>+H39+H40</f>
        <v>600747030</v>
      </c>
      <c r="I41" s="364">
        <f t="shared" ref="I41:P41" si="13">+I39+I40</f>
        <v>799822350</v>
      </c>
      <c r="J41" s="364">
        <f t="shared" si="13"/>
        <v>1142671050</v>
      </c>
      <c r="K41" s="364">
        <f t="shared" si="13"/>
        <v>1664197650</v>
      </c>
      <c r="L41" s="364">
        <f t="shared" si="13"/>
        <v>2382007500</v>
      </c>
      <c r="M41" s="364">
        <f t="shared" si="13"/>
        <v>3134955150</v>
      </c>
      <c r="N41" s="364">
        <f t="shared" si="13"/>
        <v>3947243400</v>
      </c>
      <c r="O41" s="364">
        <f t="shared" si="13"/>
        <v>4838136075</v>
      </c>
      <c r="P41" s="391">
        <f t="shared" si="13"/>
        <v>5431578525</v>
      </c>
      <c r="Q41" s="392"/>
    </row>
    <row r="42" spans="1:18" ht="15.75" thickBot="1" x14ac:dyDescent="0.3">
      <c r="A42" s="330"/>
      <c r="B42" s="331"/>
      <c r="C42" s="332" t="s">
        <v>74</v>
      </c>
      <c r="D42" s="336">
        <f>60+60+40</f>
        <v>160</v>
      </c>
      <c r="E42" s="334" t="s">
        <v>68</v>
      </c>
      <c r="G42" s="366"/>
      <c r="H42" s="367"/>
      <c r="I42" s="367"/>
      <c r="J42" s="367"/>
      <c r="K42" s="367"/>
      <c r="L42" s="367"/>
      <c r="M42" s="367"/>
      <c r="N42" s="367"/>
      <c r="O42" s="367"/>
      <c r="P42" s="367"/>
    </row>
    <row r="43" spans="1:18" x14ac:dyDescent="0.25">
      <c r="A43" s="330"/>
      <c r="B43" s="331"/>
      <c r="C43" s="332" t="s">
        <v>67</v>
      </c>
      <c r="D43" s="336">
        <v>2</v>
      </c>
      <c r="E43" s="334" t="s">
        <v>69</v>
      </c>
      <c r="G43" s="347" t="s">
        <v>91</v>
      </c>
      <c r="H43" s="348" t="s">
        <v>8</v>
      </c>
      <c r="I43" s="348" t="s">
        <v>0</v>
      </c>
      <c r="J43" s="348" t="s">
        <v>1</v>
      </c>
      <c r="K43" s="348" t="s">
        <v>2</v>
      </c>
      <c r="L43" s="348" t="s">
        <v>3</v>
      </c>
      <c r="M43" s="348" t="s">
        <v>4</v>
      </c>
      <c r="N43" s="348" t="s">
        <v>5</v>
      </c>
      <c r="O43" s="348" t="s">
        <v>6</v>
      </c>
      <c r="P43" s="349" t="s">
        <v>7</v>
      </c>
    </row>
    <row r="44" spans="1:18" ht="15" customHeight="1" thickBot="1" x14ac:dyDescent="0.3">
      <c r="A44" s="330"/>
      <c r="B44" s="331"/>
      <c r="C44" s="338" t="s">
        <v>126</v>
      </c>
      <c r="D44" s="389">
        <f>D42*D43*60*60*24*30*3*D7/8/1000</f>
        <v>46656</v>
      </c>
      <c r="E44" s="340"/>
      <c r="G44" s="368" t="s">
        <v>19</v>
      </c>
      <c r="H44" s="287"/>
      <c r="I44" s="288"/>
      <c r="J44" s="288"/>
      <c r="K44" s="288"/>
      <c r="L44" s="288"/>
      <c r="M44" s="288"/>
      <c r="N44" s="288"/>
      <c r="O44" s="288"/>
      <c r="P44" s="289"/>
      <c r="Q44" s="354"/>
      <c r="R44" s="354"/>
    </row>
    <row r="45" spans="1:18" x14ac:dyDescent="0.25">
      <c r="A45" s="330"/>
      <c r="B45" s="324" t="s">
        <v>151</v>
      </c>
      <c r="C45" s="355"/>
      <c r="D45" s="356"/>
      <c r="E45" s="357"/>
      <c r="G45" s="369" t="s">
        <v>252</v>
      </c>
      <c r="H45" s="287">
        <v>694980000</v>
      </c>
      <c r="I45" s="287">
        <v>6949800000</v>
      </c>
      <c r="J45" s="288"/>
      <c r="K45" s="288"/>
      <c r="L45" s="288"/>
      <c r="M45" s="288"/>
      <c r="N45" s="288"/>
      <c r="O45" s="288"/>
      <c r="P45" s="289"/>
      <c r="Q45" s="354"/>
      <c r="R45" s="354"/>
    </row>
    <row r="46" spans="1:18" x14ac:dyDescent="0.25">
      <c r="A46" s="330"/>
      <c r="B46" s="331"/>
      <c r="C46" s="332" t="s">
        <v>74</v>
      </c>
      <c r="D46" s="333">
        <f>D22+D34+D38</f>
        <v>140</v>
      </c>
      <c r="E46" s="334" t="s">
        <v>68</v>
      </c>
      <c r="G46" s="369" t="s">
        <v>253</v>
      </c>
      <c r="H46" s="287">
        <v>96193470.364741653</v>
      </c>
      <c r="I46" s="288"/>
      <c r="J46" s="288"/>
      <c r="K46" s="288"/>
      <c r="L46" s="288"/>
      <c r="M46" s="288"/>
      <c r="N46" s="288"/>
      <c r="O46" s="288"/>
      <c r="P46" s="289"/>
      <c r="Q46" s="354"/>
      <c r="R46" s="354"/>
    </row>
    <row r="47" spans="1:18" x14ac:dyDescent="0.25">
      <c r="A47" s="330"/>
      <c r="B47" s="331"/>
      <c r="C47" s="332" t="s">
        <v>67</v>
      </c>
      <c r="D47" s="336">
        <v>2</v>
      </c>
      <c r="E47" s="334" t="s">
        <v>69</v>
      </c>
      <c r="G47" s="368" t="s">
        <v>48</v>
      </c>
      <c r="H47" s="288"/>
      <c r="I47" s="290"/>
      <c r="J47" s="288"/>
      <c r="K47" s="288"/>
      <c r="L47" s="288"/>
      <c r="M47" s="288"/>
      <c r="N47" s="288"/>
      <c r="O47" s="288"/>
      <c r="P47" s="289"/>
      <c r="Q47" s="354"/>
      <c r="R47" s="354"/>
    </row>
    <row r="48" spans="1:18" ht="15.75" thickBot="1" x14ac:dyDescent="0.3">
      <c r="A48" s="330"/>
      <c r="B48" s="337"/>
      <c r="C48" s="338" t="s">
        <v>126</v>
      </c>
      <c r="D48" s="389">
        <f>D46*D47*60*60*24*30*3*D7/8/1000</f>
        <v>40824</v>
      </c>
      <c r="E48" s="340"/>
      <c r="G48" s="370" t="s">
        <v>121</v>
      </c>
      <c r="H48" s="287">
        <f>+(H17-90%)*$D4*('Cost per Cell'!$M6+'Cost per Cell'!$M7)</f>
        <v>0</v>
      </c>
      <c r="I48" s="287">
        <f>+(I17-H17)*$D4*('Cost per Cell'!$M6+'Cost per Cell'!$M7)</f>
        <v>14625000.000000013</v>
      </c>
      <c r="J48" s="287">
        <f>+(J17-I17)*$D4*('Cost per Cell'!$M6+'Cost per Cell'!$M7)</f>
        <v>14624999.999999931</v>
      </c>
      <c r="K48" s="287">
        <f>+(K17-J17)*$D4*('Cost per Cell'!$M6+'Cost per Cell'!$M7)</f>
        <v>14625000.000000013</v>
      </c>
      <c r="L48" s="287">
        <f>+(L17-K17)*$D4*('Cost per Cell'!$M6+'Cost per Cell'!$M7)</f>
        <v>14625000.000000013</v>
      </c>
      <c r="M48" s="287">
        <f>+(M17-L17)*$D4*('Cost per Cell'!$M6+'Cost per Cell'!$M7)</f>
        <v>14625000.000000013</v>
      </c>
      <c r="N48" s="287">
        <f>+(N17-M17)*$D4*('Cost per Cell'!$M6+'Cost per Cell'!$M7)</f>
        <v>14625000.000000013</v>
      </c>
      <c r="O48" s="287">
        <f>+(O17-N17)*$D4*('Cost per Cell'!$M6+'Cost per Cell'!$M7)</f>
        <v>7312500.0000000065</v>
      </c>
      <c r="P48" s="291">
        <f>+(P17-O17)*$D4*('Cost per Cell'!$M6+'Cost per Cell'!$M7)</f>
        <v>14625000.000000013</v>
      </c>
      <c r="Q48" s="354"/>
      <c r="R48" s="354"/>
    </row>
    <row r="49" spans="1:18" x14ac:dyDescent="0.25">
      <c r="A49" s="330"/>
      <c r="B49" s="324" t="s">
        <v>114</v>
      </c>
      <c r="C49" s="325"/>
      <c r="D49" s="325"/>
      <c r="E49" s="326"/>
      <c r="G49" s="370" t="s">
        <v>122</v>
      </c>
      <c r="H49" s="287">
        <f>+(H18-99%)*$D4*('Cost per Cell'!$M6+'Cost per Cell'!$M7)</f>
        <v>0</v>
      </c>
      <c r="I49" s="287">
        <f>+(I18-H18)*$D4*('Cost per Cell'!$M6+'Cost per Cell'!$M7)</f>
        <v>0</v>
      </c>
      <c r="J49" s="287">
        <f>+(J18-I18)*$D4*('Cost per Cell'!$M6+'Cost per Cell'!$M7)</f>
        <v>0</v>
      </c>
      <c r="K49" s="287">
        <f>+(K18-J18)*$D4*('Cost per Cell'!$M6+'Cost per Cell'!$M7)</f>
        <v>0</v>
      </c>
      <c r="L49" s="287">
        <f>+(L18-K18)*$D4*('Cost per Cell'!$M6+'Cost per Cell'!$M7)</f>
        <v>0</v>
      </c>
      <c r="M49" s="287">
        <f>+(M18-L18)*$D4*('Cost per Cell'!$M6+'Cost per Cell'!$M7)</f>
        <v>7312500.0000000065</v>
      </c>
      <c r="N49" s="287">
        <f>+(N18-M18)*$D4*('Cost per Cell'!$M6+'Cost per Cell'!$M7)</f>
        <v>14625000.000000013</v>
      </c>
      <c r="O49" s="287">
        <f>+(O18-N18)*$D4*('Cost per Cell'!$M6+'Cost per Cell'!$M7)</f>
        <v>7312500.0000000065</v>
      </c>
      <c r="P49" s="291">
        <f>+(P18-O18)*$D4*('Cost per Cell'!$M6+'Cost per Cell'!$M7)</f>
        <v>14625000.000000013</v>
      </c>
      <c r="Q49" s="354"/>
      <c r="R49" s="354"/>
    </row>
    <row r="50" spans="1:18" x14ac:dyDescent="0.25">
      <c r="A50" s="330"/>
      <c r="B50" s="331"/>
      <c r="C50" s="332" t="s">
        <v>74</v>
      </c>
      <c r="D50" s="336">
        <v>800</v>
      </c>
      <c r="E50" s="334" t="s">
        <v>68</v>
      </c>
      <c r="G50" s="370" t="s">
        <v>132</v>
      </c>
      <c r="H50" s="287">
        <f>+(H22-0)*$D4*('Cost per Cell'!$G6+'Cost per Cell'!$G7)</f>
        <v>11375000</v>
      </c>
      <c r="I50" s="287">
        <f>+(I22-H22)*$D4*('Cost per Cell'!$G6+'Cost per Cell'!$G7)</f>
        <v>45500000</v>
      </c>
      <c r="J50" s="287">
        <f>+(J22-I22)*$D4*('Cost per Cell'!$G6+'Cost per Cell'!$G7)</f>
        <v>56875000</v>
      </c>
      <c r="K50" s="287">
        <f>+(K22-J22)*$D4*('Cost per Cell'!$G6+'Cost per Cell'!$G7)</f>
        <v>113750000</v>
      </c>
      <c r="L50" s="287">
        <f>+(L22-K22)*$D4*('Cost per Cell'!$G6+'Cost per Cell'!$G7)</f>
        <v>113749999.99999997</v>
      </c>
      <c r="M50" s="287">
        <f>+(M22-L22)*$D4*('Cost per Cell'!$G6+'Cost per Cell'!$G7)</f>
        <v>0</v>
      </c>
      <c r="N50" s="287">
        <f>+(N22-M22)*$D4*('Cost per Cell'!$G6+'Cost per Cell'!$G7)</f>
        <v>0</v>
      </c>
      <c r="O50" s="287">
        <f>+(O22-N22)*$D4*('Cost per Cell'!$G6+'Cost per Cell'!$G7)</f>
        <v>0</v>
      </c>
      <c r="P50" s="291">
        <f>+(P22-O22)*$D4*('Cost per Cell'!$G6+'Cost per Cell'!$G7)</f>
        <v>0</v>
      </c>
      <c r="Q50" s="354"/>
      <c r="R50" s="354"/>
    </row>
    <row r="51" spans="1:18" x14ac:dyDescent="0.25">
      <c r="A51" s="330"/>
      <c r="B51" s="331"/>
      <c r="C51" s="332" t="s">
        <v>67</v>
      </c>
      <c r="D51" s="366">
        <f>5000/800</f>
        <v>6.25</v>
      </c>
      <c r="E51" s="334" t="s">
        <v>69</v>
      </c>
      <c r="G51" s="370" t="s">
        <v>133</v>
      </c>
      <c r="H51" s="287">
        <f>+(H23-0)*$D4*('Cost per Cell'!$E6+'Cost per Cell'!$E7)</f>
        <v>0</v>
      </c>
      <c r="I51" s="287">
        <f>+(I23-H23)*$D4*('Cost per Cell'!$E6+'Cost per Cell'!$E7)</f>
        <v>0</v>
      </c>
      <c r="J51" s="287">
        <f>+(J23-I23)*$D4*('Cost per Cell'!$E6+'Cost per Cell'!$E7)</f>
        <v>113750000</v>
      </c>
      <c r="K51" s="287">
        <f>+(K23-J23)*$D4*('Cost per Cell'!$E6+'Cost per Cell'!$E7)</f>
        <v>227499999.99999997</v>
      </c>
      <c r="L51" s="287">
        <f>+(L23-K23)*$D4*('Cost per Cell'!$E6+'Cost per Cell'!$E7)</f>
        <v>341250000</v>
      </c>
      <c r="M51" s="287">
        <f>+(M23-L23)*$D4*('Cost per Cell'!$E6+'Cost per Cell'!$E7)</f>
        <v>341250000.00000006</v>
      </c>
      <c r="N51" s="287">
        <f>+(N23-M23)*$D4*('Cost per Cell'!$E6+'Cost per Cell'!$E7)</f>
        <v>113749999.99999997</v>
      </c>
      <c r="O51" s="287">
        <f>+(O23-N23)*$D4*('Cost per Cell'!$E6+'Cost per Cell'!$E7)</f>
        <v>34125000.00000003</v>
      </c>
      <c r="P51" s="291">
        <f>+(P23-O23)*$D4*('Cost per Cell'!$E6+'Cost per Cell'!$E7)</f>
        <v>22750000.000000019</v>
      </c>
      <c r="Q51" s="354"/>
      <c r="R51" s="354"/>
    </row>
    <row r="52" spans="1:18" ht="15.75" thickBot="1" x14ac:dyDescent="0.3">
      <c r="A52" s="330"/>
      <c r="B52" s="337"/>
      <c r="C52" s="338" t="s">
        <v>126</v>
      </c>
      <c r="D52" s="339">
        <f>D50*D51*60*60*24*30*3*D7/8/1000</f>
        <v>729000</v>
      </c>
      <c r="E52" s="340"/>
      <c r="G52" s="371" t="s">
        <v>255</v>
      </c>
      <c r="H52" s="287">
        <f>IF((H24-25%)&gt;0, (H24-25%),0)*$D5*('Cost per Cell'!$O6+'Cost per Cell'!$O7)</f>
        <v>3499999.9999999991</v>
      </c>
      <c r="I52" s="287">
        <f>IF((I24-H24)&gt;0, (I24-H24),0)*$D5*('Cost per Cell'!$O6+'Cost per Cell'!$O7)</f>
        <v>7000000.0000000028</v>
      </c>
      <c r="J52" s="287">
        <f>IF((J24-I24)&gt;0, (J24-I24),0)*$D5*('Cost per Cell'!$O6+'Cost per Cell'!$O7)</f>
        <v>6999999.9999999981</v>
      </c>
      <c r="K52" s="287">
        <f>IF((K24-J24)&gt;0, (K24-J24),0)*$D5*('Cost per Cell'!$O6+'Cost per Cell'!$O7)</f>
        <v>6999999.9999999981</v>
      </c>
      <c r="L52" s="287">
        <f>IF((L24-K24)&gt;0, (L24-K24),0)*$D5*('Cost per Cell'!$O6+'Cost per Cell'!$O7)</f>
        <v>0</v>
      </c>
      <c r="M52" s="287">
        <f>IF((M24-L24)&gt;0, (M24-L24),0)*$D5*('Cost per Cell'!$O6+'Cost per Cell'!$O7)</f>
        <v>0</v>
      </c>
      <c r="N52" s="287">
        <f>IF((N24-M24)&gt;0, (N24-M24),0)*$D5*('Cost per Cell'!$O6+'Cost per Cell'!$O7)</f>
        <v>0</v>
      </c>
      <c r="O52" s="287">
        <f>IF((O24-N24)&gt;0, (O24-N24),0)*$D5*('Cost per Cell'!$O6+'Cost per Cell'!$O7)</f>
        <v>0</v>
      </c>
      <c r="P52" s="291">
        <f>IF((P24-O24)&gt;0, (P24-O24),0)*$D5*('Cost per Cell'!$O6+'Cost per Cell'!$O7)</f>
        <v>0</v>
      </c>
    </row>
    <row r="53" spans="1:18" x14ac:dyDescent="0.25">
      <c r="B53" s="330"/>
      <c r="C53" s="330"/>
      <c r="D53" s="330"/>
      <c r="E53" s="330"/>
      <c r="G53" s="371" t="s">
        <v>256</v>
      </c>
      <c r="H53" s="287">
        <f>IF((H25-0)&gt;0, (H25-0),0)*$D5*('Cost per Cell'!$O6+'Cost per Cell'!$O7)</f>
        <v>0</v>
      </c>
      <c r="I53" s="287">
        <f>IF((I25-H25)&gt;0, (I25-H25),0)*$D5*('Cost per Cell'!$O6+'Cost per Cell'!$O7)</f>
        <v>7000000</v>
      </c>
      <c r="J53" s="287">
        <f>IF((J25-I25)&gt;0, (J25-I25),0)*$D5*('Cost per Cell'!$O6+'Cost per Cell'!$O7)</f>
        <v>7000000</v>
      </c>
      <c r="K53" s="287">
        <f>IF((K25-J25)&gt;0, (K25-J25),0)*$D5*('Cost per Cell'!$O6+'Cost per Cell'!$O7)</f>
        <v>6999999.9999999981</v>
      </c>
      <c r="L53" s="287">
        <f>IF((L25-K25)&gt;0, (L25-K25),0)*$D5*('Cost per Cell'!$O6+'Cost per Cell'!$O7)</f>
        <v>21000000</v>
      </c>
      <c r="M53" s="287">
        <f>IF((M25-L25)&gt;0, (M25-L25),0)*$D5*('Cost per Cell'!$O6+'Cost per Cell'!$O7)</f>
        <v>21000000.000000004</v>
      </c>
      <c r="N53" s="287">
        <f>IF((N25-M25)&gt;0, (N25-M25),0)*$D5*('Cost per Cell'!$O6+'Cost per Cell'!$O7)</f>
        <v>34999999.999999993</v>
      </c>
      <c r="O53" s="287">
        <f>IF((O25-N25)&gt;0, (O25-N25),0)*$D5*('Cost per Cell'!$O6+'Cost per Cell'!$O7)</f>
        <v>28000000.000000011</v>
      </c>
      <c r="P53" s="291">
        <f>IF((P25-O25)&gt;0, (P25-O25),0)*$D5*('Cost per Cell'!$O6+'Cost per Cell'!$O7)</f>
        <v>49000000</v>
      </c>
    </row>
    <row r="54" spans="1:18" x14ac:dyDescent="0.25">
      <c r="B54" s="330"/>
      <c r="C54" s="330"/>
      <c r="D54" s="330"/>
      <c r="E54" s="330"/>
      <c r="G54" s="369" t="s">
        <v>129</v>
      </c>
      <c r="H54" s="287">
        <f>IF((H26-0)&gt;0, (H26-0),0)*$D5*('Cost per Cell'!$I6+'Cost per Cell'!$I7)</f>
        <v>0</v>
      </c>
      <c r="I54" s="287">
        <f>IF((I26-H26)&gt;0, (I26-H26),0)*$D5*('Cost per Cell'!$I6+'Cost per Cell'!$I7)</f>
        <v>11000000</v>
      </c>
      <c r="J54" s="287">
        <f>IF((J26-I26)&gt;0, (J26-I26),0)*$D5*('Cost per Cell'!$I6+'Cost per Cell'!$I7)</f>
        <v>11000000</v>
      </c>
      <c r="K54" s="287">
        <f>IF((K26-J26)&gt;0, (K26-J26),0)*$D5*('Cost per Cell'!$I6+'Cost per Cell'!$I7)</f>
        <v>10999999.999999998</v>
      </c>
      <c r="L54" s="287">
        <f>IF((L26-K26)&gt;0, (L26-K26),0)*$D5*('Cost per Cell'!$I6+'Cost per Cell'!$I7)</f>
        <v>22000000.000000004</v>
      </c>
      <c r="M54" s="287">
        <f>IF((M26-L26)&gt;0, (M26-L26),0)*$D5*('Cost per Cell'!$I6+'Cost per Cell'!$I7)</f>
        <v>33000000</v>
      </c>
      <c r="N54" s="287">
        <f>IF((N26-M26)&gt;0, (N26-M26),0)*$D5*('Cost per Cell'!$I6+'Cost per Cell'!$I7)</f>
        <v>76999999.999999985</v>
      </c>
      <c r="O54" s="287">
        <f>IF((O26-N26)&gt;0, (O26-N26),0)*$D5*('Cost per Cell'!$I6+'Cost per Cell'!$I7)</f>
        <v>110000000</v>
      </c>
      <c r="P54" s="291">
        <f>IF((P26-O26)&gt;0, (P26-O26),0)*$D5*('Cost per Cell'!$I6+'Cost per Cell'!$I7)</f>
        <v>54999999.999999985</v>
      </c>
      <c r="Q54" s="354"/>
      <c r="R54" s="354"/>
    </row>
    <row r="55" spans="1:18" x14ac:dyDescent="0.25">
      <c r="B55" s="330"/>
      <c r="C55" s="330"/>
      <c r="D55" s="330"/>
      <c r="E55" s="330"/>
      <c r="G55" s="368" t="s">
        <v>47</v>
      </c>
      <c r="H55" s="288"/>
      <c r="I55" s="288"/>
      <c r="J55" s="288"/>
      <c r="K55" s="288"/>
      <c r="L55" s="288"/>
      <c r="M55" s="288"/>
      <c r="N55" s="288"/>
      <c r="O55" s="288"/>
      <c r="P55" s="289"/>
      <c r="Q55" s="354"/>
      <c r="R55" s="354"/>
    </row>
    <row r="56" spans="1:18" x14ac:dyDescent="0.25">
      <c r="B56" s="330"/>
      <c r="C56" s="330"/>
      <c r="D56" s="330"/>
      <c r="E56" s="330"/>
      <c r="G56" s="370" t="s">
        <v>121</v>
      </c>
      <c r="H56" s="292">
        <f>$D4*H17*SUM('Cost per Cell'!$M11:$M14)*12</f>
        <v>598455000</v>
      </c>
      <c r="I56" s="292">
        <f>$D4*I17*SUM('Cost per Cell'!$M11:$M14)*12</f>
        <v>611754000</v>
      </c>
      <c r="J56" s="292">
        <f>$D4*J17*SUM('Cost per Cell'!$M11:$M14)*12</f>
        <v>625053000</v>
      </c>
      <c r="K56" s="292">
        <f>$D4*K17*SUM('Cost per Cell'!$M11:$M14)*12</f>
        <v>638352000</v>
      </c>
      <c r="L56" s="292">
        <f>$D4*L17*SUM('Cost per Cell'!$M11:$M14)*12</f>
        <v>651651000</v>
      </c>
      <c r="M56" s="292">
        <f>$D4*M17*SUM('Cost per Cell'!$M11:$M14)*12</f>
        <v>664950000</v>
      </c>
      <c r="N56" s="292">
        <f>$D4*N17*SUM('Cost per Cell'!$M11:$M14)*12</f>
        <v>678249000</v>
      </c>
      <c r="O56" s="292">
        <f>$D4*O17*SUM('Cost per Cell'!$M11:$M14)*12</f>
        <v>684898500</v>
      </c>
      <c r="P56" s="293">
        <f>$D4*P17*SUM('Cost per Cell'!$M11:$M14)*12</f>
        <v>698197500</v>
      </c>
      <c r="Q56" s="354"/>
      <c r="R56" s="354"/>
    </row>
    <row r="57" spans="1:18" x14ac:dyDescent="0.25">
      <c r="G57" s="370" t="s">
        <v>122</v>
      </c>
      <c r="H57" s="292">
        <f>$D4*H17*SUM('Cost per Cell'!$M11:$M14)*12</f>
        <v>598455000</v>
      </c>
      <c r="I57" s="292">
        <f>$D4*I17*SUM('Cost per Cell'!$M11:$M14)*12</f>
        <v>611754000</v>
      </c>
      <c r="J57" s="292">
        <f>$D4*J17*SUM('Cost per Cell'!$M11:$M14)*12</f>
        <v>625053000</v>
      </c>
      <c r="K57" s="292">
        <f>$D4*K17*SUM('Cost per Cell'!$M11:$M14)*12</f>
        <v>638352000</v>
      </c>
      <c r="L57" s="292">
        <f>$D4*L17*SUM('Cost per Cell'!$M11:$M14)*12</f>
        <v>651651000</v>
      </c>
      <c r="M57" s="292">
        <f>$D4*M17*SUM('Cost per Cell'!$M11:$M14)*12</f>
        <v>664950000</v>
      </c>
      <c r="N57" s="292">
        <f>$D4*N17*SUM('Cost per Cell'!$M11:$M14)*12</f>
        <v>678249000</v>
      </c>
      <c r="O57" s="292">
        <f>$D4*O17*SUM('Cost per Cell'!$M11:$M14)*12</f>
        <v>684898500</v>
      </c>
      <c r="P57" s="293">
        <f>$D4*P17*SUM('Cost per Cell'!$M11:$M14)*12</f>
        <v>698197500</v>
      </c>
      <c r="Q57" s="374"/>
      <c r="R57" s="374"/>
    </row>
    <row r="58" spans="1:18" x14ac:dyDescent="0.25">
      <c r="G58" s="370" t="s">
        <v>132</v>
      </c>
      <c r="H58" s="292">
        <f>$D4*H22*SUM('Cost per Cell'!$G11:$G14)*12</f>
        <v>6378450</v>
      </c>
      <c r="I58" s="292">
        <f>$D4*I22*SUM('Cost per Cell'!$G11:$G14)*12</f>
        <v>31892250</v>
      </c>
      <c r="J58" s="292">
        <f>$D4*J22*SUM('Cost per Cell'!$G11:$G14)*12</f>
        <v>63784500</v>
      </c>
      <c r="K58" s="292">
        <f>$D4*K22*SUM('Cost per Cell'!$G11:$G14)*12</f>
        <v>127569000</v>
      </c>
      <c r="L58" s="292">
        <f>$D4*L22*SUM('Cost per Cell'!$G11:$G14)*12</f>
        <v>191353500</v>
      </c>
      <c r="M58" s="292">
        <f>$D4*M22*SUM('Cost per Cell'!$G11:$G14)*12</f>
        <v>191353500</v>
      </c>
      <c r="N58" s="292">
        <f>$D4*N22*SUM('Cost per Cell'!$G11:$G14)*12</f>
        <v>191353500</v>
      </c>
      <c r="O58" s="292">
        <f>$D4*O22*SUM('Cost per Cell'!$G11:$G14)*12</f>
        <v>191353500</v>
      </c>
      <c r="P58" s="293">
        <f>$D4*P22*SUM('Cost per Cell'!$G11:$G14)*12</f>
        <v>191353500</v>
      </c>
      <c r="Q58" s="354"/>
      <c r="R58" s="354"/>
    </row>
    <row r="59" spans="1:18" x14ac:dyDescent="0.25">
      <c r="G59" s="370" t="s">
        <v>133</v>
      </c>
      <c r="H59" s="292">
        <f>$D4*H23*SUM('Cost per Cell'!$E11:$E14)*12</f>
        <v>0</v>
      </c>
      <c r="I59" s="292">
        <f>$D4*I23*SUM('Cost per Cell'!$E11:$E14)*12</f>
        <v>0</v>
      </c>
      <c r="J59" s="292">
        <f>$D4*J23*SUM('Cost per Cell'!$E11:$E14)*12</f>
        <v>66787500</v>
      </c>
      <c r="K59" s="292">
        <f>$D4*K23*SUM('Cost per Cell'!$E11:$E14)*12</f>
        <v>200362500</v>
      </c>
      <c r="L59" s="292">
        <f>$D4*L23*SUM('Cost per Cell'!$E11:$E14)*12</f>
        <v>400725000</v>
      </c>
      <c r="M59" s="292">
        <f>$D4*M23*SUM('Cost per Cell'!$E11:$E14)*12</f>
        <v>601087500</v>
      </c>
      <c r="N59" s="292">
        <f>$D4*N23*SUM('Cost per Cell'!$E11:$E14)*12</f>
        <v>667875000</v>
      </c>
      <c r="O59" s="292">
        <f>$D4*O23*SUM('Cost per Cell'!$E11:$E14)*12</f>
        <v>687911250</v>
      </c>
      <c r="P59" s="293">
        <f>$D4*P23*SUM('Cost per Cell'!$E11:$E14)*12</f>
        <v>701268750</v>
      </c>
      <c r="Q59" s="354"/>
      <c r="R59" s="354"/>
    </row>
    <row r="60" spans="1:18" x14ac:dyDescent="0.25">
      <c r="G60" s="371" t="s">
        <v>255</v>
      </c>
      <c r="H60" s="292">
        <f>$D5*H24*SUM('Cost per Cell'!$O11:$O14)*12</f>
        <v>18489600</v>
      </c>
      <c r="I60" s="292">
        <f>$D5*I24*SUM('Cost per Cell'!$O11:$O14)*12</f>
        <v>24652800</v>
      </c>
      <c r="J60" s="292">
        <f>$D5*J24*SUM('Cost per Cell'!$O11:$O14)*12</f>
        <v>30816000</v>
      </c>
      <c r="K60" s="292">
        <f>$D5*K24*SUM('Cost per Cell'!$O11:$O14)*12</f>
        <v>36979200</v>
      </c>
      <c r="L60" s="292">
        <f>$D5*L24*SUM('Cost per Cell'!$O11:$O14)*12</f>
        <v>30816000</v>
      </c>
      <c r="M60" s="292">
        <f>$D5*M24*SUM('Cost per Cell'!$O11:$O14)*12</f>
        <v>30816000</v>
      </c>
      <c r="N60" s="292">
        <f>$D5*N24*SUM('Cost per Cell'!$O11:$O14)*12</f>
        <v>24652800</v>
      </c>
      <c r="O60" s="292">
        <f>$D5*O24*SUM('Cost per Cell'!$O11:$O14)*12</f>
        <v>18489600</v>
      </c>
      <c r="P60" s="293">
        <f>$D5*P24*SUM('Cost per Cell'!$O11:$O14)*12</f>
        <v>6163200</v>
      </c>
      <c r="Q60" s="354"/>
      <c r="R60" s="354"/>
    </row>
    <row r="61" spans="1:18" x14ac:dyDescent="0.25">
      <c r="G61" s="371" t="s">
        <v>256</v>
      </c>
      <c r="H61" s="292">
        <f>$D5*H25*SUM('Cost per Cell'!$O11:$O14)*12</f>
        <v>0</v>
      </c>
      <c r="I61" s="292">
        <f>$D5*I25*SUM('Cost per Cell'!$O11:$O14)*12</f>
        <v>6163200</v>
      </c>
      <c r="J61" s="292">
        <f>$D5*J25*SUM('Cost per Cell'!$O11:$O14)*12</f>
        <v>12326400</v>
      </c>
      <c r="K61" s="292">
        <f>$D5*K25*SUM('Cost per Cell'!$O11:$O14)*12</f>
        <v>18489600</v>
      </c>
      <c r="L61" s="292">
        <f>$D5*L25*SUM('Cost per Cell'!$O11:$O14)*12</f>
        <v>36979200</v>
      </c>
      <c r="M61" s="292">
        <f>$D5*M25*SUM('Cost per Cell'!$O11:$O14)*12</f>
        <v>55468800</v>
      </c>
      <c r="N61" s="292">
        <f>$D5*N25*SUM('Cost per Cell'!$O11:$O14)*12</f>
        <v>86284800</v>
      </c>
      <c r="O61" s="292">
        <f>$D5*O25*SUM('Cost per Cell'!$O11:$O14)*12</f>
        <v>110937600</v>
      </c>
      <c r="P61" s="293">
        <f>$D5*P25*SUM('Cost per Cell'!$O11:$O14)*12</f>
        <v>154080000</v>
      </c>
      <c r="Q61" s="354"/>
      <c r="R61" s="354"/>
    </row>
    <row r="62" spans="1:18" x14ac:dyDescent="0.25">
      <c r="G62" s="369" t="s">
        <v>129</v>
      </c>
      <c r="H62" s="292">
        <f>$D5*H26*SUM('Cost per Cell'!$I11:$I14)*12</f>
        <v>0</v>
      </c>
      <c r="I62" s="292">
        <f>$D5*I26*SUM('Cost per Cell'!$I11:$I14)*12</f>
        <v>4110000</v>
      </c>
      <c r="J62" s="292">
        <f>$D5*J26*SUM('Cost per Cell'!$I11:$I14)*12</f>
        <v>8220000</v>
      </c>
      <c r="K62" s="292">
        <f>$D5*K26*SUM('Cost per Cell'!$I11:$I14)*12</f>
        <v>12330000</v>
      </c>
      <c r="L62" s="292">
        <f>$D5*L26*SUM('Cost per Cell'!$I11:$I14)*12</f>
        <v>20550000</v>
      </c>
      <c r="M62" s="292">
        <f>$D5*M26*SUM('Cost per Cell'!$I11:$I14)*12</f>
        <v>32880000</v>
      </c>
      <c r="N62" s="292">
        <f>$D5*N26*SUM('Cost per Cell'!$I11:$I14)*12</f>
        <v>61650000</v>
      </c>
      <c r="O62" s="292">
        <f>$D5*O26*SUM('Cost per Cell'!$I11:$I14)*12</f>
        <v>102750000</v>
      </c>
      <c r="P62" s="293">
        <f>$D5*P26*SUM('Cost per Cell'!$I11:$I14)*12</f>
        <v>123300000</v>
      </c>
      <c r="Q62" s="354"/>
      <c r="R62" s="354"/>
    </row>
    <row r="63" spans="1:18" ht="15.75" thickBot="1" x14ac:dyDescent="0.3">
      <c r="G63" s="376" t="s">
        <v>12</v>
      </c>
      <c r="H63" s="302">
        <f t="shared" ref="H63:P63" si="14">SUM(H44:H62)</f>
        <v>2027826520.3647418</v>
      </c>
      <c r="I63" s="302">
        <f t="shared" si="14"/>
        <v>8325251250</v>
      </c>
      <c r="J63" s="302">
        <f t="shared" si="14"/>
        <v>1642290400</v>
      </c>
      <c r="K63" s="302">
        <f t="shared" si="14"/>
        <v>2053309300</v>
      </c>
      <c r="L63" s="302">
        <f t="shared" si="14"/>
        <v>2496350700</v>
      </c>
      <c r="M63" s="302">
        <f t="shared" si="14"/>
        <v>2658693300</v>
      </c>
      <c r="N63" s="302">
        <f t="shared" si="14"/>
        <v>2643314100</v>
      </c>
      <c r="O63" s="302">
        <f t="shared" si="14"/>
        <v>2667988950</v>
      </c>
      <c r="P63" s="303">
        <f t="shared" si="14"/>
        <v>2728560450</v>
      </c>
      <c r="Q63" s="354"/>
      <c r="R63" s="354"/>
    </row>
    <row r="64" spans="1:18" x14ac:dyDescent="0.25">
      <c r="G64" s="354"/>
      <c r="H64" s="354"/>
      <c r="I64" s="354"/>
      <c r="J64" s="354"/>
      <c r="K64" s="354"/>
      <c r="L64" s="354"/>
      <c r="M64" s="354"/>
      <c r="N64" s="354"/>
      <c r="O64" s="354"/>
      <c r="P64" s="354"/>
      <c r="Q64" s="354"/>
      <c r="R64" s="354"/>
    </row>
    <row r="65" spans="7:18" ht="15.75" thickBot="1" x14ac:dyDescent="0.3">
      <c r="G65" s="354"/>
      <c r="H65" s="354"/>
      <c r="I65" s="354"/>
      <c r="J65" s="354"/>
      <c r="K65" s="354"/>
      <c r="L65" s="354"/>
      <c r="M65" s="354"/>
      <c r="N65" s="354"/>
      <c r="O65" s="354"/>
      <c r="P65" s="354"/>
      <c r="Q65" s="354"/>
      <c r="R65" s="354"/>
    </row>
    <row r="66" spans="7:18" x14ac:dyDescent="0.25">
      <c r="G66" s="347" t="s">
        <v>100</v>
      </c>
      <c r="H66" s="348" t="s">
        <v>8</v>
      </c>
      <c r="I66" s="348" t="s">
        <v>0</v>
      </c>
      <c r="J66" s="348" t="s">
        <v>1</v>
      </c>
      <c r="K66" s="348" t="s">
        <v>2</v>
      </c>
      <c r="L66" s="348" t="s">
        <v>3</v>
      </c>
      <c r="M66" s="348" t="s">
        <v>4</v>
      </c>
      <c r="N66" s="348" t="s">
        <v>5</v>
      </c>
      <c r="O66" s="348" t="s">
        <v>6</v>
      </c>
      <c r="P66" s="349" t="s">
        <v>7</v>
      </c>
      <c r="Q66" s="354"/>
      <c r="R66" s="354"/>
    </row>
    <row r="67" spans="7:18" x14ac:dyDescent="0.25">
      <c r="G67" s="377" t="s">
        <v>16</v>
      </c>
      <c r="H67" s="378">
        <f>140/3.2</f>
        <v>43.75</v>
      </c>
      <c r="I67" s="378">
        <f>H67*1.02</f>
        <v>44.625</v>
      </c>
      <c r="J67" s="378">
        <f t="shared" ref="J67:P67" si="15">I67*1.02</f>
        <v>45.517499999999998</v>
      </c>
      <c r="K67" s="378">
        <f t="shared" si="15"/>
        <v>46.427849999999999</v>
      </c>
      <c r="L67" s="378">
        <f t="shared" si="15"/>
        <v>47.356406999999997</v>
      </c>
      <c r="M67" s="378">
        <f t="shared" si="15"/>
        <v>48.303535140000001</v>
      </c>
      <c r="N67" s="378">
        <f t="shared" si="15"/>
        <v>49.269605842800004</v>
      </c>
      <c r="O67" s="378">
        <f t="shared" si="15"/>
        <v>50.254997959656002</v>
      </c>
      <c r="P67" s="379">
        <f t="shared" si="15"/>
        <v>51.260097918849127</v>
      </c>
      <c r="Q67" s="354"/>
      <c r="R67" s="354"/>
    </row>
    <row r="68" spans="7:18" ht="15.75" thickBot="1" x14ac:dyDescent="0.3">
      <c r="G68" s="380" t="s">
        <v>104</v>
      </c>
      <c r="H68" s="381">
        <f t="shared" ref="H68:P68" si="16">H12*H67*12</f>
        <v>15962821874.999996</v>
      </c>
      <c r="I68" s="381">
        <f t="shared" si="16"/>
        <v>16607719878.749996</v>
      </c>
      <c r="J68" s="381">
        <f t="shared" si="16"/>
        <v>17272028673.899998</v>
      </c>
      <c r="K68" s="381">
        <f t="shared" si="16"/>
        <v>17956266732.904499</v>
      </c>
      <c r="L68" s="381">
        <f t="shared" si="16"/>
        <v>18660965502.799618</v>
      </c>
      <c r="M68" s="381">
        <f t="shared" si="16"/>
        <v>19386669716.797382</v>
      </c>
      <c r="N68" s="381">
        <f t="shared" si="16"/>
        <v>20133937713.153938</v>
      </c>
      <c r="O68" s="381">
        <f t="shared" si="16"/>
        <v>20903341761.478031</v>
      </c>
      <c r="P68" s="382">
        <f t="shared" si="16"/>
        <v>21695468396.64983</v>
      </c>
      <c r="Q68" s="354"/>
      <c r="R68" s="354"/>
    </row>
    <row r="69" spans="7:18" x14ac:dyDescent="0.25">
      <c r="G69" s="354"/>
      <c r="H69" s="354"/>
      <c r="I69" s="354"/>
      <c r="J69" s="354"/>
      <c r="K69" s="354"/>
      <c r="L69" s="354"/>
      <c r="M69" s="354"/>
      <c r="N69" s="354"/>
      <c r="O69" s="354"/>
      <c r="P69" s="354"/>
      <c r="Q69" s="354"/>
      <c r="R69" s="354"/>
    </row>
    <row r="70" spans="7:18" ht="15.75" thickBot="1" x14ac:dyDescent="0.3">
      <c r="G70" s="354"/>
      <c r="H70" s="354"/>
      <c r="I70" s="354"/>
      <c r="J70" s="354"/>
      <c r="K70" s="354"/>
      <c r="L70" s="354"/>
      <c r="M70" s="354"/>
      <c r="N70" s="354"/>
      <c r="O70" s="354"/>
      <c r="P70" s="354"/>
      <c r="Q70" s="354"/>
      <c r="R70" s="354"/>
    </row>
    <row r="71" spans="7:18" x14ac:dyDescent="0.25">
      <c r="G71" s="347" t="s">
        <v>105</v>
      </c>
      <c r="H71" s="348" t="s">
        <v>8</v>
      </c>
      <c r="I71" s="348" t="s">
        <v>0</v>
      </c>
      <c r="J71" s="348" t="s">
        <v>1</v>
      </c>
      <c r="K71" s="348" t="s">
        <v>2</v>
      </c>
      <c r="L71" s="348" t="s">
        <v>3</v>
      </c>
      <c r="M71" s="348" t="s">
        <v>4</v>
      </c>
      <c r="N71" s="348" t="s">
        <v>5</v>
      </c>
      <c r="O71" s="348" t="s">
        <v>6</v>
      </c>
      <c r="P71" s="349" t="s">
        <v>7</v>
      </c>
      <c r="Q71" s="354"/>
      <c r="R71" s="354"/>
    </row>
    <row r="72" spans="7:18" x14ac:dyDescent="0.25">
      <c r="G72" s="377" t="s">
        <v>107</v>
      </c>
      <c r="H72" s="383">
        <f t="shared" ref="H72:P72" si="17">+H68</f>
        <v>15962821874.999996</v>
      </c>
      <c r="I72" s="383">
        <f t="shared" si="17"/>
        <v>16607719878.749996</v>
      </c>
      <c r="J72" s="383">
        <f t="shared" si="17"/>
        <v>17272028673.899998</v>
      </c>
      <c r="K72" s="383">
        <f t="shared" si="17"/>
        <v>17956266732.904499</v>
      </c>
      <c r="L72" s="383">
        <f t="shared" si="17"/>
        <v>18660965502.799618</v>
      </c>
      <c r="M72" s="383">
        <f t="shared" si="17"/>
        <v>19386669716.797382</v>
      </c>
      <c r="N72" s="383">
        <f t="shared" si="17"/>
        <v>20133937713.153938</v>
      </c>
      <c r="O72" s="383">
        <f t="shared" si="17"/>
        <v>20903341761.478031</v>
      </c>
      <c r="P72" s="384">
        <f t="shared" si="17"/>
        <v>21695468396.64983</v>
      </c>
      <c r="Q72" s="354"/>
      <c r="R72" s="354"/>
    </row>
    <row r="73" spans="7:18" x14ac:dyDescent="0.25">
      <c r="G73" s="377" t="s">
        <v>288</v>
      </c>
      <c r="H73" s="383">
        <f t="shared" ref="H73:P73" si="18">H63</f>
        <v>2027826520.3647418</v>
      </c>
      <c r="I73" s="383">
        <f t="shared" si="18"/>
        <v>8325251250</v>
      </c>
      <c r="J73" s="383">
        <f t="shared" si="18"/>
        <v>1642290400</v>
      </c>
      <c r="K73" s="383">
        <f t="shared" si="18"/>
        <v>2053309300</v>
      </c>
      <c r="L73" s="383">
        <f t="shared" si="18"/>
        <v>2496350700</v>
      </c>
      <c r="M73" s="383">
        <f t="shared" si="18"/>
        <v>2658693300</v>
      </c>
      <c r="N73" s="383">
        <f t="shared" si="18"/>
        <v>2643314100</v>
      </c>
      <c r="O73" s="383">
        <f t="shared" si="18"/>
        <v>2667988950</v>
      </c>
      <c r="P73" s="384">
        <f t="shared" si="18"/>
        <v>2728560450</v>
      </c>
      <c r="Q73" s="354"/>
      <c r="R73" s="354"/>
    </row>
    <row r="74" spans="7:18" x14ac:dyDescent="0.25">
      <c r="G74" s="377" t="s">
        <v>257</v>
      </c>
      <c r="H74" s="383">
        <f>H72*0.25</f>
        <v>3990705468.749999</v>
      </c>
      <c r="I74" s="383">
        <f t="shared" ref="I74:P74" si="19">I72*0.25</f>
        <v>4151929969.687499</v>
      </c>
      <c r="J74" s="383">
        <f t="shared" si="19"/>
        <v>4318007168.4749994</v>
      </c>
      <c r="K74" s="383">
        <f t="shared" si="19"/>
        <v>4489066683.2261248</v>
      </c>
      <c r="L74" s="383">
        <f t="shared" si="19"/>
        <v>4665241375.6999044</v>
      </c>
      <c r="M74" s="383">
        <f t="shared" si="19"/>
        <v>4846667429.1993456</v>
      </c>
      <c r="N74" s="383">
        <f t="shared" si="19"/>
        <v>5033484428.2884846</v>
      </c>
      <c r="O74" s="383">
        <f t="shared" si="19"/>
        <v>5225835440.3695078</v>
      </c>
      <c r="P74" s="384">
        <f t="shared" si="19"/>
        <v>5423867099.1624575</v>
      </c>
    </row>
    <row r="75" spans="7:18" ht="15.75" thickBot="1" x14ac:dyDescent="0.3">
      <c r="G75" s="380" t="s">
        <v>9</v>
      </c>
      <c r="H75" s="381">
        <f t="shared" ref="H75:P75" si="20">H72-H74-H73</f>
        <v>9944289885.8852539</v>
      </c>
      <c r="I75" s="381">
        <f t="shared" si="20"/>
        <v>4130538659.0624962</v>
      </c>
      <c r="J75" s="381">
        <f t="shared" si="20"/>
        <v>11311731105.424999</v>
      </c>
      <c r="K75" s="381">
        <f t="shared" si="20"/>
        <v>11413890749.678375</v>
      </c>
      <c r="L75" s="381">
        <f t="shared" si="20"/>
        <v>11499373427.099712</v>
      </c>
      <c r="M75" s="381">
        <f t="shared" si="20"/>
        <v>11881308987.598038</v>
      </c>
      <c r="N75" s="381">
        <f t="shared" si="20"/>
        <v>12457139184.865454</v>
      </c>
      <c r="O75" s="381">
        <f t="shared" si="20"/>
        <v>13009517371.108524</v>
      </c>
      <c r="P75" s="382">
        <f t="shared" si="20"/>
        <v>13543040847.487373</v>
      </c>
      <c r="Q75" s="354"/>
      <c r="R75" s="354"/>
    </row>
    <row r="76" spans="7:18" ht="15.75" thickBot="1" x14ac:dyDescent="0.3">
      <c r="G76" s="354"/>
      <c r="H76" s="354"/>
      <c r="I76" s="354"/>
      <c r="J76" s="354"/>
      <c r="K76" s="354"/>
      <c r="L76" s="354"/>
      <c r="M76" s="354"/>
      <c r="N76" s="354"/>
      <c r="O76" s="354"/>
      <c r="P76" s="354"/>
      <c r="Q76" s="354"/>
      <c r="R76" s="354"/>
    </row>
    <row r="77" spans="7:18" x14ac:dyDescent="0.25">
      <c r="G77" s="385" t="s">
        <v>108</v>
      </c>
      <c r="H77" s="386">
        <f>NPV(0.1,H75:P75)</f>
        <v>60800428488.611397</v>
      </c>
      <c r="I77" s="354"/>
      <c r="J77" s="354"/>
      <c r="K77" s="354"/>
      <c r="L77" s="354"/>
      <c r="M77" s="354"/>
      <c r="N77" s="354"/>
      <c r="O77" s="354"/>
      <c r="P77" s="354"/>
      <c r="Q77" s="354"/>
      <c r="R77" s="354"/>
    </row>
    <row r="78" spans="7:18" ht="15.75" thickBot="1" x14ac:dyDescent="0.3">
      <c r="G78" s="387" t="s">
        <v>109</v>
      </c>
      <c r="H78" s="388" t="str">
        <f>IFERROR(IRR(H75:P75,-99%), "N/A")</f>
        <v>N/A</v>
      </c>
      <c r="I78" s="354"/>
      <c r="J78" s="354"/>
      <c r="K78" s="354"/>
      <c r="L78" s="354"/>
      <c r="M78" s="354"/>
      <c r="N78" s="354"/>
      <c r="O78" s="354"/>
      <c r="P78" s="354"/>
      <c r="Q78" s="354"/>
    </row>
    <row r="79" spans="7:18" x14ac:dyDescent="0.25">
      <c r="Q79" s="354"/>
      <c r="R79" s="354"/>
    </row>
    <row r="80" spans="7:18" x14ac:dyDescent="0.25">
      <c r="Q80" s="354"/>
      <c r="R80" s="354"/>
    </row>
  </sheetData>
  <sheetProtection algorithmName="SHA-512" hashValue="1/UEmC5CRqnJEAesYM9gt+PrTSG0a4XvIAAOIHbHCKb/bW1urDM5CfxUyViGCPeve/iRjdagRmOvGWfITEUEwg==" saltValue="ZmYQRtJhcZ9vQG800Dz3ig==" spinCount="100000" sheet="1" objects="1" scenarios="1"/>
  <protectedRanges>
    <protectedRange algorithmName="SHA-512" hashValue="43VdU94c5KBmTnzGQJo46LZV3Gw54jnF4UoeCRTiJt9J2otpiWluXeO7+vkRLb4F4+fJ++gDpGhkcTjCfDZvug==" saltValue="yQbkv8rMhSuvXMo2Gd0ZWw==" spinCount="100000" sqref="B4:D52" name="Range2"/>
    <protectedRange algorithmName="SHA-512" hashValue="pJ2Xs2deoD4aCT4EdPG77bmcNyow36ctSQYdCj2JSaLueUTg0BwkkLGWa8SQewyfmi+Aa6J8bfCajT7yh//LVQ==" saltValue="mVPLstpQR4dKbxLIrHTTFQ==" spinCount="100000" sqref="G9:P26" name="Range1"/>
  </protectedRanges>
  <conditionalFormatting sqref="A1:XFD9 S10:XFD10 A10:Q10 A11:XFD73 A75:XFD1048576 S74:XFD74 A74:Q74">
    <cfRule type="expression" dxfId="9" priority="1">
      <formula>"a1&lt;0"</formula>
    </cfRule>
  </conditionalFormatting>
  <pageMargins left="0.7" right="0.7" top="0.75" bottom="0.75" header="0.3" footer="0.3"/>
  <pageSetup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80"/>
  <sheetViews>
    <sheetView zoomScale="85" zoomScaleNormal="85" workbookViewId="0"/>
  </sheetViews>
  <sheetFormatPr defaultColWidth="8.85546875" defaultRowHeight="15" x14ac:dyDescent="0.25"/>
  <cols>
    <col min="1" max="2" width="8.85546875" style="318"/>
    <col min="3" max="3" width="23.7109375" style="318" customWidth="1"/>
    <col min="4" max="4" width="14" style="318" bestFit="1" customWidth="1"/>
    <col min="5" max="5" width="11.7109375" style="318" customWidth="1"/>
    <col min="6" max="6" width="8.85546875" style="318"/>
    <col min="7" max="7" width="31.28515625" style="318" customWidth="1"/>
    <col min="8" max="8" width="18.7109375" style="318" bestFit="1" customWidth="1"/>
    <col min="9" max="16" width="15.7109375" style="318" bestFit="1" customWidth="1"/>
    <col min="17" max="16384" width="8.85546875" style="318"/>
  </cols>
  <sheetData>
    <row r="1" spans="1:16" x14ac:dyDescent="0.25">
      <c r="A1" s="317" t="s">
        <v>300</v>
      </c>
    </row>
    <row r="2" spans="1:16" x14ac:dyDescent="0.25">
      <c r="A2" s="318" t="s">
        <v>112</v>
      </c>
    </row>
    <row r="3" spans="1:16" x14ac:dyDescent="0.25">
      <c r="B3" s="318" t="s">
        <v>158</v>
      </c>
    </row>
    <row r="4" spans="1:16" x14ac:dyDescent="0.25">
      <c r="C4" s="318" t="s">
        <v>157</v>
      </c>
      <c r="D4" s="319">
        <f>'3.  USA OVERALL'!C5*0.25</f>
        <v>16250</v>
      </c>
      <c r="E4" s="318" t="s">
        <v>145</v>
      </c>
    </row>
    <row r="5" spans="1:16" x14ac:dyDescent="0.25">
      <c r="C5" s="318" t="s">
        <v>144</v>
      </c>
      <c r="D5" s="320">
        <v>5000</v>
      </c>
      <c r="E5" s="318" t="s">
        <v>145</v>
      </c>
    </row>
    <row r="6" spans="1:16" x14ac:dyDescent="0.25">
      <c r="C6" s="318" t="s">
        <v>93</v>
      </c>
      <c r="D6" s="319">
        <v>95712500</v>
      </c>
      <c r="E6" s="318" t="s">
        <v>250</v>
      </c>
    </row>
    <row r="7" spans="1:16" x14ac:dyDescent="0.25">
      <c r="C7" s="318" t="s">
        <v>303</v>
      </c>
      <c r="D7" s="321">
        <v>0.15</v>
      </c>
      <c r="E7" s="318" t="s">
        <v>251</v>
      </c>
    </row>
    <row r="8" spans="1:16" ht="15.75" thickBot="1" x14ac:dyDescent="0.3">
      <c r="H8" s="322">
        <v>2019</v>
      </c>
      <c r="I8" s="322">
        <v>2020</v>
      </c>
      <c r="J8" s="322">
        <v>2021</v>
      </c>
      <c r="K8" s="322">
        <v>2022</v>
      </c>
      <c r="L8" s="322">
        <v>2023</v>
      </c>
      <c r="M8" s="322">
        <v>2024</v>
      </c>
      <c r="N8" s="322">
        <v>2025</v>
      </c>
      <c r="O8" s="322">
        <v>2026</v>
      </c>
      <c r="P8" s="322">
        <v>2027</v>
      </c>
    </row>
    <row r="9" spans="1:16" s="317" customFormat="1" x14ac:dyDescent="0.25">
      <c r="A9" s="323"/>
      <c r="B9" s="324" t="s">
        <v>142</v>
      </c>
      <c r="C9" s="325"/>
      <c r="D9" s="325"/>
      <c r="E9" s="326"/>
      <c r="G9" s="327" t="s">
        <v>88</v>
      </c>
      <c r="H9" s="328" t="s">
        <v>8</v>
      </c>
      <c r="I9" s="328" t="s">
        <v>0</v>
      </c>
      <c r="J9" s="328" t="s">
        <v>1</v>
      </c>
      <c r="K9" s="328" t="s">
        <v>2</v>
      </c>
      <c r="L9" s="328" t="s">
        <v>3</v>
      </c>
      <c r="M9" s="328" t="s">
        <v>4</v>
      </c>
      <c r="N9" s="328" t="s">
        <v>5</v>
      </c>
      <c r="O9" s="328" t="s">
        <v>6</v>
      </c>
      <c r="P9" s="329" t="s">
        <v>7</v>
      </c>
    </row>
    <row r="10" spans="1:16" x14ac:dyDescent="0.25">
      <c r="A10" s="330"/>
      <c r="B10" s="331"/>
      <c r="C10" s="332" t="s">
        <v>154</v>
      </c>
      <c r="D10" s="333">
        <v>0</v>
      </c>
      <c r="E10" s="334" t="s">
        <v>68</v>
      </c>
      <c r="G10" s="335" t="s">
        <v>15</v>
      </c>
      <c r="H10" s="306">
        <v>12</v>
      </c>
      <c r="I10" s="306">
        <f>H10*1.35</f>
        <v>16.200000000000003</v>
      </c>
      <c r="J10" s="306">
        <f t="shared" ref="J10:M10" si="0">I10*1.35</f>
        <v>21.870000000000005</v>
      </c>
      <c r="K10" s="306">
        <f t="shared" si="0"/>
        <v>29.524500000000007</v>
      </c>
      <c r="L10" s="306">
        <f t="shared" si="0"/>
        <v>39.858075000000014</v>
      </c>
      <c r="M10" s="306">
        <f t="shared" si="0"/>
        <v>53.808401250000024</v>
      </c>
      <c r="N10" s="306">
        <f>M10*1.3</f>
        <v>69.950921625000035</v>
      </c>
      <c r="O10" s="306">
        <f>N10*1.25</f>
        <v>87.438652031250044</v>
      </c>
      <c r="P10" s="307">
        <f>O10*1.25</f>
        <v>109.29831503906256</v>
      </c>
    </row>
    <row r="11" spans="1:16" x14ac:dyDescent="0.25">
      <c r="A11" s="330"/>
      <c r="B11" s="331"/>
      <c r="C11" s="332" t="s">
        <v>67</v>
      </c>
      <c r="D11" s="336">
        <v>2</v>
      </c>
      <c r="E11" s="334" t="s">
        <v>69</v>
      </c>
      <c r="G11" s="331" t="s">
        <v>115</v>
      </c>
      <c r="H11" s="308">
        <v>0.35</v>
      </c>
      <c r="I11" s="308">
        <v>0.35</v>
      </c>
      <c r="J11" s="308">
        <v>0.35</v>
      </c>
      <c r="K11" s="308">
        <v>0.35</v>
      </c>
      <c r="L11" s="308">
        <v>0.35</v>
      </c>
      <c r="M11" s="308">
        <v>0.35</v>
      </c>
      <c r="N11" s="308">
        <v>0.35</v>
      </c>
      <c r="O11" s="308">
        <v>0.35</v>
      </c>
      <c r="P11" s="309">
        <v>0.35</v>
      </c>
    </row>
    <row r="12" spans="1:16" ht="15.75" thickBot="1" x14ac:dyDescent="0.3">
      <c r="A12" s="330"/>
      <c r="B12" s="337"/>
      <c r="C12" s="338" t="s">
        <v>126</v>
      </c>
      <c r="D12" s="339">
        <f>D10*D11*60*60*24*30*3*D7/8/1000</f>
        <v>0</v>
      </c>
      <c r="E12" s="340"/>
      <c r="G12" s="341" t="s">
        <v>116</v>
      </c>
      <c r="H12" s="310">
        <f>H11*$D6</f>
        <v>33499374.999999996</v>
      </c>
      <c r="I12" s="310">
        <f>I11*$D6*1.02</f>
        <v>34169362.5</v>
      </c>
      <c r="J12" s="310">
        <f>J11*$D6*1.04</f>
        <v>34839350</v>
      </c>
      <c r="K12" s="310">
        <f>K11*$D6*1.06</f>
        <v>35509337.5</v>
      </c>
      <c r="L12" s="310">
        <f>L11*$D6*1.08</f>
        <v>36179325</v>
      </c>
      <c r="M12" s="310">
        <f>M11*$D6*1.1</f>
        <v>36849312.5</v>
      </c>
      <c r="N12" s="310">
        <f>N11*$D6*1.12</f>
        <v>37519300</v>
      </c>
      <c r="O12" s="310">
        <f>O11*$D6*1.14</f>
        <v>38189287.499999993</v>
      </c>
      <c r="P12" s="311">
        <f>P11*$D6*1.16</f>
        <v>38859274.999999993</v>
      </c>
    </row>
    <row r="13" spans="1:16" ht="15.75" thickBot="1" x14ac:dyDescent="0.3">
      <c r="A13" s="330"/>
      <c r="B13" s="342" t="s">
        <v>143</v>
      </c>
      <c r="C13" s="323"/>
      <c r="D13" s="323"/>
      <c r="E13" s="343"/>
      <c r="G13" s="344" t="s">
        <v>117</v>
      </c>
      <c r="H13" s="312">
        <f>H12*H10</f>
        <v>401992499.99999994</v>
      </c>
      <c r="I13" s="312">
        <f t="shared" ref="I13:P13" si="1">I12*I10</f>
        <v>553543672.50000012</v>
      </c>
      <c r="J13" s="312">
        <f t="shared" si="1"/>
        <v>761936584.50000012</v>
      </c>
      <c r="K13" s="312">
        <f t="shared" si="1"/>
        <v>1048395435.0187502</v>
      </c>
      <c r="L13" s="312">
        <f t="shared" si="1"/>
        <v>1442038249.2993755</v>
      </c>
      <c r="M13" s="312">
        <f t="shared" si="1"/>
        <v>1982802592.7866416</v>
      </c>
      <c r="N13" s="312">
        <f t="shared" si="1"/>
        <v>2624509613.724864</v>
      </c>
      <c r="O13" s="312">
        <f t="shared" si="1"/>
        <v>3339219821.0338664</v>
      </c>
      <c r="P13" s="313">
        <f t="shared" si="1"/>
        <v>4247253281.1395669</v>
      </c>
    </row>
    <row r="14" spans="1:16" x14ac:dyDescent="0.25">
      <c r="A14" s="330"/>
      <c r="B14" s="331"/>
      <c r="C14" s="332" t="s">
        <v>66</v>
      </c>
      <c r="D14" s="336">
        <v>40</v>
      </c>
      <c r="E14" s="334" t="s">
        <v>68</v>
      </c>
      <c r="G14" s="317"/>
      <c r="H14" s="314"/>
      <c r="I14" s="314"/>
      <c r="J14" s="314"/>
      <c r="K14" s="314"/>
      <c r="L14" s="314"/>
      <c r="M14" s="314"/>
      <c r="N14" s="314"/>
      <c r="O14" s="314"/>
      <c r="P14" s="314"/>
    </row>
    <row r="15" spans="1:16" s="317" customFormat="1" x14ac:dyDescent="0.25">
      <c r="A15" s="323"/>
      <c r="B15" s="331"/>
      <c r="C15" s="332" t="s">
        <v>67</v>
      </c>
      <c r="D15" s="336">
        <v>2</v>
      </c>
      <c r="E15" s="334" t="s">
        <v>69</v>
      </c>
      <c r="G15" s="345" t="s">
        <v>123</v>
      </c>
      <c r="H15" s="315"/>
      <c r="I15" s="315"/>
      <c r="J15" s="315"/>
      <c r="K15" s="315"/>
      <c r="L15" s="315"/>
      <c r="M15" s="315"/>
      <c r="N15" s="315"/>
      <c r="O15" s="315"/>
      <c r="P15" s="315"/>
    </row>
    <row r="16" spans="1:16" ht="15.75" thickBot="1" x14ac:dyDescent="0.3">
      <c r="A16" s="330"/>
      <c r="B16" s="331"/>
      <c r="C16" s="332" t="s">
        <v>126</v>
      </c>
      <c r="D16" s="333">
        <f>D14*D15*60*60*24*30*3*D7/8/1000</f>
        <v>11664</v>
      </c>
      <c r="E16" s="334"/>
      <c r="G16" s="345" t="s">
        <v>128</v>
      </c>
      <c r="H16" s="393"/>
      <c r="I16" s="393"/>
      <c r="J16" s="393"/>
      <c r="K16" s="393"/>
      <c r="L16" s="393"/>
      <c r="M16" s="393"/>
      <c r="N16" s="393"/>
      <c r="O16" s="393"/>
      <c r="P16" s="393"/>
    </row>
    <row r="17" spans="1:17" x14ac:dyDescent="0.25">
      <c r="A17" s="330"/>
      <c r="B17" s="324" t="s">
        <v>147</v>
      </c>
      <c r="C17" s="325"/>
      <c r="D17" s="325"/>
      <c r="E17" s="326"/>
      <c r="G17" s="345" t="s">
        <v>121</v>
      </c>
      <c r="H17" s="316">
        <v>0.98</v>
      </c>
      <c r="I17" s="316">
        <v>1</v>
      </c>
      <c r="J17" s="316">
        <v>1.05</v>
      </c>
      <c r="K17" s="316">
        <v>1.08</v>
      </c>
      <c r="L17" s="316">
        <v>1.1200000000000001</v>
      </c>
      <c r="M17" s="316">
        <v>1.1499999999999999</v>
      </c>
      <c r="N17" s="316">
        <v>1.18</v>
      </c>
      <c r="O17" s="316">
        <v>1.21</v>
      </c>
      <c r="P17" s="316">
        <v>1.25</v>
      </c>
    </row>
    <row r="18" spans="1:17" x14ac:dyDescent="0.25">
      <c r="A18" s="330"/>
      <c r="B18" s="331"/>
      <c r="C18" s="332" t="s">
        <v>161</v>
      </c>
      <c r="D18" s="336">
        <v>60</v>
      </c>
      <c r="E18" s="334" t="s">
        <v>68</v>
      </c>
      <c r="G18" s="345" t="s">
        <v>122</v>
      </c>
      <c r="H18" s="316">
        <v>0.7</v>
      </c>
      <c r="I18" s="316">
        <v>0.8</v>
      </c>
      <c r="J18" s="316">
        <v>0.9</v>
      </c>
      <c r="K18" s="316">
        <v>1</v>
      </c>
      <c r="L18" s="316">
        <v>1.05</v>
      </c>
      <c r="M18" s="316">
        <v>1.1000000000000001</v>
      </c>
      <c r="N18" s="316">
        <v>1.1499999999999999</v>
      </c>
      <c r="O18" s="316">
        <v>1.2</v>
      </c>
      <c r="P18" s="316">
        <v>1.25</v>
      </c>
    </row>
    <row r="19" spans="1:17" x14ac:dyDescent="0.25">
      <c r="A19" s="330"/>
      <c r="B19" s="331"/>
      <c r="C19" s="332" t="s">
        <v>67</v>
      </c>
      <c r="D19" s="336">
        <v>2</v>
      </c>
      <c r="E19" s="334" t="s">
        <v>69</v>
      </c>
      <c r="G19" s="345" t="s">
        <v>120</v>
      </c>
      <c r="H19" s="316"/>
      <c r="I19" s="316"/>
      <c r="J19" s="316"/>
      <c r="K19" s="316"/>
      <c r="L19" s="316"/>
      <c r="M19" s="316"/>
      <c r="N19" s="316"/>
      <c r="O19" s="316"/>
      <c r="P19" s="316"/>
    </row>
    <row r="20" spans="1:17" ht="15.75" thickBot="1" x14ac:dyDescent="0.3">
      <c r="A20" s="330"/>
      <c r="B20" s="337"/>
      <c r="C20" s="338" t="s">
        <v>126</v>
      </c>
      <c r="D20" s="389">
        <f>D18*D19*60*60*24*30*3*D7/8/1000</f>
        <v>17496</v>
      </c>
      <c r="E20" s="340"/>
      <c r="G20" s="345" t="s">
        <v>131</v>
      </c>
      <c r="H20" s="316"/>
      <c r="I20" s="316"/>
      <c r="J20" s="316"/>
      <c r="K20" s="316"/>
      <c r="L20" s="316"/>
      <c r="M20" s="316"/>
      <c r="N20" s="316"/>
      <c r="O20" s="316"/>
      <c r="P20" s="316"/>
    </row>
    <row r="21" spans="1:17" s="317" customFormat="1" x14ac:dyDescent="0.25">
      <c r="A21" s="323"/>
      <c r="B21" s="342" t="s">
        <v>138</v>
      </c>
      <c r="C21" s="323"/>
      <c r="D21" s="323"/>
      <c r="E21" s="343"/>
      <c r="F21" s="318"/>
      <c r="G21" s="345" t="s">
        <v>130</v>
      </c>
      <c r="H21" s="316"/>
      <c r="I21" s="316"/>
      <c r="J21" s="316"/>
      <c r="K21" s="316"/>
      <c r="L21" s="316"/>
      <c r="M21" s="316"/>
      <c r="N21" s="316"/>
      <c r="O21" s="316"/>
      <c r="P21" s="316"/>
      <c r="Q21" s="318"/>
    </row>
    <row r="22" spans="1:17" x14ac:dyDescent="0.25">
      <c r="A22" s="330"/>
      <c r="B22" s="331"/>
      <c r="C22" s="332" t="s">
        <v>74</v>
      </c>
      <c r="D22" s="333">
        <v>0</v>
      </c>
      <c r="E22" s="334" t="s">
        <v>68</v>
      </c>
      <c r="G22" s="345" t="s">
        <v>132</v>
      </c>
      <c r="H22" s="316">
        <v>0.01</v>
      </c>
      <c r="I22" s="316">
        <v>0.05</v>
      </c>
      <c r="J22" s="316">
        <v>0.1</v>
      </c>
      <c r="K22" s="316">
        <v>0.2</v>
      </c>
      <c r="L22" s="316">
        <v>0.3</v>
      </c>
      <c r="M22" s="316">
        <v>0.3</v>
      </c>
      <c r="N22" s="316">
        <v>0.3</v>
      </c>
      <c r="O22" s="316">
        <v>0.3</v>
      </c>
      <c r="P22" s="316">
        <v>0.3</v>
      </c>
    </row>
    <row r="23" spans="1:17" x14ac:dyDescent="0.25">
      <c r="A23" s="330"/>
      <c r="B23" s="331"/>
      <c r="C23" s="332" t="s">
        <v>67</v>
      </c>
      <c r="D23" s="336">
        <v>2</v>
      </c>
      <c r="E23" s="334" t="s">
        <v>69</v>
      </c>
      <c r="G23" s="345" t="s">
        <v>133</v>
      </c>
      <c r="H23" s="316">
        <v>0</v>
      </c>
      <c r="I23" s="316">
        <v>0</v>
      </c>
      <c r="J23" s="316">
        <v>0.1</v>
      </c>
      <c r="K23" s="316">
        <v>0.3</v>
      </c>
      <c r="L23" s="316">
        <v>0.5</v>
      </c>
      <c r="M23" s="316">
        <v>0.9</v>
      </c>
      <c r="N23" s="316">
        <v>1.1000000000000001</v>
      </c>
      <c r="O23" s="316">
        <v>1.2</v>
      </c>
      <c r="P23" s="316">
        <v>1.25</v>
      </c>
    </row>
    <row r="24" spans="1:17" ht="15.75" thickBot="1" x14ac:dyDescent="0.3">
      <c r="A24" s="330"/>
      <c r="B24" s="331"/>
      <c r="C24" s="332" t="s">
        <v>126</v>
      </c>
      <c r="D24" s="339">
        <f>D22*D23*60*60*24*30*3*D7/8/1000</f>
        <v>0</v>
      </c>
      <c r="E24" s="334"/>
      <c r="G24" s="345" t="s">
        <v>152</v>
      </c>
      <c r="H24" s="316">
        <v>0.3</v>
      </c>
      <c r="I24" s="316">
        <v>0.4</v>
      </c>
      <c r="J24" s="316">
        <v>0.5</v>
      </c>
      <c r="K24" s="316">
        <v>0.6</v>
      </c>
      <c r="L24" s="316">
        <v>0.7</v>
      </c>
      <c r="M24" s="316">
        <v>0.6</v>
      </c>
      <c r="N24" s="316">
        <v>0.5</v>
      </c>
      <c r="O24" s="316">
        <v>0.5</v>
      </c>
      <c r="P24" s="316">
        <v>0.5</v>
      </c>
    </row>
    <row r="25" spans="1:17" x14ac:dyDescent="0.25">
      <c r="A25" s="330"/>
      <c r="B25" s="324" t="s">
        <v>137</v>
      </c>
      <c r="C25" s="325"/>
      <c r="D25" s="325"/>
      <c r="E25" s="326"/>
      <c r="G25" s="345" t="s">
        <v>153</v>
      </c>
      <c r="H25" s="316">
        <v>0</v>
      </c>
      <c r="I25" s="316">
        <v>0.1</v>
      </c>
      <c r="J25" s="316">
        <v>0.5</v>
      </c>
      <c r="K25" s="316">
        <v>0.3</v>
      </c>
      <c r="L25" s="316">
        <v>0.7</v>
      </c>
      <c r="M25" s="316">
        <v>1</v>
      </c>
      <c r="N25" s="316">
        <v>1.5</v>
      </c>
      <c r="O25" s="316">
        <v>2</v>
      </c>
      <c r="P25" s="316">
        <v>2.5</v>
      </c>
    </row>
    <row r="26" spans="1:17" x14ac:dyDescent="0.25">
      <c r="A26" s="330"/>
      <c r="B26" s="331"/>
      <c r="C26" s="332" t="s">
        <v>74</v>
      </c>
      <c r="D26" s="333">
        <v>0</v>
      </c>
      <c r="E26" s="334" t="s">
        <v>68</v>
      </c>
      <c r="G26" s="345" t="s">
        <v>119</v>
      </c>
      <c r="H26" s="316">
        <v>0</v>
      </c>
      <c r="I26" s="316">
        <v>0</v>
      </c>
      <c r="J26" s="316">
        <v>0</v>
      </c>
      <c r="K26" s="316">
        <v>0</v>
      </c>
      <c r="L26" s="316">
        <v>0</v>
      </c>
      <c r="M26" s="316">
        <v>0.01</v>
      </c>
      <c r="N26" s="316">
        <v>0.05</v>
      </c>
      <c r="O26" s="316">
        <v>0.2</v>
      </c>
      <c r="P26" s="316">
        <v>0.3</v>
      </c>
    </row>
    <row r="27" spans="1:17" ht="15.75" thickBot="1" x14ac:dyDescent="0.3">
      <c r="A27" s="330"/>
      <c r="B27" s="331"/>
      <c r="C27" s="332" t="s">
        <v>67</v>
      </c>
      <c r="D27" s="336">
        <v>2</v>
      </c>
      <c r="E27" s="334" t="s">
        <v>69</v>
      </c>
      <c r="H27" s="346"/>
      <c r="I27" s="346"/>
      <c r="J27" s="346"/>
      <c r="K27" s="346"/>
      <c r="L27" s="346"/>
      <c r="M27" s="346"/>
      <c r="N27" s="346"/>
      <c r="O27" s="346"/>
      <c r="P27" s="346"/>
    </row>
    <row r="28" spans="1:17" ht="15.75" thickBot="1" x14ac:dyDescent="0.3">
      <c r="A28" s="330"/>
      <c r="B28" s="337"/>
      <c r="C28" s="338" t="s">
        <v>126</v>
      </c>
      <c r="D28" s="339">
        <f>D26*D27*60*60*24*30*3*D7/8/1000</f>
        <v>0</v>
      </c>
      <c r="E28" s="340"/>
      <c r="G28" s="347" t="s">
        <v>87</v>
      </c>
      <c r="H28" s="348" t="s">
        <v>8</v>
      </c>
      <c r="I28" s="348" t="s">
        <v>0</v>
      </c>
      <c r="J28" s="348" t="s">
        <v>1</v>
      </c>
      <c r="K28" s="348" t="s">
        <v>2</v>
      </c>
      <c r="L28" s="348" t="s">
        <v>3</v>
      </c>
      <c r="M28" s="348" t="s">
        <v>4</v>
      </c>
      <c r="N28" s="348" t="s">
        <v>5</v>
      </c>
      <c r="O28" s="348" t="s">
        <v>6</v>
      </c>
      <c r="P28" s="349" t="s">
        <v>7</v>
      </c>
    </row>
    <row r="29" spans="1:17" x14ac:dyDescent="0.25">
      <c r="A29" s="330"/>
      <c r="B29" s="324" t="s">
        <v>136</v>
      </c>
      <c r="C29" s="325"/>
      <c r="D29" s="325"/>
      <c r="E29" s="326"/>
      <c r="G29" s="350" t="s">
        <v>128</v>
      </c>
      <c r="H29" s="351">
        <f t="shared" ref="H29:P29" si="2">H16*$D12*$D4</f>
        <v>0</v>
      </c>
      <c r="I29" s="351">
        <f t="shared" si="2"/>
        <v>0</v>
      </c>
      <c r="J29" s="351">
        <f t="shared" si="2"/>
        <v>0</v>
      </c>
      <c r="K29" s="351">
        <f t="shared" si="2"/>
        <v>0</v>
      </c>
      <c r="L29" s="351">
        <f t="shared" si="2"/>
        <v>0</v>
      </c>
      <c r="M29" s="351">
        <f t="shared" si="2"/>
        <v>0</v>
      </c>
      <c r="N29" s="351">
        <f t="shared" si="2"/>
        <v>0</v>
      </c>
      <c r="O29" s="351">
        <f t="shared" si="2"/>
        <v>0</v>
      </c>
      <c r="P29" s="352">
        <f t="shared" si="2"/>
        <v>0</v>
      </c>
    </row>
    <row r="30" spans="1:17" x14ac:dyDescent="0.25">
      <c r="A30" s="330"/>
      <c r="B30" s="331"/>
      <c r="C30" s="332" t="s">
        <v>74</v>
      </c>
      <c r="D30" s="333">
        <v>0</v>
      </c>
      <c r="E30" s="334" t="s">
        <v>68</v>
      </c>
      <c r="G30" s="350" t="s">
        <v>121</v>
      </c>
      <c r="H30" s="351">
        <f t="shared" ref="H30:P30" si="3">H17*$D16*$D4</f>
        <v>185749200</v>
      </c>
      <c r="I30" s="351">
        <f t="shared" si="3"/>
        <v>189540000</v>
      </c>
      <c r="J30" s="351">
        <f t="shared" si="3"/>
        <v>199017000</v>
      </c>
      <c r="K30" s="351">
        <f t="shared" si="3"/>
        <v>204703200</v>
      </c>
      <c r="L30" s="351">
        <f t="shared" si="3"/>
        <v>212284800.00000003</v>
      </c>
      <c r="M30" s="351">
        <f t="shared" si="3"/>
        <v>217970999.99999997</v>
      </c>
      <c r="N30" s="351">
        <f t="shared" si="3"/>
        <v>223657199.99999997</v>
      </c>
      <c r="O30" s="351">
        <f t="shared" si="3"/>
        <v>229343399.99999997</v>
      </c>
      <c r="P30" s="352">
        <f t="shared" si="3"/>
        <v>236925000</v>
      </c>
      <c r="Q30" s="330"/>
    </row>
    <row r="31" spans="1:17" x14ac:dyDescent="0.25">
      <c r="A31" s="330"/>
      <c r="B31" s="331"/>
      <c r="C31" s="332" t="s">
        <v>67</v>
      </c>
      <c r="D31" s="336">
        <v>6</v>
      </c>
      <c r="E31" s="334" t="s">
        <v>69</v>
      </c>
      <c r="G31" s="350" t="s">
        <v>122</v>
      </c>
      <c r="H31" s="351">
        <f t="shared" ref="H31:P31" si="4">H18*$D20*$D4</f>
        <v>199016999.99999997</v>
      </c>
      <c r="I31" s="351">
        <f t="shared" si="4"/>
        <v>227448000.00000003</v>
      </c>
      <c r="J31" s="351">
        <f t="shared" si="4"/>
        <v>255879000</v>
      </c>
      <c r="K31" s="351">
        <f t="shared" si="4"/>
        <v>284310000</v>
      </c>
      <c r="L31" s="351">
        <f t="shared" si="4"/>
        <v>298525500</v>
      </c>
      <c r="M31" s="351">
        <f t="shared" si="4"/>
        <v>312741000.00000006</v>
      </c>
      <c r="N31" s="351">
        <f t="shared" si="4"/>
        <v>326956499.99999994</v>
      </c>
      <c r="O31" s="351">
        <f t="shared" si="4"/>
        <v>341172000</v>
      </c>
      <c r="P31" s="352">
        <f t="shared" si="4"/>
        <v>355387500</v>
      </c>
      <c r="Q31" s="330"/>
    </row>
    <row r="32" spans="1:17" ht="15.75" thickBot="1" x14ac:dyDescent="0.3">
      <c r="A32" s="330"/>
      <c r="B32" s="337"/>
      <c r="C32" s="338" t="s">
        <v>126</v>
      </c>
      <c r="D32" s="339">
        <f>D30*D31*60*60*24*30*3*D7/8/1000</f>
        <v>0</v>
      </c>
      <c r="E32" s="340"/>
      <c r="G32" s="350" t="s">
        <v>120</v>
      </c>
      <c r="H32" s="351">
        <f t="shared" ref="H32:P32" si="5">H19*$D24*$D4</f>
        <v>0</v>
      </c>
      <c r="I32" s="351">
        <f t="shared" si="5"/>
        <v>0</v>
      </c>
      <c r="J32" s="351">
        <f t="shared" si="5"/>
        <v>0</v>
      </c>
      <c r="K32" s="351">
        <f t="shared" si="5"/>
        <v>0</v>
      </c>
      <c r="L32" s="351">
        <f t="shared" si="5"/>
        <v>0</v>
      </c>
      <c r="M32" s="351">
        <f t="shared" si="5"/>
        <v>0</v>
      </c>
      <c r="N32" s="351">
        <f t="shared" si="5"/>
        <v>0</v>
      </c>
      <c r="O32" s="351">
        <f t="shared" si="5"/>
        <v>0</v>
      </c>
      <c r="P32" s="352">
        <f t="shared" si="5"/>
        <v>0</v>
      </c>
    </row>
    <row r="33" spans="1:18" x14ac:dyDescent="0.25">
      <c r="A33" s="330"/>
      <c r="B33" s="324" t="s">
        <v>135</v>
      </c>
      <c r="C33" s="355"/>
      <c r="D33" s="356"/>
      <c r="E33" s="357"/>
      <c r="G33" s="350" t="s">
        <v>124</v>
      </c>
      <c r="H33" s="351">
        <f t="shared" ref="H33:P33" si="6">+H20*$D28*$D4</f>
        <v>0</v>
      </c>
      <c r="I33" s="351">
        <f t="shared" si="6"/>
        <v>0</v>
      </c>
      <c r="J33" s="351">
        <f t="shared" si="6"/>
        <v>0</v>
      </c>
      <c r="K33" s="351">
        <f t="shared" si="6"/>
        <v>0</v>
      </c>
      <c r="L33" s="351">
        <f t="shared" si="6"/>
        <v>0</v>
      </c>
      <c r="M33" s="351">
        <f t="shared" si="6"/>
        <v>0</v>
      </c>
      <c r="N33" s="351">
        <f t="shared" si="6"/>
        <v>0</v>
      </c>
      <c r="O33" s="351">
        <f t="shared" si="6"/>
        <v>0</v>
      </c>
      <c r="P33" s="352">
        <f t="shared" si="6"/>
        <v>0</v>
      </c>
    </row>
    <row r="34" spans="1:18" x14ac:dyDescent="0.25">
      <c r="A34" s="330"/>
      <c r="B34" s="331"/>
      <c r="C34" s="332" t="s">
        <v>74</v>
      </c>
      <c r="D34" s="336">
        <v>40</v>
      </c>
      <c r="E34" s="334" t="s">
        <v>68</v>
      </c>
      <c r="G34" s="350" t="s">
        <v>118</v>
      </c>
      <c r="H34" s="351">
        <f t="shared" ref="H34:P34" si="7">+H21*$D32*$D4</f>
        <v>0</v>
      </c>
      <c r="I34" s="351">
        <f t="shared" si="7"/>
        <v>0</v>
      </c>
      <c r="J34" s="351">
        <f t="shared" si="7"/>
        <v>0</v>
      </c>
      <c r="K34" s="351">
        <f t="shared" si="7"/>
        <v>0</v>
      </c>
      <c r="L34" s="351">
        <f t="shared" si="7"/>
        <v>0</v>
      </c>
      <c r="M34" s="351">
        <f t="shared" si="7"/>
        <v>0</v>
      </c>
      <c r="N34" s="351">
        <f t="shared" si="7"/>
        <v>0</v>
      </c>
      <c r="O34" s="351">
        <f t="shared" si="7"/>
        <v>0</v>
      </c>
      <c r="P34" s="352">
        <f t="shared" si="7"/>
        <v>0</v>
      </c>
    </row>
    <row r="35" spans="1:18" x14ac:dyDescent="0.25">
      <c r="A35" s="330"/>
      <c r="B35" s="331"/>
      <c r="C35" s="332" t="s">
        <v>67</v>
      </c>
      <c r="D35" s="336">
        <v>5.7</v>
      </c>
      <c r="E35" s="334" t="s">
        <v>69</v>
      </c>
      <c r="G35" s="350" t="s">
        <v>132</v>
      </c>
      <c r="H35" s="351">
        <f t="shared" ref="H35:P35" si="8">+H22*$D36*($D4+$D5)</f>
        <v>7064010.0000000009</v>
      </c>
      <c r="I35" s="351">
        <f t="shared" si="8"/>
        <v>35320050</v>
      </c>
      <c r="J35" s="351">
        <f t="shared" si="8"/>
        <v>70640100</v>
      </c>
      <c r="K35" s="351">
        <f t="shared" si="8"/>
        <v>141280200</v>
      </c>
      <c r="L35" s="351">
        <f t="shared" si="8"/>
        <v>211920300</v>
      </c>
      <c r="M35" s="351">
        <f t="shared" si="8"/>
        <v>211920300</v>
      </c>
      <c r="N35" s="351">
        <f t="shared" si="8"/>
        <v>211920300</v>
      </c>
      <c r="O35" s="351">
        <f t="shared" si="8"/>
        <v>211920300</v>
      </c>
      <c r="P35" s="352">
        <f t="shared" si="8"/>
        <v>211920300</v>
      </c>
    </row>
    <row r="36" spans="1:18" ht="15.75" thickBot="1" x14ac:dyDescent="0.3">
      <c r="A36" s="330"/>
      <c r="B36" s="337"/>
      <c r="C36" s="338" t="s">
        <v>126</v>
      </c>
      <c r="D36" s="389">
        <f>D34*D35*60*60*24*30*3*D7/8/1000</f>
        <v>33242.400000000001</v>
      </c>
      <c r="E36" s="340"/>
      <c r="G36" s="350" t="s">
        <v>133</v>
      </c>
      <c r="H36" s="351">
        <f t="shared" ref="H36:P36" si="9">+H23*$D40*$D4</f>
        <v>0</v>
      </c>
      <c r="I36" s="351">
        <f t="shared" si="9"/>
        <v>0</v>
      </c>
      <c r="J36" s="351">
        <f t="shared" si="9"/>
        <v>135047250</v>
      </c>
      <c r="K36" s="351">
        <f t="shared" si="9"/>
        <v>405141750</v>
      </c>
      <c r="L36" s="351">
        <f t="shared" si="9"/>
        <v>675236250</v>
      </c>
      <c r="M36" s="351">
        <f t="shared" si="9"/>
        <v>1215425250.0000002</v>
      </c>
      <c r="N36" s="351">
        <f t="shared" si="9"/>
        <v>1485519750</v>
      </c>
      <c r="O36" s="351">
        <f t="shared" si="9"/>
        <v>1620567000</v>
      </c>
      <c r="P36" s="352">
        <f t="shared" si="9"/>
        <v>1688090625</v>
      </c>
    </row>
    <row r="37" spans="1:18" x14ac:dyDescent="0.25">
      <c r="A37" s="330"/>
      <c r="B37" s="324" t="s">
        <v>134</v>
      </c>
      <c r="C37" s="355"/>
      <c r="D37" s="356"/>
      <c r="E37" s="357"/>
      <c r="G37" s="350" t="s">
        <v>149</v>
      </c>
      <c r="H37" s="351">
        <f t="shared" ref="H37:P37" si="10">H24*$D$44*$D$5</f>
        <v>69984000</v>
      </c>
      <c r="I37" s="351">
        <f t="shared" si="10"/>
        <v>93312000</v>
      </c>
      <c r="J37" s="351">
        <f t="shared" si="10"/>
        <v>116640000</v>
      </c>
      <c r="K37" s="351">
        <f t="shared" si="10"/>
        <v>139968000</v>
      </c>
      <c r="L37" s="351">
        <f t="shared" si="10"/>
        <v>163296000</v>
      </c>
      <c r="M37" s="351">
        <f t="shared" si="10"/>
        <v>139968000</v>
      </c>
      <c r="N37" s="351">
        <f t="shared" si="10"/>
        <v>116640000</v>
      </c>
      <c r="O37" s="351">
        <f t="shared" si="10"/>
        <v>116640000</v>
      </c>
      <c r="P37" s="352">
        <f t="shared" si="10"/>
        <v>116640000</v>
      </c>
    </row>
    <row r="38" spans="1:18" x14ac:dyDescent="0.25">
      <c r="A38" s="330"/>
      <c r="B38" s="331"/>
      <c r="C38" s="332" t="s">
        <v>74</v>
      </c>
      <c r="D38" s="336">
        <v>100</v>
      </c>
      <c r="E38" s="334" t="s">
        <v>68</v>
      </c>
      <c r="G38" s="350" t="s">
        <v>150</v>
      </c>
      <c r="H38" s="351">
        <f t="shared" ref="H38:P38" si="11">H25*$D5*$D48</f>
        <v>0</v>
      </c>
      <c r="I38" s="351">
        <f t="shared" si="11"/>
        <v>20412000</v>
      </c>
      <c r="J38" s="351">
        <f t="shared" si="11"/>
        <v>102060000</v>
      </c>
      <c r="K38" s="351">
        <f t="shared" si="11"/>
        <v>61236000</v>
      </c>
      <c r="L38" s="351">
        <f t="shared" si="11"/>
        <v>142884000</v>
      </c>
      <c r="M38" s="351">
        <f t="shared" si="11"/>
        <v>204120000</v>
      </c>
      <c r="N38" s="351">
        <f t="shared" si="11"/>
        <v>306180000</v>
      </c>
      <c r="O38" s="351">
        <f t="shared" si="11"/>
        <v>408240000</v>
      </c>
      <c r="P38" s="352">
        <f t="shared" si="11"/>
        <v>510300000</v>
      </c>
    </row>
    <row r="39" spans="1:18" x14ac:dyDescent="0.25">
      <c r="A39" s="330"/>
      <c r="B39" s="331"/>
      <c r="C39" s="332" t="s">
        <v>67</v>
      </c>
      <c r="D39" s="336">
        <v>5.7</v>
      </c>
      <c r="E39" s="334" t="s">
        <v>69</v>
      </c>
      <c r="G39" s="358" t="s">
        <v>139</v>
      </c>
      <c r="H39" s="359">
        <f t="shared" ref="H39:P39" si="12">SUM(H29:H38)</f>
        <v>461814210</v>
      </c>
      <c r="I39" s="359">
        <f t="shared" si="12"/>
        <v>566032050</v>
      </c>
      <c r="J39" s="359">
        <f t="shared" si="12"/>
        <v>879283350</v>
      </c>
      <c r="K39" s="359">
        <f t="shared" si="12"/>
        <v>1236639150</v>
      </c>
      <c r="L39" s="359">
        <f t="shared" si="12"/>
        <v>1704146850</v>
      </c>
      <c r="M39" s="359">
        <f t="shared" si="12"/>
        <v>2302145550</v>
      </c>
      <c r="N39" s="359">
        <f t="shared" si="12"/>
        <v>2670873750</v>
      </c>
      <c r="O39" s="359">
        <f t="shared" si="12"/>
        <v>2927882700</v>
      </c>
      <c r="P39" s="360">
        <f t="shared" si="12"/>
        <v>3119263425</v>
      </c>
    </row>
    <row r="40" spans="1:18" ht="15.75" thickBot="1" x14ac:dyDescent="0.3">
      <c r="A40" s="330"/>
      <c r="B40" s="337"/>
      <c r="C40" s="338" t="s">
        <v>126</v>
      </c>
      <c r="D40" s="389">
        <f>D38*D39*60*60*24*30*3*D7/8/1000</f>
        <v>83106</v>
      </c>
      <c r="E40" s="340"/>
      <c r="G40" s="350" t="s">
        <v>140</v>
      </c>
      <c r="H40" s="361">
        <f t="shared" ref="H40:P40" si="13">+H26*$D52*$D5</f>
        <v>0</v>
      </c>
      <c r="I40" s="361">
        <f t="shared" si="13"/>
        <v>0</v>
      </c>
      <c r="J40" s="361">
        <f t="shared" si="13"/>
        <v>0</v>
      </c>
      <c r="K40" s="361">
        <f t="shared" si="13"/>
        <v>0</v>
      </c>
      <c r="L40" s="361">
        <f t="shared" si="13"/>
        <v>0</v>
      </c>
      <c r="M40" s="361">
        <f t="shared" si="13"/>
        <v>36450000</v>
      </c>
      <c r="N40" s="361">
        <f t="shared" si="13"/>
        <v>182250000</v>
      </c>
      <c r="O40" s="361">
        <f t="shared" si="13"/>
        <v>729000000</v>
      </c>
      <c r="P40" s="362">
        <f t="shared" si="13"/>
        <v>1093500000</v>
      </c>
    </row>
    <row r="41" spans="1:18" ht="15.75" thickBot="1" x14ac:dyDescent="0.3">
      <c r="A41" s="330"/>
      <c r="B41" s="342" t="s">
        <v>148</v>
      </c>
      <c r="C41" s="332"/>
      <c r="D41" s="333"/>
      <c r="E41" s="334"/>
      <c r="G41" s="363" t="s">
        <v>125</v>
      </c>
      <c r="H41" s="364">
        <f>+H39+H40</f>
        <v>461814210</v>
      </c>
      <c r="I41" s="364">
        <f t="shared" ref="I41:P41" si="14">+I39+I40</f>
        <v>566032050</v>
      </c>
      <c r="J41" s="364">
        <f t="shared" si="14"/>
        <v>879283350</v>
      </c>
      <c r="K41" s="364">
        <f t="shared" si="14"/>
        <v>1236639150</v>
      </c>
      <c r="L41" s="364">
        <f t="shared" si="14"/>
        <v>1704146850</v>
      </c>
      <c r="M41" s="364">
        <f t="shared" si="14"/>
        <v>2338595550</v>
      </c>
      <c r="N41" s="364">
        <f t="shared" si="14"/>
        <v>2853123750</v>
      </c>
      <c r="O41" s="364">
        <f t="shared" si="14"/>
        <v>3656882700</v>
      </c>
      <c r="P41" s="391">
        <f t="shared" si="14"/>
        <v>4212763425</v>
      </c>
    </row>
    <row r="42" spans="1:18" ht="15.75" thickBot="1" x14ac:dyDescent="0.3">
      <c r="A42" s="330"/>
      <c r="B42" s="331"/>
      <c r="C42" s="332" t="s">
        <v>74</v>
      </c>
      <c r="D42" s="336">
        <f>60+60+40</f>
        <v>160</v>
      </c>
      <c r="E42" s="334" t="s">
        <v>68</v>
      </c>
      <c r="G42" s="366"/>
      <c r="H42" s="367"/>
      <c r="I42" s="367"/>
      <c r="J42" s="367"/>
      <c r="K42" s="367"/>
      <c r="L42" s="367"/>
      <c r="M42" s="367"/>
      <c r="N42" s="367"/>
      <c r="O42" s="367"/>
      <c r="P42" s="367"/>
    </row>
    <row r="43" spans="1:18" x14ac:dyDescent="0.25">
      <c r="A43" s="330"/>
      <c r="B43" s="331"/>
      <c r="C43" s="332" t="s">
        <v>67</v>
      </c>
      <c r="D43" s="336">
        <v>2</v>
      </c>
      <c r="E43" s="334" t="s">
        <v>69</v>
      </c>
      <c r="G43" s="347" t="s">
        <v>91</v>
      </c>
      <c r="H43" s="348" t="s">
        <v>8</v>
      </c>
      <c r="I43" s="348" t="s">
        <v>0</v>
      </c>
      <c r="J43" s="348" t="s">
        <v>1</v>
      </c>
      <c r="K43" s="348" t="s">
        <v>2</v>
      </c>
      <c r="L43" s="348" t="s">
        <v>3</v>
      </c>
      <c r="M43" s="348" t="s">
        <v>4</v>
      </c>
      <c r="N43" s="348" t="s">
        <v>5</v>
      </c>
      <c r="O43" s="348" t="s">
        <v>6</v>
      </c>
      <c r="P43" s="349" t="s">
        <v>7</v>
      </c>
    </row>
    <row r="44" spans="1:18" ht="15" customHeight="1" thickBot="1" x14ac:dyDescent="0.3">
      <c r="A44" s="330"/>
      <c r="B44" s="331"/>
      <c r="C44" s="338" t="s">
        <v>126</v>
      </c>
      <c r="D44" s="389">
        <f>D42*D43*60*60*24*30*3*D7/8/1000</f>
        <v>46656</v>
      </c>
      <c r="E44" s="340"/>
      <c r="G44" s="368" t="s">
        <v>19</v>
      </c>
      <c r="H44" s="287"/>
      <c r="I44" s="288"/>
      <c r="J44" s="288"/>
      <c r="K44" s="288"/>
      <c r="L44" s="288"/>
      <c r="M44" s="288"/>
      <c r="N44" s="288"/>
      <c r="O44" s="288"/>
      <c r="P44" s="289"/>
      <c r="Q44" s="354"/>
      <c r="R44" s="354"/>
    </row>
    <row r="45" spans="1:18" x14ac:dyDescent="0.25">
      <c r="A45" s="330"/>
      <c r="B45" s="324" t="s">
        <v>151</v>
      </c>
      <c r="C45" s="355"/>
      <c r="D45" s="356"/>
      <c r="E45" s="357"/>
      <c r="G45" s="369" t="s">
        <v>252</v>
      </c>
      <c r="H45" s="287">
        <v>382850000</v>
      </c>
      <c r="I45" s="287">
        <v>3828500000</v>
      </c>
      <c r="J45" s="288"/>
      <c r="K45" s="288"/>
      <c r="L45" s="288"/>
      <c r="M45" s="288"/>
      <c r="N45" s="288"/>
      <c r="O45" s="288"/>
      <c r="P45" s="289"/>
      <c r="Q45" s="354"/>
      <c r="R45" s="354"/>
    </row>
    <row r="46" spans="1:18" x14ac:dyDescent="0.25">
      <c r="A46" s="330"/>
      <c r="B46" s="331"/>
      <c r="C46" s="332" t="s">
        <v>74</v>
      </c>
      <c r="D46" s="333">
        <f>D22+D34+D38</f>
        <v>140</v>
      </c>
      <c r="E46" s="334" t="s">
        <v>68</v>
      </c>
      <c r="G46" s="369" t="s">
        <v>253</v>
      </c>
      <c r="H46" s="287">
        <v>52990978.343465053</v>
      </c>
      <c r="I46" s="288"/>
      <c r="J46" s="288"/>
      <c r="K46" s="288"/>
      <c r="L46" s="288"/>
      <c r="M46" s="288"/>
      <c r="N46" s="288"/>
      <c r="O46" s="288"/>
      <c r="P46" s="289"/>
      <c r="Q46" s="354"/>
      <c r="R46" s="354"/>
    </row>
    <row r="47" spans="1:18" x14ac:dyDescent="0.25">
      <c r="A47" s="330"/>
      <c r="B47" s="331"/>
      <c r="C47" s="332" t="s">
        <v>67</v>
      </c>
      <c r="D47" s="336">
        <v>2</v>
      </c>
      <c r="E47" s="334" t="s">
        <v>69</v>
      </c>
      <c r="G47" s="368" t="s">
        <v>48</v>
      </c>
      <c r="H47" s="288"/>
      <c r="I47" s="290"/>
      <c r="J47" s="288"/>
      <c r="K47" s="288"/>
      <c r="L47" s="288"/>
      <c r="M47" s="288"/>
      <c r="N47" s="288"/>
      <c r="O47" s="288"/>
      <c r="P47" s="289"/>
      <c r="Q47" s="354"/>
      <c r="R47" s="354"/>
    </row>
    <row r="48" spans="1:18" ht="15.75" thickBot="1" x14ac:dyDescent="0.3">
      <c r="A48" s="330"/>
      <c r="B48" s="337"/>
      <c r="C48" s="338" t="s">
        <v>126</v>
      </c>
      <c r="D48" s="389">
        <f>D46*D47*60*60*24*30*3*D7/8/1000</f>
        <v>40824</v>
      </c>
      <c r="E48" s="340"/>
      <c r="G48" s="370" t="s">
        <v>121</v>
      </c>
      <c r="H48" s="287">
        <f>+(H17-96%)*$D4*('Cost per Cell'!$M6+'Cost per Cell'!$M7)</f>
        <v>14625000.000000013</v>
      </c>
      <c r="I48" s="287">
        <f>+(I17-H17)*$D4*('Cost per Cell'!$M6+'Cost per Cell'!$M7)</f>
        <v>14625000.000000013</v>
      </c>
      <c r="J48" s="287">
        <f>+(J17-I17)*$D4*('Cost per Cell'!$M6+'Cost per Cell'!$M7)</f>
        <v>36562500.00000003</v>
      </c>
      <c r="K48" s="287">
        <f>+(K17-J17)*$D4*('Cost per Cell'!$M6+'Cost per Cell'!$M7)</f>
        <v>21937500.000000019</v>
      </c>
      <c r="L48" s="287">
        <f>+(L17-K17)*$D4*('Cost per Cell'!$M6+'Cost per Cell'!$M7)</f>
        <v>29250000.000000026</v>
      </c>
      <c r="M48" s="287">
        <f>+(M17-L17)*$D4*('Cost per Cell'!$M6+'Cost per Cell'!$M7)</f>
        <v>21937499.999999858</v>
      </c>
      <c r="N48" s="287">
        <f>+(N17-M17)*$D4*('Cost per Cell'!$M6+'Cost per Cell'!$M7)</f>
        <v>21937500.000000019</v>
      </c>
      <c r="O48" s="287">
        <f>+(O17-N17)*$D4*('Cost per Cell'!$M6+'Cost per Cell'!$M7)</f>
        <v>21937500.000000019</v>
      </c>
      <c r="P48" s="291">
        <f>+(P17-O17)*$D4*('Cost per Cell'!$M6+'Cost per Cell'!$M7)</f>
        <v>29250000.000000026</v>
      </c>
      <c r="Q48" s="354"/>
      <c r="R48" s="354"/>
    </row>
    <row r="49" spans="1:18" x14ac:dyDescent="0.25">
      <c r="A49" s="330"/>
      <c r="B49" s="324" t="s">
        <v>114</v>
      </c>
      <c r="C49" s="325"/>
      <c r="D49" s="325"/>
      <c r="E49" s="326"/>
      <c r="G49" s="370" t="s">
        <v>122</v>
      </c>
      <c r="H49" s="287">
        <f>+(H18-65%)*$D4*('Cost per Cell'!$M6+'Cost per Cell'!$M7)</f>
        <v>36562499.999999948</v>
      </c>
      <c r="I49" s="287">
        <f>+(I18-H18)*$D4*('Cost per Cell'!$M6+'Cost per Cell'!$M7)</f>
        <v>73125000.00000006</v>
      </c>
      <c r="J49" s="287">
        <f>+(J18-I18)*$D4*('Cost per Cell'!$M6+'Cost per Cell'!$M7)</f>
        <v>73124999.999999985</v>
      </c>
      <c r="K49" s="287">
        <f>+(K18-J18)*$D4*('Cost per Cell'!$M6+'Cost per Cell'!$M7)</f>
        <v>73124999.999999985</v>
      </c>
      <c r="L49" s="287">
        <f>+(L18-K18)*$D4*('Cost per Cell'!$M6+'Cost per Cell'!$M7)</f>
        <v>36562500.00000003</v>
      </c>
      <c r="M49" s="287">
        <f>+(M18-L18)*$D4*('Cost per Cell'!$M6+'Cost per Cell'!$M7)</f>
        <v>36562500.00000003</v>
      </c>
      <c r="N49" s="287">
        <f>+(N18-M18)*$D4*('Cost per Cell'!$M6+'Cost per Cell'!$M7)</f>
        <v>36562499.999999873</v>
      </c>
      <c r="O49" s="287">
        <f>+(O18-N18)*$D4*('Cost per Cell'!$M6+'Cost per Cell'!$M7)</f>
        <v>36562500.00000003</v>
      </c>
      <c r="P49" s="291">
        <f>+(P18-O18)*$D4*('Cost per Cell'!$M6+'Cost per Cell'!$M7)</f>
        <v>36562500.00000003</v>
      </c>
      <c r="Q49" s="354"/>
      <c r="R49" s="354"/>
    </row>
    <row r="50" spans="1:18" x14ac:dyDescent="0.25">
      <c r="A50" s="330"/>
      <c r="B50" s="331"/>
      <c r="C50" s="332" t="s">
        <v>74</v>
      </c>
      <c r="D50" s="336">
        <v>800</v>
      </c>
      <c r="E50" s="334" t="s">
        <v>68</v>
      </c>
      <c r="G50" s="370" t="s">
        <v>132</v>
      </c>
      <c r="H50" s="287">
        <f>+(H22-0)*$D4*('Cost per Cell'!$G6+'Cost per Cell'!$G7)</f>
        <v>11375000</v>
      </c>
      <c r="I50" s="287">
        <f>+(I22-H22)*$D4*('Cost per Cell'!$G6+'Cost per Cell'!$G7)</f>
        <v>45500000</v>
      </c>
      <c r="J50" s="287">
        <f>+(J22-I22)*$D4*('Cost per Cell'!$G6+'Cost per Cell'!$G7)</f>
        <v>56875000</v>
      </c>
      <c r="K50" s="287">
        <f>+(K22-J22)*$D4*('Cost per Cell'!$G6+'Cost per Cell'!$G7)</f>
        <v>113750000</v>
      </c>
      <c r="L50" s="287">
        <f>+(L22-K22)*$D4*('Cost per Cell'!$G6+'Cost per Cell'!$G7)</f>
        <v>113749999.99999997</v>
      </c>
      <c r="M50" s="287">
        <f>+(M22-L22)*$D4*('Cost per Cell'!$G6+'Cost per Cell'!$G7)</f>
        <v>0</v>
      </c>
      <c r="N50" s="287">
        <f>+(N22-M22)*$D4*('Cost per Cell'!$G6+'Cost per Cell'!$G7)</f>
        <v>0</v>
      </c>
      <c r="O50" s="287">
        <f>+(O22-N22)*$D4*('Cost per Cell'!$G6+'Cost per Cell'!$G7)</f>
        <v>0</v>
      </c>
      <c r="P50" s="291">
        <f>+(P22-O22)*$D4*('Cost per Cell'!$G6+'Cost per Cell'!$G7)</f>
        <v>0</v>
      </c>
      <c r="Q50" s="354"/>
      <c r="R50" s="354"/>
    </row>
    <row r="51" spans="1:18" x14ac:dyDescent="0.25">
      <c r="A51" s="330"/>
      <c r="B51" s="331"/>
      <c r="C51" s="332" t="s">
        <v>67</v>
      </c>
      <c r="D51" s="366">
        <f>5000/800</f>
        <v>6.25</v>
      </c>
      <c r="E51" s="334" t="s">
        <v>69</v>
      </c>
      <c r="G51" s="370" t="s">
        <v>133</v>
      </c>
      <c r="H51" s="287">
        <f>+(H23-0)*$D4*('Cost per Cell'!$E6+'Cost per Cell'!$E7)</f>
        <v>0</v>
      </c>
      <c r="I51" s="287">
        <f>+(I23-H23)*$D4*('Cost per Cell'!$E6+'Cost per Cell'!$E7)</f>
        <v>0</v>
      </c>
      <c r="J51" s="287">
        <f>+(J23-I23)*$D4*('Cost per Cell'!$E6+'Cost per Cell'!$E7)</f>
        <v>113750000</v>
      </c>
      <c r="K51" s="287">
        <f>+(K23-J23)*$D4*('Cost per Cell'!$E6+'Cost per Cell'!$E7)</f>
        <v>227499999.99999997</v>
      </c>
      <c r="L51" s="287">
        <f>+(L23-K23)*$D4*('Cost per Cell'!$E6+'Cost per Cell'!$E7)</f>
        <v>227500000</v>
      </c>
      <c r="M51" s="287">
        <f>+(M23-L23)*$D4*('Cost per Cell'!$E6+'Cost per Cell'!$E7)</f>
        <v>455000000</v>
      </c>
      <c r="N51" s="287">
        <f>+(N23-M23)*$D4*('Cost per Cell'!$E6+'Cost per Cell'!$E7)</f>
        <v>227500000.00000006</v>
      </c>
      <c r="O51" s="287">
        <f>+(O23-N23)*$D4*('Cost per Cell'!$E6+'Cost per Cell'!$E7)</f>
        <v>113749999.99999984</v>
      </c>
      <c r="P51" s="291">
        <f>+(P23-O23)*$D4*('Cost per Cell'!$E6+'Cost per Cell'!$E7)</f>
        <v>56875000.000000045</v>
      </c>
      <c r="Q51" s="354"/>
      <c r="R51" s="354"/>
    </row>
    <row r="52" spans="1:18" ht="15.75" thickBot="1" x14ac:dyDescent="0.3">
      <c r="A52" s="330"/>
      <c r="B52" s="337"/>
      <c r="C52" s="338" t="s">
        <v>126</v>
      </c>
      <c r="D52" s="339">
        <f>D50*D51*60*60*24*30*3*D7/8/1000</f>
        <v>729000</v>
      </c>
      <c r="E52" s="340"/>
      <c r="G52" s="371" t="s">
        <v>255</v>
      </c>
      <c r="H52" s="287">
        <f>IF((H24-10%)&gt;0, (H24-10%),0)*$D5*('Cost per Cell'!$O6+'Cost per Cell'!$O7)</f>
        <v>6999999.9999999991</v>
      </c>
      <c r="I52" s="287">
        <f>IF((I24-H24)&gt;0, (I24-H24),0)*$D5*('Cost per Cell'!$O6+'Cost per Cell'!$O7)</f>
        <v>3500000.0000000014</v>
      </c>
      <c r="J52" s="287">
        <f>IF((J24-I24)&gt;0, (J24-I24),0)*$D5*('Cost per Cell'!$O6+'Cost per Cell'!$O7)</f>
        <v>3499999.9999999991</v>
      </c>
      <c r="K52" s="287">
        <f>IF((K24-J24)&gt;0, (K24-J24),0)*$D5*('Cost per Cell'!$O6+'Cost per Cell'!$O7)</f>
        <v>3499999.9999999991</v>
      </c>
      <c r="L52" s="287">
        <f>IF((L24-K24)&gt;0, (L24-K24),0)*$D5*('Cost per Cell'!$O6+'Cost per Cell'!$O7)</f>
        <v>3499999.9999999991</v>
      </c>
      <c r="M52" s="287">
        <f>IF((M24-L24)&gt;0, (M24-L24),0)*$D5*('Cost per Cell'!$O6+'Cost per Cell'!$O7)</f>
        <v>0</v>
      </c>
      <c r="N52" s="287">
        <f>IF((N24-M24)&gt;0, (N24-M24),0)*$D5*('Cost per Cell'!$O6+'Cost per Cell'!$O7)</f>
        <v>0</v>
      </c>
      <c r="O52" s="287">
        <f>IF((O24-N24)&gt;0, (O24-N24),0)*$D5*('Cost per Cell'!$O6+'Cost per Cell'!$O7)</f>
        <v>0</v>
      </c>
      <c r="P52" s="291">
        <f>IF((P24-O24)&gt;0, (P24-O24),0)*$D5*('Cost per Cell'!$O6+'Cost per Cell'!$O7)</f>
        <v>0</v>
      </c>
    </row>
    <row r="53" spans="1:18" x14ac:dyDescent="0.25">
      <c r="B53" s="330"/>
      <c r="C53" s="330"/>
      <c r="D53" s="394">
        <f>D52/6</f>
        <v>121500</v>
      </c>
      <c r="E53" s="330"/>
      <c r="G53" s="371" t="s">
        <v>256</v>
      </c>
      <c r="H53" s="287">
        <f>IF((H25-0)&gt;0, (H25-0),0)*$D5*('Cost per Cell'!$O6+'Cost per Cell'!$O7)</f>
        <v>0</v>
      </c>
      <c r="I53" s="287">
        <f>IF((I25-H25)&gt;0, (I25-H25),0)*$D5*('Cost per Cell'!$O6+'Cost per Cell'!$O7)</f>
        <v>3500000</v>
      </c>
      <c r="J53" s="287">
        <f>IF((J25-I25)&gt;0, (J25-I25),0)*$D5*('Cost per Cell'!$O6+'Cost per Cell'!$O7)</f>
        <v>14000000</v>
      </c>
      <c r="K53" s="287">
        <f>IF((K25-J25)&gt;0, (K25-J25),0)*$D5*('Cost per Cell'!$O6+'Cost per Cell'!$O7)</f>
        <v>0</v>
      </c>
      <c r="L53" s="287">
        <f>IF((L25-K25)&gt;0, (L25-K25),0)*$D5*('Cost per Cell'!$O6+'Cost per Cell'!$O7)</f>
        <v>13999999.999999998</v>
      </c>
      <c r="M53" s="287">
        <f>IF((M25-L25)&gt;0, (M25-L25),0)*$D5*('Cost per Cell'!$O6+'Cost per Cell'!$O7)</f>
        <v>10500000.000000002</v>
      </c>
      <c r="N53" s="287">
        <f>IF((N25-M25)&gt;0, (N25-M25),0)*$D5*('Cost per Cell'!$O6+'Cost per Cell'!$O7)</f>
        <v>17500000</v>
      </c>
      <c r="O53" s="287">
        <f>IF((O25-N25)&gt;0, (O25-N25),0)*$D5*('Cost per Cell'!$O6+'Cost per Cell'!$O7)</f>
        <v>17500000</v>
      </c>
      <c r="P53" s="291">
        <f>IF((P25-O25)&gt;0, (P25-O25),0)*$D5*('Cost per Cell'!$O6+'Cost per Cell'!$O7)</f>
        <v>17500000</v>
      </c>
    </row>
    <row r="54" spans="1:18" x14ac:dyDescent="0.25">
      <c r="B54" s="330"/>
      <c r="C54" s="330"/>
      <c r="D54" s="330"/>
      <c r="E54" s="330"/>
      <c r="G54" s="369" t="s">
        <v>129</v>
      </c>
      <c r="H54" s="287">
        <f>IF((H26-0)&gt;0, (H26-0),0)*$D5*('Cost per Cell'!$I6+'Cost per Cell'!$I7)</f>
        <v>0</v>
      </c>
      <c r="I54" s="287">
        <f>IF((I26-H26)&gt;0, (I26-H26),0)*$D5*('Cost per Cell'!$I6+'Cost per Cell'!$I7)</f>
        <v>0</v>
      </c>
      <c r="J54" s="287">
        <f>IF((J26-I26)&gt;0, (J26-I26),0)*$D5*('Cost per Cell'!$I6+'Cost per Cell'!$I7)</f>
        <v>0</v>
      </c>
      <c r="K54" s="287">
        <f>IF((K26-J26)&gt;0, (K26-J26),0)*$D5*('Cost per Cell'!$I6+'Cost per Cell'!$I7)</f>
        <v>0</v>
      </c>
      <c r="L54" s="287">
        <f>IF((L26-K26)&gt;0, (L26-K26),0)*$D5*('Cost per Cell'!$I6+'Cost per Cell'!$I7)</f>
        <v>0</v>
      </c>
      <c r="M54" s="287">
        <f>IF((M26-L26)&gt;0, (M26-L26),0)*$D5*('Cost per Cell'!$I6+'Cost per Cell'!$I7)</f>
        <v>5500000</v>
      </c>
      <c r="N54" s="287">
        <f>IF((N26-M26)&gt;0, (N26-M26),0)*$D5*('Cost per Cell'!$I6+'Cost per Cell'!$I7)</f>
        <v>22000000</v>
      </c>
      <c r="O54" s="287">
        <f>IF((O26-N26)&gt;0, (O26-N26),0)*$D5*('Cost per Cell'!$I6+'Cost per Cell'!$I7)</f>
        <v>82500000.000000015</v>
      </c>
      <c r="P54" s="291">
        <f>IF((P26-O26)&gt;0, (P26-O26),0)*$D5*('Cost per Cell'!$I6+'Cost per Cell'!$I7)</f>
        <v>54999999.999999985</v>
      </c>
      <c r="Q54" s="354"/>
      <c r="R54" s="354"/>
    </row>
    <row r="55" spans="1:18" x14ac:dyDescent="0.25">
      <c r="B55" s="330"/>
      <c r="C55" s="330"/>
      <c r="D55" s="330"/>
      <c r="E55" s="330"/>
      <c r="G55" s="368" t="s">
        <v>47</v>
      </c>
      <c r="H55" s="288"/>
      <c r="I55" s="288"/>
      <c r="J55" s="288"/>
      <c r="K55" s="288"/>
      <c r="L55" s="288"/>
      <c r="M55" s="288"/>
      <c r="N55" s="288"/>
      <c r="O55" s="288"/>
      <c r="P55" s="289"/>
      <c r="Q55" s="354"/>
      <c r="R55" s="354"/>
    </row>
    <row r="56" spans="1:18" x14ac:dyDescent="0.25">
      <c r="B56" s="330"/>
      <c r="C56" s="330"/>
      <c r="D56" s="330"/>
      <c r="E56" s="330"/>
      <c r="G56" s="370" t="s">
        <v>121</v>
      </c>
      <c r="H56" s="292">
        <f>$D4*H17*SUM('Cost per Cell'!$M11:$M14)*12</f>
        <v>651651000</v>
      </c>
      <c r="I56" s="292">
        <f>$D4*I17*SUM('Cost per Cell'!$M11:$M14)*12</f>
        <v>664950000</v>
      </c>
      <c r="J56" s="292">
        <f>$D4*J17*SUM('Cost per Cell'!$M11:$M14)*12</f>
        <v>698197500</v>
      </c>
      <c r="K56" s="292">
        <f>$D4*K17*SUM('Cost per Cell'!$M11:$M14)*12</f>
        <v>718146000</v>
      </c>
      <c r="L56" s="292">
        <f>$D4*L17*SUM('Cost per Cell'!$M11:$M14)*12</f>
        <v>744744000</v>
      </c>
      <c r="M56" s="292">
        <f>$D4*M17*SUM('Cost per Cell'!$M11:$M14)*12</f>
        <v>764692500</v>
      </c>
      <c r="N56" s="292">
        <f>$D4*N17*SUM('Cost per Cell'!$M11:$M14)*12</f>
        <v>784641000</v>
      </c>
      <c r="O56" s="292">
        <f>$D4*O17*SUM('Cost per Cell'!$M11:$M14)*12</f>
        <v>804589500</v>
      </c>
      <c r="P56" s="293">
        <f>$D4*P17*SUM('Cost per Cell'!$M11:$M14)*12</f>
        <v>831187500</v>
      </c>
      <c r="Q56" s="354"/>
      <c r="R56" s="354"/>
    </row>
    <row r="57" spans="1:18" x14ac:dyDescent="0.25">
      <c r="D57" s="373"/>
      <c r="G57" s="370" t="s">
        <v>122</v>
      </c>
      <c r="H57" s="292">
        <f>$D4*H17*SUM('Cost per Cell'!$M11:$M14)*12</f>
        <v>651651000</v>
      </c>
      <c r="I57" s="292">
        <f>$D4*I17*SUM('Cost per Cell'!$M11:$M14)*12</f>
        <v>664950000</v>
      </c>
      <c r="J57" s="292">
        <f>$D4*J17*SUM('Cost per Cell'!$M11:$M14)*12</f>
        <v>698197500</v>
      </c>
      <c r="K57" s="292">
        <f>$D4*K17*SUM('Cost per Cell'!$M11:$M14)*12</f>
        <v>718146000</v>
      </c>
      <c r="L57" s="292">
        <f>$D4*L17*SUM('Cost per Cell'!$M11:$M14)*12</f>
        <v>744744000</v>
      </c>
      <c r="M57" s="292">
        <f>$D4*M17*SUM('Cost per Cell'!$M11:$M14)*12</f>
        <v>764692500</v>
      </c>
      <c r="N57" s="292">
        <f>$D4*N17*SUM('Cost per Cell'!$M11:$M14)*12</f>
        <v>784641000</v>
      </c>
      <c r="O57" s="292">
        <f>$D4*O17*SUM('Cost per Cell'!$M11:$M14)*12</f>
        <v>804589500</v>
      </c>
      <c r="P57" s="293">
        <f>$D4*P17*SUM('Cost per Cell'!$M11:$M14)*12</f>
        <v>831187500</v>
      </c>
      <c r="Q57" s="374"/>
      <c r="R57" s="374"/>
    </row>
    <row r="58" spans="1:18" x14ac:dyDescent="0.25">
      <c r="D58" s="373"/>
      <c r="G58" s="370" t="s">
        <v>132</v>
      </c>
      <c r="H58" s="292">
        <f>$D4*H22*SUM('Cost per Cell'!$G11:$G14)*12</f>
        <v>6378450</v>
      </c>
      <c r="I58" s="292">
        <f>$D4*I22*SUM('Cost per Cell'!$G11:$G14)*12</f>
        <v>31892250</v>
      </c>
      <c r="J58" s="292">
        <f>$D4*J22*SUM('Cost per Cell'!$G11:$G14)*12</f>
        <v>63784500</v>
      </c>
      <c r="K58" s="292">
        <f>$D4*K22*SUM('Cost per Cell'!$G11:$G14)*12</f>
        <v>127569000</v>
      </c>
      <c r="L58" s="292">
        <f>$D4*L22*SUM('Cost per Cell'!$G11:$G14)*12</f>
        <v>191353500</v>
      </c>
      <c r="M58" s="292">
        <f>$D4*M22*SUM('Cost per Cell'!$G11:$G14)*12</f>
        <v>191353500</v>
      </c>
      <c r="N58" s="292">
        <f>$D4*N22*SUM('Cost per Cell'!$G11:$G14)*12</f>
        <v>191353500</v>
      </c>
      <c r="O58" s="292">
        <f>$D4*O22*SUM('Cost per Cell'!$G11:$G14)*12</f>
        <v>191353500</v>
      </c>
      <c r="P58" s="293">
        <f>$D4*P22*SUM('Cost per Cell'!$G11:$G14)*12</f>
        <v>191353500</v>
      </c>
      <c r="Q58" s="354"/>
      <c r="R58" s="354"/>
    </row>
    <row r="59" spans="1:18" x14ac:dyDescent="0.25">
      <c r="G59" s="370" t="s">
        <v>133</v>
      </c>
      <c r="H59" s="292">
        <f>$D4*H23*SUM('Cost per Cell'!$E11:$E14)*12</f>
        <v>0</v>
      </c>
      <c r="I59" s="292">
        <f>$D4*I23*SUM('Cost per Cell'!$E11:$E14)*12</f>
        <v>0</v>
      </c>
      <c r="J59" s="292">
        <f>$D4*J23*SUM('Cost per Cell'!$E11:$E14)*12</f>
        <v>66787500</v>
      </c>
      <c r="K59" s="292">
        <f>$D4*K23*SUM('Cost per Cell'!$E11:$E14)*12</f>
        <v>200362500</v>
      </c>
      <c r="L59" s="292">
        <f>$D4*L23*SUM('Cost per Cell'!$E11:$E14)*12</f>
        <v>333937500</v>
      </c>
      <c r="M59" s="292">
        <f>$D4*M23*SUM('Cost per Cell'!$E11:$E14)*12</f>
        <v>601087500</v>
      </c>
      <c r="N59" s="292">
        <f>$D4*N23*SUM('Cost per Cell'!$E11:$E14)*12</f>
        <v>734662500</v>
      </c>
      <c r="O59" s="292">
        <f>$D4*O23*SUM('Cost per Cell'!$E11:$E14)*12</f>
        <v>801450000</v>
      </c>
      <c r="P59" s="293">
        <f>$D4*P23*SUM('Cost per Cell'!$E11:$E14)*12</f>
        <v>834843750</v>
      </c>
      <c r="Q59" s="354"/>
      <c r="R59" s="354"/>
    </row>
    <row r="60" spans="1:18" x14ac:dyDescent="0.25">
      <c r="G60" s="371" t="s">
        <v>255</v>
      </c>
      <c r="H60" s="292">
        <f>$D5*H24*SUM('Cost per Cell'!$O11:$O14)*12</f>
        <v>9244800</v>
      </c>
      <c r="I60" s="292">
        <f>$D5*I24*SUM('Cost per Cell'!$O11:$O14)*12</f>
        <v>12326400</v>
      </c>
      <c r="J60" s="292">
        <f>$D5*J24*SUM('Cost per Cell'!$O11:$O14)*12</f>
        <v>15408000</v>
      </c>
      <c r="K60" s="292">
        <f>$D5*K24*SUM('Cost per Cell'!$O11:$O14)*12</f>
        <v>18489600</v>
      </c>
      <c r="L60" s="292">
        <f>$D5*L24*SUM('Cost per Cell'!$O11:$O14)*12</f>
        <v>21571200</v>
      </c>
      <c r="M60" s="292">
        <f>$D5*M24*SUM('Cost per Cell'!$O11:$O14)*12</f>
        <v>18489600</v>
      </c>
      <c r="N60" s="292">
        <f>$D5*N24*SUM('Cost per Cell'!$O11:$O14)*12</f>
        <v>15408000</v>
      </c>
      <c r="O60" s="292">
        <f>$D5*O24*SUM('Cost per Cell'!$O11:$O14)*12</f>
        <v>15408000</v>
      </c>
      <c r="P60" s="293">
        <f>$D5*P24*SUM('Cost per Cell'!$O11:$O14)*12</f>
        <v>15408000</v>
      </c>
      <c r="Q60" s="354"/>
      <c r="R60" s="354"/>
    </row>
    <row r="61" spans="1:18" x14ac:dyDescent="0.25">
      <c r="G61" s="371" t="s">
        <v>256</v>
      </c>
      <c r="H61" s="292">
        <f>$D5*H25*SUM('Cost per Cell'!$O11:$O14)*12</f>
        <v>0</v>
      </c>
      <c r="I61" s="292">
        <f>$D5*I25*SUM('Cost per Cell'!$O11:$O14)*12</f>
        <v>3081600</v>
      </c>
      <c r="J61" s="292">
        <f>$D5*J25*SUM('Cost per Cell'!$O11:$O14)*12</f>
        <v>15408000</v>
      </c>
      <c r="K61" s="292">
        <f>$D5*K25*SUM('Cost per Cell'!$O11:$O14)*12</f>
        <v>9244800</v>
      </c>
      <c r="L61" s="292">
        <f>$D5*L25*SUM('Cost per Cell'!$O11:$O14)*12</f>
        <v>21571200</v>
      </c>
      <c r="M61" s="292">
        <f>$D5*M25*SUM('Cost per Cell'!$O11:$O14)*12</f>
        <v>30816000</v>
      </c>
      <c r="N61" s="292">
        <f>$D5*N25*SUM('Cost per Cell'!$O11:$O14)*12</f>
        <v>46224000</v>
      </c>
      <c r="O61" s="292">
        <f>$D5*O25*SUM('Cost per Cell'!$O11:$O14)*12</f>
        <v>61632000</v>
      </c>
      <c r="P61" s="293">
        <f>$D5*P25*SUM('Cost per Cell'!$O11:$O14)*12</f>
        <v>77040000</v>
      </c>
      <c r="Q61" s="354"/>
      <c r="R61" s="354"/>
    </row>
    <row r="62" spans="1:18" x14ac:dyDescent="0.25">
      <c r="G62" s="369" t="s">
        <v>129</v>
      </c>
      <c r="H62" s="292">
        <f>$D5*H26*SUM('Cost per Cell'!$I11:$I14)*12</f>
        <v>0</v>
      </c>
      <c r="I62" s="292">
        <f>$D5*I26*SUM('Cost per Cell'!$I11:$I14)*12</f>
        <v>0</v>
      </c>
      <c r="J62" s="292">
        <f>$D5*J26*SUM('Cost per Cell'!$I11:$I14)*12</f>
        <v>0</v>
      </c>
      <c r="K62" s="292">
        <f>$D5*K26*SUM('Cost per Cell'!$I11:$I14)*12</f>
        <v>0</v>
      </c>
      <c r="L62" s="292">
        <f>$D5*L26*SUM('Cost per Cell'!$I11:$I14)*12</f>
        <v>0</v>
      </c>
      <c r="M62" s="292">
        <f>$D5*M26*SUM('Cost per Cell'!$I11:$I14)*12</f>
        <v>2055000</v>
      </c>
      <c r="N62" s="292">
        <f>$D5*N26*SUM('Cost per Cell'!$I11:$I14)*12</f>
        <v>10275000</v>
      </c>
      <c r="O62" s="292">
        <f>$D5*O26*SUM('Cost per Cell'!$I11:$I14)*12</f>
        <v>41100000</v>
      </c>
      <c r="P62" s="293">
        <f>$D5*P26*SUM('Cost per Cell'!$I11:$I14)*12</f>
        <v>61650000</v>
      </c>
      <c r="Q62" s="354"/>
      <c r="R62" s="354"/>
    </row>
    <row r="63" spans="1:18" ht="15.75" thickBot="1" x14ac:dyDescent="0.3">
      <c r="G63" s="376" t="s">
        <v>12</v>
      </c>
      <c r="H63" s="302">
        <f t="shared" ref="H63:P63" si="15">SUM(H44:H62)</f>
        <v>1824328728.3434649</v>
      </c>
      <c r="I63" s="302">
        <f t="shared" si="15"/>
        <v>5345950250</v>
      </c>
      <c r="J63" s="302">
        <f t="shared" si="15"/>
        <v>1855595500</v>
      </c>
      <c r="K63" s="302">
        <f t="shared" si="15"/>
        <v>2231770400</v>
      </c>
      <c r="L63" s="302">
        <f t="shared" si="15"/>
        <v>2482483900</v>
      </c>
      <c r="M63" s="302">
        <f t="shared" si="15"/>
        <v>2902686600</v>
      </c>
      <c r="N63" s="302">
        <f t="shared" si="15"/>
        <v>2892705000</v>
      </c>
      <c r="O63" s="302">
        <f t="shared" si="15"/>
        <v>2992372500</v>
      </c>
      <c r="P63" s="303">
        <f t="shared" si="15"/>
        <v>3037857750</v>
      </c>
      <c r="Q63" s="354"/>
      <c r="R63" s="354"/>
    </row>
    <row r="64" spans="1:18" x14ac:dyDescent="0.25">
      <c r="G64" s="354"/>
      <c r="H64" s="354"/>
      <c r="I64" s="354"/>
      <c r="J64" s="354"/>
      <c r="K64" s="354"/>
      <c r="L64" s="354"/>
      <c r="M64" s="354"/>
      <c r="N64" s="354"/>
      <c r="O64" s="354"/>
      <c r="P64" s="354"/>
      <c r="Q64" s="354"/>
      <c r="R64" s="354"/>
    </row>
    <row r="65" spans="7:18" ht="15.75" thickBot="1" x14ac:dyDescent="0.3">
      <c r="G65" s="354"/>
      <c r="H65" s="354"/>
      <c r="I65" s="354"/>
      <c r="J65" s="354"/>
      <c r="K65" s="354"/>
      <c r="L65" s="354"/>
      <c r="M65" s="354"/>
      <c r="N65" s="354"/>
      <c r="O65" s="354"/>
      <c r="P65" s="354"/>
      <c r="Q65" s="354"/>
      <c r="R65" s="354"/>
    </row>
    <row r="66" spans="7:18" x14ac:dyDescent="0.25">
      <c r="G66" s="347" t="s">
        <v>100</v>
      </c>
      <c r="H66" s="348" t="s">
        <v>8</v>
      </c>
      <c r="I66" s="348" t="s">
        <v>0</v>
      </c>
      <c r="J66" s="348" t="s">
        <v>1</v>
      </c>
      <c r="K66" s="348" t="s">
        <v>2</v>
      </c>
      <c r="L66" s="348" t="s">
        <v>3</v>
      </c>
      <c r="M66" s="348" t="s">
        <v>4</v>
      </c>
      <c r="N66" s="348" t="s">
        <v>5</v>
      </c>
      <c r="O66" s="348" t="s">
        <v>6</v>
      </c>
      <c r="P66" s="349" t="s">
        <v>7</v>
      </c>
      <c r="Q66" s="354"/>
      <c r="R66" s="354"/>
    </row>
    <row r="67" spans="7:18" x14ac:dyDescent="0.25">
      <c r="G67" s="377" t="s">
        <v>16</v>
      </c>
      <c r="H67" s="378">
        <f>140/3.2</f>
        <v>43.75</v>
      </c>
      <c r="I67" s="378">
        <f>H67*1.02</f>
        <v>44.625</v>
      </c>
      <c r="J67" s="378">
        <f t="shared" ref="J67:P67" si="16">I67*1.02</f>
        <v>45.517499999999998</v>
      </c>
      <c r="K67" s="378">
        <f t="shared" si="16"/>
        <v>46.427849999999999</v>
      </c>
      <c r="L67" s="378">
        <f t="shared" si="16"/>
        <v>47.356406999999997</v>
      </c>
      <c r="M67" s="378">
        <f t="shared" si="16"/>
        <v>48.303535140000001</v>
      </c>
      <c r="N67" s="378">
        <f t="shared" si="16"/>
        <v>49.269605842800004</v>
      </c>
      <c r="O67" s="378">
        <f t="shared" si="16"/>
        <v>50.254997959656002</v>
      </c>
      <c r="P67" s="379">
        <f t="shared" si="16"/>
        <v>51.260097918849127</v>
      </c>
      <c r="Q67" s="354"/>
      <c r="R67" s="354"/>
    </row>
    <row r="68" spans="7:18" ht="15.75" thickBot="1" x14ac:dyDescent="0.3">
      <c r="G68" s="380" t="s">
        <v>104</v>
      </c>
      <c r="H68" s="381">
        <f t="shared" ref="H68:P68" si="17">H12*H67*12</f>
        <v>17587171874.999996</v>
      </c>
      <c r="I68" s="381">
        <f t="shared" si="17"/>
        <v>18297693618.75</v>
      </c>
      <c r="J68" s="381">
        <f t="shared" si="17"/>
        <v>19029601363.5</v>
      </c>
      <c r="K68" s="381">
        <f t="shared" si="17"/>
        <v>19783466340.592499</v>
      </c>
      <c r="L68" s="381">
        <f t="shared" si="17"/>
        <v>20559874076.223297</v>
      </c>
      <c r="M68" s="381">
        <f t="shared" si="17"/>
        <v>21359424734.743095</v>
      </c>
      <c r="N68" s="381">
        <f t="shared" si="17"/>
        <v>22182733469.973194</v>
      </c>
      <c r="O68" s="381">
        <f t="shared" si="17"/>
        <v>23030430784.718594</v>
      </c>
      <c r="P68" s="382">
        <f t="shared" si="17"/>
        <v>23903162898.665825</v>
      </c>
      <c r="Q68" s="354"/>
      <c r="R68" s="354"/>
    </row>
    <row r="69" spans="7:18" x14ac:dyDescent="0.25">
      <c r="G69" s="354"/>
      <c r="H69" s="354"/>
      <c r="I69" s="354"/>
      <c r="J69" s="354"/>
      <c r="K69" s="354"/>
      <c r="L69" s="354"/>
      <c r="M69" s="354"/>
      <c r="N69" s="354"/>
      <c r="O69" s="354"/>
      <c r="P69" s="354"/>
      <c r="Q69" s="354"/>
      <c r="R69" s="354"/>
    </row>
    <row r="70" spans="7:18" ht="15.75" thickBot="1" x14ac:dyDescent="0.3">
      <c r="G70" s="354"/>
      <c r="H70" s="354"/>
      <c r="I70" s="354"/>
      <c r="J70" s="354"/>
      <c r="K70" s="354"/>
      <c r="L70" s="354"/>
      <c r="M70" s="354"/>
      <c r="N70" s="354"/>
      <c r="O70" s="354"/>
      <c r="P70" s="354"/>
      <c r="Q70" s="354"/>
      <c r="R70" s="354"/>
    </row>
    <row r="71" spans="7:18" x14ac:dyDescent="0.25">
      <c r="G71" s="347" t="s">
        <v>105</v>
      </c>
      <c r="H71" s="348" t="s">
        <v>8</v>
      </c>
      <c r="I71" s="348" t="s">
        <v>0</v>
      </c>
      <c r="J71" s="348" t="s">
        <v>1</v>
      </c>
      <c r="K71" s="348" t="s">
        <v>2</v>
      </c>
      <c r="L71" s="348" t="s">
        <v>3</v>
      </c>
      <c r="M71" s="348" t="s">
        <v>4</v>
      </c>
      <c r="N71" s="348" t="s">
        <v>5</v>
      </c>
      <c r="O71" s="348" t="s">
        <v>6</v>
      </c>
      <c r="P71" s="349" t="s">
        <v>7</v>
      </c>
      <c r="Q71" s="354"/>
      <c r="R71" s="354"/>
    </row>
    <row r="72" spans="7:18" x14ac:dyDescent="0.25">
      <c r="G72" s="377" t="s">
        <v>107</v>
      </c>
      <c r="H72" s="383">
        <f t="shared" ref="H72:P72" si="18">+H68</f>
        <v>17587171874.999996</v>
      </c>
      <c r="I72" s="383">
        <f t="shared" si="18"/>
        <v>18297693618.75</v>
      </c>
      <c r="J72" s="383">
        <f t="shared" si="18"/>
        <v>19029601363.5</v>
      </c>
      <c r="K72" s="383">
        <f t="shared" si="18"/>
        <v>19783466340.592499</v>
      </c>
      <c r="L72" s="383">
        <f t="shared" si="18"/>
        <v>20559874076.223297</v>
      </c>
      <c r="M72" s="383">
        <f t="shared" si="18"/>
        <v>21359424734.743095</v>
      </c>
      <c r="N72" s="383">
        <f t="shared" si="18"/>
        <v>22182733469.973194</v>
      </c>
      <c r="O72" s="383">
        <f t="shared" si="18"/>
        <v>23030430784.718594</v>
      </c>
      <c r="P72" s="384">
        <f t="shared" si="18"/>
        <v>23903162898.665825</v>
      </c>
      <c r="Q72" s="354"/>
      <c r="R72" s="354"/>
    </row>
    <row r="73" spans="7:18" x14ac:dyDescent="0.25">
      <c r="G73" s="377" t="s">
        <v>288</v>
      </c>
      <c r="H73" s="383">
        <f t="shared" ref="H73:P73" si="19">H63</f>
        <v>1824328728.3434649</v>
      </c>
      <c r="I73" s="383">
        <f t="shared" si="19"/>
        <v>5345950250</v>
      </c>
      <c r="J73" s="383">
        <f t="shared" si="19"/>
        <v>1855595500</v>
      </c>
      <c r="K73" s="383">
        <f t="shared" si="19"/>
        <v>2231770400</v>
      </c>
      <c r="L73" s="383">
        <f t="shared" si="19"/>
        <v>2482483900</v>
      </c>
      <c r="M73" s="383">
        <f t="shared" si="19"/>
        <v>2902686600</v>
      </c>
      <c r="N73" s="383">
        <f t="shared" si="19"/>
        <v>2892705000</v>
      </c>
      <c r="O73" s="383">
        <f t="shared" si="19"/>
        <v>2992372500</v>
      </c>
      <c r="P73" s="384">
        <f t="shared" si="19"/>
        <v>3037857750</v>
      </c>
      <c r="Q73" s="354"/>
      <c r="R73" s="354"/>
    </row>
    <row r="74" spans="7:18" x14ac:dyDescent="0.25">
      <c r="G74" s="377" t="s">
        <v>257</v>
      </c>
      <c r="H74" s="383">
        <f>H72*0.25</f>
        <v>4396792968.749999</v>
      </c>
      <c r="I74" s="383">
        <f t="shared" ref="I74:P74" si="20">I72*0.25</f>
        <v>4574423404.6875</v>
      </c>
      <c r="J74" s="383">
        <f t="shared" si="20"/>
        <v>4757400340.875</v>
      </c>
      <c r="K74" s="383">
        <f t="shared" si="20"/>
        <v>4945866585.1481247</v>
      </c>
      <c r="L74" s="383">
        <f t="shared" si="20"/>
        <v>5139968519.0558243</v>
      </c>
      <c r="M74" s="383">
        <f t="shared" si="20"/>
        <v>5339856183.6857738</v>
      </c>
      <c r="N74" s="383">
        <f t="shared" si="20"/>
        <v>5545683367.4932985</v>
      </c>
      <c r="O74" s="383">
        <f t="shared" si="20"/>
        <v>5757607696.1796484</v>
      </c>
      <c r="P74" s="384">
        <f t="shared" si="20"/>
        <v>5975790724.6664562</v>
      </c>
      <c r="Q74" s="354"/>
    </row>
    <row r="75" spans="7:18" ht="15.75" thickBot="1" x14ac:dyDescent="0.3">
      <c r="G75" s="380" t="s">
        <v>9</v>
      </c>
      <c r="H75" s="381">
        <f t="shared" ref="H75:P75" si="21">H72-H74-H73</f>
        <v>11366050177.906532</v>
      </c>
      <c r="I75" s="381">
        <f t="shared" si="21"/>
        <v>8377319964.0625</v>
      </c>
      <c r="J75" s="381">
        <f t="shared" si="21"/>
        <v>12416605522.625</v>
      </c>
      <c r="K75" s="381">
        <f t="shared" si="21"/>
        <v>12605829355.444374</v>
      </c>
      <c r="L75" s="381">
        <f t="shared" si="21"/>
        <v>12937421657.167473</v>
      </c>
      <c r="M75" s="381">
        <f t="shared" si="21"/>
        <v>13116881951.057322</v>
      </c>
      <c r="N75" s="381">
        <f t="shared" si="21"/>
        <v>13744345102.479897</v>
      </c>
      <c r="O75" s="381">
        <f t="shared" si="21"/>
        <v>14280450588.538944</v>
      </c>
      <c r="P75" s="382">
        <f t="shared" si="21"/>
        <v>14889514423.999367</v>
      </c>
      <c r="Q75" s="354"/>
      <c r="R75" s="354"/>
    </row>
    <row r="76" spans="7:18" ht="15.75" thickBot="1" x14ac:dyDescent="0.3">
      <c r="G76" s="354"/>
      <c r="H76" s="354"/>
      <c r="I76" s="354"/>
      <c r="J76" s="354"/>
      <c r="K76" s="354"/>
      <c r="L76" s="354"/>
      <c r="M76" s="354"/>
      <c r="N76" s="354"/>
      <c r="O76" s="354"/>
      <c r="P76" s="354"/>
      <c r="Q76" s="354"/>
      <c r="R76" s="354"/>
    </row>
    <row r="77" spans="7:18" x14ac:dyDescent="0.25">
      <c r="G77" s="385" t="s">
        <v>108</v>
      </c>
      <c r="H77" s="386">
        <f>NPV(0.1,H75:P75)</f>
        <v>70661732734.516235</v>
      </c>
      <c r="I77" s="354"/>
      <c r="J77" s="354"/>
      <c r="K77" s="354"/>
      <c r="L77" s="354"/>
      <c r="M77" s="354"/>
      <c r="N77" s="354"/>
      <c r="O77" s="354"/>
      <c r="P77" s="354"/>
      <c r="Q77" s="354"/>
      <c r="R77" s="354"/>
    </row>
    <row r="78" spans="7:18" ht="15.75" thickBot="1" x14ac:dyDescent="0.3">
      <c r="G78" s="387" t="s">
        <v>109</v>
      </c>
      <c r="H78" s="388" t="str">
        <f>IFERROR(IRR(H75:P75,-99%), "N/A")</f>
        <v>N/A</v>
      </c>
      <c r="I78" s="354"/>
      <c r="J78" s="354"/>
      <c r="K78" s="354"/>
      <c r="L78" s="354"/>
      <c r="M78" s="354"/>
      <c r="N78" s="354"/>
      <c r="O78" s="354"/>
      <c r="P78" s="354"/>
      <c r="Q78" s="354"/>
    </row>
    <row r="79" spans="7:18" x14ac:dyDescent="0.25">
      <c r="Q79" s="354"/>
      <c r="R79" s="354"/>
    </row>
    <row r="80" spans="7:18" x14ac:dyDescent="0.25">
      <c r="Q80" s="354"/>
      <c r="R80" s="354"/>
    </row>
  </sheetData>
  <sheetProtection algorithmName="SHA-512" hashValue="DJMcdryL3PO+H5xhfSwH/HeQkbzX/UOD0TuciZ8TOycqqMu5TpM1fQz1JXHR/Or/X+WbW8tS046NiIF+T/wOgw==" saltValue="ZqnDIt8s6zMAzGj+74e9Cg==" spinCount="100000" sheet="1" objects="1" scenarios="1"/>
  <protectedRanges>
    <protectedRange algorithmName="SHA-512" hashValue="OZ4sEmAHN8CRryTGYDehra6RH2BgONeiKUxk72Q4OwdzGGKSiLIqtSfmTuxpmoFh9tWNDySmN5rjrTazujAUvA==" saltValue="WaLXkNI4T2vHYruZxQEgPQ==" spinCount="100000" sqref="B4:D52" name="Range2"/>
    <protectedRange algorithmName="SHA-512" hashValue="4wuq+NXcQTgA/kltCjguKvMQArp+dzCxjkXKqiYV9Wloda1rlr+CzGocqD571QQsfmyxrKO1vX9chnORaplHYQ==" saltValue="mwR6t+2jrO44QwVjaIzvtw==" spinCount="100000" sqref="G9:P26" name="Range1"/>
  </protectedRanges>
  <conditionalFormatting sqref="A1:XFD1048576">
    <cfRule type="expression" dxfId="8" priority="1">
      <formula>"a1&lt;0"</formula>
    </cfRule>
  </conditionalFormatting>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80"/>
  <sheetViews>
    <sheetView zoomScale="81" zoomScaleNormal="81" workbookViewId="0">
      <selection activeCell="A4" sqref="A4"/>
    </sheetView>
  </sheetViews>
  <sheetFormatPr defaultColWidth="8.85546875" defaultRowHeight="15" x14ac:dyDescent="0.25"/>
  <cols>
    <col min="1" max="2" width="8.85546875" style="318"/>
    <col min="3" max="3" width="25.85546875" style="318" customWidth="1"/>
    <col min="4" max="4" width="14" style="318" bestFit="1" customWidth="1"/>
    <col min="5" max="5" width="11.7109375" style="318" customWidth="1"/>
    <col min="6" max="6" width="8.85546875" style="318"/>
    <col min="7" max="7" width="31.28515625" style="318" customWidth="1"/>
    <col min="8" max="8" width="18.7109375" style="318" bestFit="1" customWidth="1"/>
    <col min="9" max="16" width="15.7109375" style="318" bestFit="1" customWidth="1"/>
    <col min="17" max="16384" width="8.85546875" style="318"/>
  </cols>
  <sheetData>
    <row r="1" spans="1:16" x14ac:dyDescent="0.25">
      <c r="A1" s="317" t="s">
        <v>300</v>
      </c>
    </row>
    <row r="2" spans="1:16" x14ac:dyDescent="0.25">
      <c r="A2" s="318" t="s">
        <v>112</v>
      </c>
    </row>
    <row r="3" spans="1:16" x14ac:dyDescent="0.25">
      <c r="B3" s="318" t="s">
        <v>159</v>
      </c>
    </row>
    <row r="4" spans="1:16" x14ac:dyDescent="0.25">
      <c r="C4" s="318" t="s">
        <v>157</v>
      </c>
      <c r="D4" s="319">
        <f>'3.  USA OVERALL'!C5*0.3</f>
        <v>19500</v>
      </c>
      <c r="E4" s="318" t="s">
        <v>145</v>
      </c>
    </row>
    <row r="5" spans="1:16" x14ac:dyDescent="0.25">
      <c r="C5" s="318" t="s">
        <v>144</v>
      </c>
      <c r="D5" s="320">
        <v>0</v>
      </c>
      <c r="E5" s="318" t="s">
        <v>145</v>
      </c>
    </row>
    <row r="6" spans="1:16" x14ac:dyDescent="0.25">
      <c r="C6" s="318" t="s">
        <v>93</v>
      </c>
      <c r="D6" s="395">
        <v>52650000</v>
      </c>
      <c r="E6" s="318" t="s">
        <v>250</v>
      </c>
    </row>
    <row r="7" spans="1:16" x14ac:dyDescent="0.25">
      <c r="C7" s="318" t="s">
        <v>303</v>
      </c>
      <c r="D7" s="321">
        <v>0.15</v>
      </c>
      <c r="E7" s="318" t="s">
        <v>251</v>
      </c>
    </row>
    <row r="8" spans="1:16" ht="15.75" thickBot="1" x14ac:dyDescent="0.3">
      <c r="H8" s="322">
        <v>2019</v>
      </c>
      <c r="I8" s="322">
        <v>2020</v>
      </c>
      <c r="J8" s="322">
        <v>2021</v>
      </c>
      <c r="K8" s="322">
        <v>2022</v>
      </c>
      <c r="L8" s="322">
        <v>2023</v>
      </c>
      <c r="M8" s="322">
        <v>2024</v>
      </c>
      <c r="N8" s="322">
        <v>2025</v>
      </c>
      <c r="O8" s="322">
        <v>2026</v>
      </c>
      <c r="P8" s="322">
        <v>2027</v>
      </c>
    </row>
    <row r="9" spans="1:16" s="317" customFormat="1" x14ac:dyDescent="0.25">
      <c r="A9" s="323"/>
      <c r="B9" s="324" t="s">
        <v>142</v>
      </c>
      <c r="C9" s="325"/>
      <c r="D9" s="325"/>
      <c r="E9" s="326"/>
      <c r="G9" s="327" t="s">
        <v>88</v>
      </c>
      <c r="H9" s="328" t="s">
        <v>8</v>
      </c>
      <c r="I9" s="328" t="s">
        <v>0</v>
      </c>
      <c r="J9" s="328" t="s">
        <v>1</v>
      </c>
      <c r="K9" s="328" t="s">
        <v>2</v>
      </c>
      <c r="L9" s="328" t="s">
        <v>3</v>
      </c>
      <c r="M9" s="328" t="s">
        <v>4</v>
      </c>
      <c r="N9" s="328" t="s">
        <v>5</v>
      </c>
      <c r="O9" s="328" t="s">
        <v>6</v>
      </c>
      <c r="P9" s="329" t="s">
        <v>7</v>
      </c>
    </row>
    <row r="10" spans="1:16" x14ac:dyDescent="0.25">
      <c r="A10" s="330"/>
      <c r="B10" s="331"/>
      <c r="C10" s="332" t="s">
        <v>154</v>
      </c>
      <c r="D10" s="333">
        <v>0</v>
      </c>
      <c r="E10" s="334" t="s">
        <v>68</v>
      </c>
      <c r="G10" s="335" t="s">
        <v>15</v>
      </c>
      <c r="H10" s="306">
        <v>10</v>
      </c>
      <c r="I10" s="306">
        <f>H10*1.35</f>
        <v>13.5</v>
      </c>
      <c r="J10" s="306">
        <f t="shared" ref="J10:L10" si="0">I10*1.35</f>
        <v>18.225000000000001</v>
      </c>
      <c r="K10" s="306">
        <f t="shared" si="0"/>
        <v>24.603750000000005</v>
      </c>
      <c r="L10" s="306">
        <f t="shared" si="0"/>
        <v>33.215062500000009</v>
      </c>
      <c r="M10" s="306">
        <f>L10*1.3</f>
        <v>43.179581250000012</v>
      </c>
      <c r="N10" s="306">
        <f>M10*1.3</f>
        <v>56.133455625000018</v>
      </c>
      <c r="O10" s="306">
        <f>N10*1.25</f>
        <v>70.166819531250027</v>
      </c>
      <c r="P10" s="307">
        <f>O10*1.25</f>
        <v>87.708524414062538</v>
      </c>
    </row>
    <row r="11" spans="1:16" x14ac:dyDescent="0.25">
      <c r="A11" s="330"/>
      <c r="B11" s="331"/>
      <c r="C11" s="332" t="s">
        <v>67</v>
      </c>
      <c r="D11" s="336">
        <v>2</v>
      </c>
      <c r="E11" s="334" t="s">
        <v>69</v>
      </c>
      <c r="G11" s="331" t="s">
        <v>115</v>
      </c>
      <c r="H11" s="308">
        <v>0.38</v>
      </c>
      <c r="I11" s="308">
        <v>0.38</v>
      </c>
      <c r="J11" s="308">
        <v>0.38</v>
      </c>
      <c r="K11" s="308">
        <v>0.38</v>
      </c>
      <c r="L11" s="308">
        <v>0.38</v>
      </c>
      <c r="M11" s="308">
        <v>0.38</v>
      </c>
      <c r="N11" s="308">
        <v>0.38</v>
      </c>
      <c r="O11" s="308">
        <v>0.38</v>
      </c>
      <c r="P11" s="309">
        <v>0.38</v>
      </c>
    </row>
    <row r="12" spans="1:16" ht="15.75" thickBot="1" x14ac:dyDescent="0.3">
      <c r="A12" s="330"/>
      <c r="B12" s="337"/>
      <c r="C12" s="338" t="s">
        <v>126</v>
      </c>
      <c r="D12" s="339">
        <f>D10*D11*60*60*24*30*3*D7/8/1000</f>
        <v>0</v>
      </c>
      <c r="E12" s="340"/>
      <c r="G12" s="341" t="s">
        <v>116</v>
      </c>
      <c r="H12" s="310">
        <f>H11*$D6</f>
        <v>20007000</v>
      </c>
      <c r="I12" s="310">
        <f>I11*$D6*1.02</f>
        <v>20407140</v>
      </c>
      <c r="J12" s="310">
        <f>J11*$D6*1.04</f>
        <v>20807280</v>
      </c>
      <c r="K12" s="310">
        <f>K11*$D6*1.06</f>
        <v>21207420</v>
      </c>
      <c r="L12" s="310">
        <f>L11*$D6*1.08</f>
        <v>21607560</v>
      </c>
      <c r="M12" s="310">
        <f>M11*$D6*1.1</f>
        <v>22007700</v>
      </c>
      <c r="N12" s="310">
        <f>N11*$D6*1.12</f>
        <v>22407840.000000004</v>
      </c>
      <c r="O12" s="310">
        <f>O11*$D6*1.14</f>
        <v>22807979.999999996</v>
      </c>
      <c r="P12" s="311">
        <f>P11*$D6*1.16</f>
        <v>23208120</v>
      </c>
    </row>
    <row r="13" spans="1:16" ht="15.75" thickBot="1" x14ac:dyDescent="0.3">
      <c r="A13" s="330"/>
      <c r="B13" s="342" t="s">
        <v>143</v>
      </c>
      <c r="C13" s="323"/>
      <c r="D13" s="323"/>
      <c r="E13" s="343"/>
      <c r="G13" s="344" t="s">
        <v>117</v>
      </c>
      <c r="H13" s="312">
        <f>H12*H10</f>
        <v>200070000</v>
      </c>
      <c r="I13" s="312">
        <f t="shared" ref="I13:P13" si="1">I12*I10</f>
        <v>275496390</v>
      </c>
      <c r="J13" s="312">
        <f t="shared" si="1"/>
        <v>379212678</v>
      </c>
      <c r="K13" s="312">
        <f t="shared" si="1"/>
        <v>521782059.82500011</v>
      </c>
      <c r="L13" s="312">
        <f t="shared" si="1"/>
        <v>717696455.87250018</v>
      </c>
      <c r="M13" s="312">
        <f t="shared" si="1"/>
        <v>950283270.27562523</v>
      </c>
      <c r="N13" s="312">
        <f t="shared" si="1"/>
        <v>1257829492.2921007</v>
      </c>
      <c r="O13" s="312">
        <f t="shared" si="1"/>
        <v>1600363416.5323598</v>
      </c>
      <c r="P13" s="313">
        <f t="shared" si="1"/>
        <v>2035549959.6244931</v>
      </c>
    </row>
    <row r="14" spans="1:16" x14ac:dyDescent="0.25">
      <c r="A14" s="330"/>
      <c r="B14" s="331"/>
      <c r="C14" s="332" t="s">
        <v>66</v>
      </c>
      <c r="D14" s="336">
        <v>40</v>
      </c>
      <c r="E14" s="334" t="s">
        <v>68</v>
      </c>
      <c r="G14" s="317"/>
      <c r="H14" s="314"/>
      <c r="I14" s="314"/>
      <c r="J14" s="314"/>
      <c r="K14" s="314"/>
      <c r="L14" s="314"/>
      <c r="M14" s="314"/>
      <c r="N14" s="314"/>
      <c r="O14" s="314"/>
      <c r="P14" s="314"/>
    </row>
    <row r="15" spans="1:16" s="317" customFormat="1" x14ac:dyDescent="0.25">
      <c r="A15" s="323"/>
      <c r="B15" s="331"/>
      <c r="C15" s="332" t="s">
        <v>67</v>
      </c>
      <c r="D15" s="336">
        <v>2</v>
      </c>
      <c r="E15" s="334" t="s">
        <v>69</v>
      </c>
      <c r="G15" s="345" t="s">
        <v>123</v>
      </c>
      <c r="H15" s="315"/>
      <c r="I15" s="315"/>
      <c r="J15" s="315"/>
      <c r="K15" s="315"/>
      <c r="L15" s="315"/>
      <c r="M15" s="315"/>
      <c r="N15" s="315"/>
      <c r="O15" s="315"/>
      <c r="P15" s="315"/>
    </row>
    <row r="16" spans="1:16" ht="15.75" thickBot="1" x14ac:dyDescent="0.3">
      <c r="A16" s="330"/>
      <c r="B16" s="331"/>
      <c r="C16" s="332" t="s">
        <v>126</v>
      </c>
      <c r="D16" s="333">
        <f>D14*D15*60*60*24*30*3*D7/8/1000</f>
        <v>11664</v>
      </c>
      <c r="E16" s="334"/>
      <c r="G16" s="345" t="s">
        <v>128</v>
      </c>
      <c r="H16" s="316"/>
      <c r="I16" s="316"/>
      <c r="J16" s="316"/>
      <c r="K16" s="316"/>
      <c r="L16" s="316"/>
      <c r="M16" s="316"/>
      <c r="N16" s="316"/>
      <c r="O16" s="316"/>
      <c r="P16" s="316"/>
    </row>
    <row r="17" spans="1:30" x14ac:dyDescent="0.25">
      <c r="A17" s="330"/>
      <c r="B17" s="324" t="s">
        <v>147</v>
      </c>
      <c r="C17" s="325"/>
      <c r="D17" s="325"/>
      <c r="E17" s="326"/>
      <c r="G17" s="345" t="s">
        <v>121</v>
      </c>
      <c r="H17" s="316">
        <v>0.99</v>
      </c>
      <c r="I17" s="316">
        <v>1.02</v>
      </c>
      <c r="J17" s="316">
        <v>1.04</v>
      </c>
      <c r="K17" s="316">
        <v>1.06</v>
      </c>
      <c r="L17" s="316">
        <v>1.08</v>
      </c>
      <c r="M17" s="316">
        <v>1.1000000000000001</v>
      </c>
      <c r="N17" s="316">
        <v>1.1200000000000001</v>
      </c>
      <c r="O17" s="316">
        <v>1.1499999999999999</v>
      </c>
      <c r="P17" s="316">
        <v>1.18</v>
      </c>
    </row>
    <row r="18" spans="1:30" x14ac:dyDescent="0.25">
      <c r="A18" s="330"/>
      <c r="B18" s="331"/>
      <c r="C18" s="332" t="s">
        <v>161</v>
      </c>
      <c r="D18" s="336">
        <v>60</v>
      </c>
      <c r="E18" s="334" t="s">
        <v>68</v>
      </c>
      <c r="G18" s="345" t="s">
        <v>122</v>
      </c>
      <c r="H18" s="316">
        <v>0.45</v>
      </c>
      <c r="I18" s="316">
        <v>0.65</v>
      </c>
      <c r="J18" s="316">
        <v>0.72</v>
      </c>
      <c r="K18" s="316">
        <v>0.8</v>
      </c>
      <c r="L18" s="316">
        <v>0.85</v>
      </c>
      <c r="M18" s="316">
        <v>0.9</v>
      </c>
      <c r="N18" s="316">
        <v>0.95</v>
      </c>
      <c r="O18" s="316">
        <v>0.97</v>
      </c>
      <c r="P18" s="316">
        <v>0.99</v>
      </c>
    </row>
    <row r="19" spans="1:30" x14ac:dyDescent="0.25">
      <c r="A19" s="330"/>
      <c r="B19" s="331"/>
      <c r="C19" s="332" t="s">
        <v>67</v>
      </c>
      <c r="D19" s="336">
        <v>2</v>
      </c>
      <c r="E19" s="334" t="s">
        <v>69</v>
      </c>
      <c r="G19" s="345" t="s">
        <v>120</v>
      </c>
      <c r="H19" s="316"/>
      <c r="I19" s="316"/>
      <c r="J19" s="316"/>
      <c r="K19" s="316"/>
      <c r="L19" s="316"/>
      <c r="M19" s="316"/>
      <c r="N19" s="316"/>
      <c r="O19" s="316"/>
      <c r="P19" s="316"/>
    </row>
    <row r="20" spans="1:30" ht="15.75" thickBot="1" x14ac:dyDescent="0.3">
      <c r="A20" s="330"/>
      <c r="B20" s="337"/>
      <c r="C20" s="338" t="s">
        <v>126</v>
      </c>
      <c r="D20" s="339">
        <f>D18*D19*60*60*24*30*3*D7/8/1000</f>
        <v>17496</v>
      </c>
      <c r="E20" s="340"/>
      <c r="G20" s="345" t="s">
        <v>131</v>
      </c>
      <c r="H20" s="316"/>
      <c r="I20" s="316"/>
      <c r="J20" s="316"/>
      <c r="K20" s="316"/>
      <c r="L20" s="316"/>
      <c r="M20" s="316"/>
      <c r="N20" s="316"/>
      <c r="O20" s="316"/>
      <c r="P20" s="316"/>
    </row>
    <row r="21" spans="1:30" s="317" customFormat="1" x14ac:dyDescent="0.25">
      <c r="A21" s="323"/>
      <c r="B21" s="342" t="s">
        <v>138</v>
      </c>
      <c r="C21" s="323"/>
      <c r="D21" s="323"/>
      <c r="E21" s="343"/>
      <c r="F21" s="318"/>
      <c r="G21" s="345" t="s">
        <v>130</v>
      </c>
      <c r="H21" s="316"/>
      <c r="I21" s="316"/>
      <c r="J21" s="316"/>
      <c r="K21" s="316"/>
      <c r="L21" s="316"/>
      <c r="M21" s="316"/>
      <c r="N21" s="316"/>
      <c r="O21" s="316"/>
      <c r="P21" s="316"/>
      <c r="Q21" s="318"/>
    </row>
    <row r="22" spans="1:30" x14ac:dyDescent="0.25">
      <c r="A22" s="330"/>
      <c r="B22" s="331"/>
      <c r="C22" s="332" t="s">
        <v>74</v>
      </c>
      <c r="D22" s="333">
        <v>0</v>
      </c>
      <c r="E22" s="334" t="s">
        <v>68</v>
      </c>
      <c r="G22" s="345" t="s">
        <v>132</v>
      </c>
      <c r="H22" s="316">
        <v>0</v>
      </c>
      <c r="I22" s="316">
        <v>0</v>
      </c>
      <c r="J22" s="316">
        <v>0.1</v>
      </c>
      <c r="K22" s="316">
        <v>0.2</v>
      </c>
      <c r="L22" s="316">
        <v>0.3</v>
      </c>
      <c r="M22" s="316">
        <v>0.3</v>
      </c>
      <c r="N22" s="316">
        <v>0.3</v>
      </c>
      <c r="O22" s="316">
        <v>0.3</v>
      </c>
      <c r="P22" s="316">
        <v>0.3</v>
      </c>
    </row>
    <row r="23" spans="1:30" x14ac:dyDescent="0.25">
      <c r="A23" s="330"/>
      <c r="B23" s="331"/>
      <c r="C23" s="332" t="s">
        <v>67</v>
      </c>
      <c r="D23" s="336">
        <v>2</v>
      </c>
      <c r="E23" s="334" t="s">
        <v>69</v>
      </c>
      <c r="G23" s="345" t="s">
        <v>133</v>
      </c>
      <c r="H23" s="316">
        <v>0</v>
      </c>
      <c r="I23" s="316">
        <v>0</v>
      </c>
      <c r="J23" s="316">
        <v>0</v>
      </c>
      <c r="K23" s="316">
        <v>0.05</v>
      </c>
      <c r="L23" s="316">
        <v>0.15</v>
      </c>
      <c r="M23" s="316">
        <v>0.3</v>
      </c>
      <c r="N23" s="316">
        <v>0.5</v>
      </c>
      <c r="O23" s="316">
        <v>0.7</v>
      </c>
      <c r="P23" s="316">
        <v>0.9</v>
      </c>
    </row>
    <row r="24" spans="1:30" ht="15.75" thickBot="1" x14ac:dyDescent="0.3">
      <c r="A24" s="330"/>
      <c r="B24" s="331"/>
      <c r="C24" s="332" t="s">
        <v>126</v>
      </c>
      <c r="D24" s="339">
        <f>D22*D23*60*60*24*30*3*D7/8/1000</f>
        <v>0</v>
      </c>
      <c r="E24" s="334"/>
      <c r="G24" s="345" t="s">
        <v>152</v>
      </c>
      <c r="H24" s="316"/>
      <c r="I24" s="316"/>
      <c r="J24" s="316"/>
      <c r="K24" s="316"/>
      <c r="L24" s="316"/>
      <c r="M24" s="316"/>
      <c r="N24" s="316"/>
      <c r="O24" s="316"/>
      <c r="P24" s="316"/>
    </row>
    <row r="25" spans="1:30" x14ac:dyDescent="0.25">
      <c r="A25" s="330"/>
      <c r="B25" s="324" t="s">
        <v>137</v>
      </c>
      <c r="C25" s="325"/>
      <c r="D25" s="325"/>
      <c r="E25" s="326"/>
      <c r="G25" s="345" t="s">
        <v>153</v>
      </c>
      <c r="H25" s="316"/>
      <c r="I25" s="316"/>
      <c r="J25" s="316"/>
      <c r="K25" s="316"/>
      <c r="L25" s="316"/>
      <c r="M25" s="316"/>
      <c r="N25" s="316"/>
      <c r="O25" s="316"/>
      <c r="P25" s="316"/>
    </row>
    <row r="26" spans="1:30" x14ac:dyDescent="0.25">
      <c r="A26" s="330"/>
      <c r="B26" s="331"/>
      <c r="C26" s="332" t="s">
        <v>74</v>
      </c>
      <c r="D26" s="333">
        <v>0</v>
      </c>
      <c r="E26" s="334" t="s">
        <v>68</v>
      </c>
      <c r="G26" s="345" t="s">
        <v>162</v>
      </c>
      <c r="H26" s="316"/>
      <c r="I26" s="316"/>
      <c r="J26" s="316"/>
      <c r="K26" s="316"/>
      <c r="L26" s="316"/>
      <c r="M26" s="316"/>
      <c r="N26" s="316"/>
      <c r="O26" s="316"/>
      <c r="P26" s="316"/>
      <c r="AD26" s="318">
        <v>2029</v>
      </c>
    </row>
    <row r="27" spans="1:30" x14ac:dyDescent="0.25">
      <c r="A27" s="330"/>
      <c r="B27" s="331"/>
      <c r="C27" s="332" t="s">
        <v>67</v>
      </c>
      <c r="D27" s="336">
        <v>2</v>
      </c>
      <c r="E27" s="334" t="s">
        <v>69</v>
      </c>
      <c r="G27" s="345" t="s">
        <v>119</v>
      </c>
      <c r="H27" s="316">
        <v>0</v>
      </c>
      <c r="I27" s="316">
        <v>0</v>
      </c>
      <c r="J27" s="316">
        <v>0</v>
      </c>
      <c r="K27" s="316">
        <v>0</v>
      </c>
      <c r="L27" s="316">
        <v>0</v>
      </c>
      <c r="M27" s="316">
        <v>0</v>
      </c>
      <c r="N27" s="316">
        <v>0</v>
      </c>
      <c r="O27" s="316">
        <v>0</v>
      </c>
      <c r="P27" s="316">
        <v>0</v>
      </c>
    </row>
    <row r="28" spans="1:30" ht="15.75" thickBot="1" x14ac:dyDescent="0.3">
      <c r="A28" s="330"/>
      <c r="B28" s="337"/>
      <c r="C28" s="338" t="s">
        <v>126</v>
      </c>
      <c r="D28" s="339">
        <f>D26*D27*60*60*24*30*3*D7/8/1000</f>
        <v>0</v>
      </c>
      <c r="E28" s="340"/>
    </row>
    <row r="29" spans="1:30" x14ac:dyDescent="0.25">
      <c r="A29" s="330"/>
      <c r="B29" s="324" t="s">
        <v>136</v>
      </c>
      <c r="C29" s="325"/>
      <c r="D29" s="325"/>
      <c r="E29" s="326"/>
      <c r="G29" s="347" t="s">
        <v>87</v>
      </c>
      <c r="H29" s="348" t="s">
        <v>8</v>
      </c>
      <c r="I29" s="348" t="s">
        <v>0</v>
      </c>
      <c r="J29" s="348" t="s">
        <v>1</v>
      </c>
      <c r="K29" s="348" t="s">
        <v>2</v>
      </c>
      <c r="L29" s="348" t="s">
        <v>3</v>
      </c>
      <c r="M29" s="348" t="s">
        <v>4</v>
      </c>
      <c r="N29" s="348" t="s">
        <v>5</v>
      </c>
      <c r="O29" s="348" t="s">
        <v>6</v>
      </c>
      <c r="P29" s="349" t="s">
        <v>7</v>
      </c>
    </row>
    <row r="30" spans="1:30" x14ac:dyDescent="0.25">
      <c r="A30" s="330"/>
      <c r="B30" s="331"/>
      <c r="C30" s="332" t="s">
        <v>74</v>
      </c>
      <c r="D30" s="333">
        <v>0</v>
      </c>
      <c r="E30" s="334" t="s">
        <v>68</v>
      </c>
      <c r="G30" s="350" t="s">
        <v>128</v>
      </c>
      <c r="H30" s="351">
        <f t="shared" ref="H30:P30" si="2">H16*$D12*$D4</f>
        <v>0</v>
      </c>
      <c r="I30" s="351">
        <f t="shared" si="2"/>
        <v>0</v>
      </c>
      <c r="J30" s="351">
        <f t="shared" si="2"/>
        <v>0</v>
      </c>
      <c r="K30" s="351">
        <f t="shared" si="2"/>
        <v>0</v>
      </c>
      <c r="L30" s="351">
        <f t="shared" si="2"/>
        <v>0</v>
      </c>
      <c r="M30" s="351">
        <f t="shared" si="2"/>
        <v>0</v>
      </c>
      <c r="N30" s="351">
        <f t="shared" si="2"/>
        <v>0</v>
      </c>
      <c r="O30" s="351">
        <f t="shared" si="2"/>
        <v>0</v>
      </c>
      <c r="P30" s="352">
        <f t="shared" si="2"/>
        <v>0</v>
      </c>
      <c r="Q30" s="330"/>
    </row>
    <row r="31" spans="1:30" x14ac:dyDescent="0.25">
      <c r="A31" s="330"/>
      <c r="B31" s="331"/>
      <c r="C31" s="332" t="s">
        <v>67</v>
      </c>
      <c r="D31" s="336">
        <v>6</v>
      </c>
      <c r="E31" s="334" t="s">
        <v>69</v>
      </c>
      <c r="F31" s="353"/>
      <c r="G31" s="350" t="s">
        <v>121</v>
      </c>
      <c r="H31" s="351">
        <f t="shared" ref="H31:P31" si="3">H17*$D16*$D4</f>
        <v>225173520</v>
      </c>
      <c r="I31" s="351">
        <f t="shared" si="3"/>
        <v>231996960</v>
      </c>
      <c r="J31" s="351">
        <f t="shared" si="3"/>
        <v>236545920.00000003</v>
      </c>
      <c r="K31" s="351">
        <f t="shared" si="3"/>
        <v>241094880</v>
      </c>
      <c r="L31" s="351">
        <f t="shared" si="3"/>
        <v>245643840.00000003</v>
      </c>
      <c r="M31" s="351">
        <f t="shared" si="3"/>
        <v>250192800.00000003</v>
      </c>
      <c r="N31" s="351">
        <f t="shared" si="3"/>
        <v>254741760.00000003</v>
      </c>
      <c r="O31" s="351">
        <f t="shared" si="3"/>
        <v>261565199.99999997</v>
      </c>
      <c r="P31" s="352">
        <f t="shared" si="3"/>
        <v>268388639.99999997</v>
      </c>
      <c r="Q31" s="330"/>
    </row>
    <row r="32" spans="1:30" ht="15.75" thickBot="1" x14ac:dyDescent="0.3">
      <c r="A32" s="330"/>
      <c r="B32" s="337"/>
      <c r="C32" s="338" t="s">
        <v>126</v>
      </c>
      <c r="D32" s="339">
        <f>D30*D31*60*60*24*30*3*D7/8/1000</f>
        <v>0</v>
      </c>
      <c r="E32" s="340"/>
      <c r="F32" s="353"/>
      <c r="G32" s="350" t="s">
        <v>122</v>
      </c>
      <c r="H32" s="351">
        <f t="shared" ref="H32:P32" si="4">H18*$D20*$D4</f>
        <v>153527400</v>
      </c>
      <c r="I32" s="351">
        <f t="shared" si="4"/>
        <v>221761800</v>
      </c>
      <c r="J32" s="351">
        <f t="shared" si="4"/>
        <v>245643839.99999997</v>
      </c>
      <c r="K32" s="351">
        <f t="shared" si="4"/>
        <v>272937600</v>
      </c>
      <c r="L32" s="351">
        <f t="shared" si="4"/>
        <v>289996200</v>
      </c>
      <c r="M32" s="351">
        <f t="shared" si="4"/>
        <v>307054800</v>
      </c>
      <c r="N32" s="351">
        <f t="shared" si="4"/>
        <v>324113400</v>
      </c>
      <c r="O32" s="351">
        <f t="shared" si="4"/>
        <v>330936840</v>
      </c>
      <c r="P32" s="352">
        <f t="shared" si="4"/>
        <v>337760280</v>
      </c>
    </row>
    <row r="33" spans="1:18" x14ac:dyDescent="0.25">
      <c r="A33" s="330"/>
      <c r="B33" s="324" t="s">
        <v>135</v>
      </c>
      <c r="C33" s="355"/>
      <c r="D33" s="356"/>
      <c r="E33" s="357"/>
      <c r="G33" s="350" t="s">
        <v>120</v>
      </c>
      <c r="H33" s="351">
        <f t="shared" ref="H33:P33" si="5">H19*$D24*$D4</f>
        <v>0</v>
      </c>
      <c r="I33" s="351">
        <f t="shared" si="5"/>
        <v>0</v>
      </c>
      <c r="J33" s="351">
        <f t="shared" si="5"/>
        <v>0</v>
      </c>
      <c r="K33" s="351">
        <f t="shared" si="5"/>
        <v>0</v>
      </c>
      <c r="L33" s="351">
        <f t="shared" si="5"/>
        <v>0</v>
      </c>
      <c r="M33" s="351">
        <f t="shared" si="5"/>
        <v>0</v>
      </c>
      <c r="N33" s="351">
        <f t="shared" si="5"/>
        <v>0</v>
      </c>
      <c r="O33" s="351">
        <f t="shared" si="5"/>
        <v>0</v>
      </c>
      <c r="P33" s="352">
        <f t="shared" si="5"/>
        <v>0</v>
      </c>
    </row>
    <row r="34" spans="1:18" x14ac:dyDescent="0.25">
      <c r="A34" s="330"/>
      <c r="B34" s="331"/>
      <c r="C34" s="332" t="s">
        <v>74</v>
      </c>
      <c r="D34" s="336">
        <v>40</v>
      </c>
      <c r="E34" s="334" t="s">
        <v>68</v>
      </c>
      <c r="G34" s="350" t="s">
        <v>124</v>
      </c>
      <c r="H34" s="351">
        <f t="shared" ref="H34:P34" si="6">+H20*$D28*$D4</f>
        <v>0</v>
      </c>
      <c r="I34" s="351">
        <f t="shared" si="6"/>
        <v>0</v>
      </c>
      <c r="J34" s="351">
        <f t="shared" si="6"/>
        <v>0</v>
      </c>
      <c r="K34" s="351">
        <f t="shared" si="6"/>
        <v>0</v>
      </c>
      <c r="L34" s="351">
        <f t="shared" si="6"/>
        <v>0</v>
      </c>
      <c r="M34" s="351">
        <f t="shared" si="6"/>
        <v>0</v>
      </c>
      <c r="N34" s="351">
        <f t="shared" si="6"/>
        <v>0</v>
      </c>
      <c r="O34" s="351">
        <f t="shared" si="6"/>
        <v>0</v>
      </c>
      <c r="P34" s="352">
        <f t="shared" si="6"/>
        <v>0</v>
      </c>
    </row>
    <row r="35" spans="1:18" x14ac:dyDescent="0.25">
      <c r="A35" s="330"/>
      <c r="B35" s="331"/>
      <c r="C35" s="332" t="s">
        <v>67</v>
      </c>
      <c r="D35" s="336">
        <v>5.7</v>
      </c>
      <c r="E35" s="334" t="s">
        <v>69</v>
      </c>
      <c r="G35" s="350" t="s">
        <v>118</v>
      </c>
      <c r="H35" s="351">
        <f t="shared" ref="H35:P35" si="7">+H21*$D32*$D4</f>
        <v>0</v>
      </c>
      <c r="I35" s="351">
        <f t="shared" si="7"/>
        <v>0</v>
      </c>
      <c r="J35" s="351">
        <f t="shared" si="7"/>
        <v>0</v>
      </c>
      <c r="K35" s="351">
        <f t="shared" si="7"/>
        <v>0</v>
      </c>
      <c r="L35" s="351">
        <f t="shared" si="7"/>
        <v>0</v>
      </c>
      <c r="M35" s="351">
        <f t="shared" si="7"/>
        <v>0</v>
      </c>
      <c r="N35" s="351">
        <f t="shared" si="7"/>
        <v>0</v>
      </c>
      <c r="O35" s="351">
        <f t="shared" si="7"/>
        <v>0</v>
      </c>
      <c r="P35" s="352">
        <f t="shared" si="7"/>
        <v>0</v>
      </c>
    </row>
    <row r="36" spans="1:18" ht="15.75" thickBot="1" x14ac:dyDescent="0.3">
      <c r="A36" s="330"/>
      <c r="B36" s="337"/>
      <c r="C36" s="338" t="s">
        <v>126</v>
      </c>
      <c r="D36" s="389">
        <f>D34*D35*60*60*24*30*3*D7/8/1000</f>
        <v>33242.400000000001</v>
      </c>
      <c r="E36" s="340"/>
      <c r="F36" s="317"/>
      <c r="G36" s="350" t="s">
        <v>132</v>
      </c>
      <c r="H36" s="351">
        <f t="shared" ref="H36:P36" si="8">+H22*$D36*($D4+$D5)</f>
        <v>0</v>
      </c>
      <c r="I36" s="351">
        <f t="shared" si="8"/>
        <v>0</v>
      </c>
      <c r="J36" s="351">
        <f>+J22*$D36*($D4+$D5)</f>
        <v>64822680.000000007</v>
      </c>
      <c r="K36" s="351">
        <f t="shared" si="8"/>
        <v>129645360.00000001</v>
      </c>
      <c r="L36" s="351">
        <f t="shared" si="8"/>
        <v>194468040</v>
      </c>
      <c r="M36" s="351">
        <f t="shared" si="8"/>
        <v>194468040</v>
      </c>
      <c r="N36" s="351">
        <f t="shared" si="8"/>
        <v>194468040</v>
      </c>
      <c r="O36" s="351">
        <f t="shared" si="8"/>
        <v>194468040</v>
      </c>
      <c r="P36" s="352">
        <f t="shared" si="8"/>
        <v>194468040</v>
      </c>
    </row>
    <row r="37" spans="1:18" x14ac:dyDescent="0.25">
      <c r="A37" s="330"/>
      <c r="B37" s="342" t="s">
        <v>134</v>
      </c>
      <c r="C37" s="332"/>
      <c r="D37" s="333"/>
      <c r="E37" s="334"/>
      <c r="G37" s="350" t="s">
        <v>133</v>
      </c>
      <c r="H37" s="351">
        <f t="shared" ref="H37:P37" si="9">+H23*$D40*$D4</f>
        <v>0</v>
      </c>
      <c r="I37" s="351">
        <f t="shared" si="9"/>
        <v>0</v>
      </c>
      <c r="J37" s="351">
        <f t="shared" si="9"/>
        <v>0</v>
      </c>
      <c r="K37" s="351">
        <f t="shared" si="9"/>
        <v>81028350</v>
      </c>
      <c r="L37" s="351">
        <f t="shared" si="9"/>
        <v>243085050</v>
      </c>
      <c r="M37" s="351">
        <f t="shared" si="9"/>
        <v>486170100</v>
      </c>
      <c r="N37" s="351">
        <f t="shared" si="9"/>
        <v>810283500</v>
      </c>
      <c r="O37" s="351">
        <f t="shared" si="9"/>
        <v>1134396900</v>
      </c>
      <c r="P37" s="352">
        <f t="shared" si="9"/>
        <v>1458510300.0000002</v>
      </c>
    </row>
    <row r="38" spans="1:18" x14ac:dyDescent="0.25">
      <c r="A38" s="330"/>
      <c r="B38" s="331"/>
      <c r="C38" s="332" t="s">
        <v>74</v>
      </c>
      <c r="D38" s="336">
        <v>100</v>
      </c>
      <c r="E38" s="334" t="s">
        <v>68</v>
      </c>
      <c r="G38" s="350" t="s">
        <v>149</v>
      </c>
      <c r="H38" s="351">
        <f t="shared" ref="H38:P38" si="10">H24*$D$44*$D$5</f>
        <v>0</v>
      </c>
      <c r="I38" s="351">
        <f t="shared" si="10"/>
        <v>0</v>
      </c>
      <c r="J38" s="351">
        <f t="shared" si="10"/>
        <v>0</v>
      </c>
      <c r="K38" s="351">
        <f t="shared" si="10"/>
        <v>0</v>
      </c>
      <c r="L38" s="351">
        <f t="shared" si="10"/>
        <v>0</v>
      </c>
      <c r="M38" s="351">
        <f t="shared" si="10"/>
        <v>0</v>
      </c>
      <c r="N38" s="351">
        <f t="shared" si="10"/>
        <v>0</v>
      </c>
      <c r="O38" s="351">
        <f t="shared" si="10"/>
        <v>0</v>
      </c>
      <c r="P38" s="352">
        <f t="shared" si="10"/>
        <v>0</v>
      </c>
    </row>
    <row r="39" spans="1:18" x14ac:dyDescent="0.25">
      <c r="A39" s="330"/>
      <c r="B39" s="331"/>
      <c r="C39" s="332" t="s">
        <v>67</v>
      </c>
      <c r="D39" s="336">
        <v>5.7</v>
      </c>
      <c r="E39" s="334" t="s">
        <v>69</v>
      </c>
      <c r="G39" s="350" t="s">
        <v>150</v>
      </c>
      <c r="H39" s="351">
        <f t="shared" ref="H39:P39" si="11">H25*$D5*$D48</f>
        <v>0</v>
      </c>
      <c r="I39" s="351">
        <f t="shared" si="11"/>
        <v>0</v>
      </c>
      <c r="J39" s="351">
        <f t="shared" si="11"/>
        <v>0</v>
      </c>
      <c r="K39" s="351">
        <f t="shared" si="11"/>
        <v>0</v>
      </c>
      <c r="L39" s="351">
        <f t="shared" si="11"/>
        <v>0</v>
      </c>
      <c r="M39" s="351">
        <f t="shared" si="11"/>
        <v>0</v>
      </c>
      <c r="N39" s="351">
        <f t="shared" si="11"/>
        <v>0</v>
      </c>
      <c r="O39" s="351">
        <f t="shared" si="11"/>
        <v>0</v>
      </c>
      <c r="P39" s="352">
        <f t="shared" si="11"/>
        <v>0</v>
      </c>
    </row>
    <row r="40" spans="1:18" x14ac:dyDescent="0.25">
      <c r="A40" s="330"/>
      <c r="B40" s="331"/>
      <c r="C40" s="332" t="s">
        <v>126</v>
      </c>
      <c r="D40" s="333">
        <f>D38*D39*60*60*24*30*3*D7/8/1000</f>
        <v>83106</v>
      </c>
      <c r="E40" s="334"/>
      <c r="G40" s="358" t="s">
        <v>139</v>
      </c>
      <c r="H40" s="359">
        <f t="shared" ref="H40:P40" si="12">SUM(H30:H39)</f>
        <v>378700920</v>
      </c>
      <c r="I40" s="359">
        <f t="shared" si="12"/>
        <v>453758760</v>
      </c>
      <c r="J40" s="359">
        <f t="shared" si="12"/>
        <v>547012440</v>
      </c>
      <c r="K40" s="359">
        <f t="shared" si="12"/>
        <v>724706190</v>
      </c>
      <c r="L40" s="359">
        <f t="shared" si="12"/>
        <v>973193130</v>
      </c>
      <c r="M40" s="359">
        <f t="shared" si="12"/>
        <v>1237885740</v>
      </c>
      <c r="N40" s="359">
        <f t="shared" si="12"/>
        <v>1583606700</v>
      </c>
      <c r="O40" s="359">
        <f t="shared" si="12"/>
        <v>1921366980</v>
      </c>
      <c r="P40" s="360">
        <f t="shared" si="12"/>
        <v>2259127260</v>
      </c>
    </row>
    <row r="41" spans="1:18" x14ac:dyDescent="0.25">
      <c r="A41" s="330"/>
      <c r="B41" s="342" t="s">
        <v>148</v>
      </c>
      <c r="C41" s="332"/>
      <c r="D41" s="333"/>
      <c r="E41" s="334"/>
      <c r="G41" s="350" t="s">
        <v>140</v>
      </c>
      <c r="H41" s="361">
        <f t="shared" ref="H41:P41" si="13">+H27*$D52*$D5</f>
        <v>0</v>
      </c>
      <c r="I41" s="361">
        <f t="shared" si="13"/>
        <v>0</v>
      </c>
      <c r="J41" s="361">
        <f t="shared" si="13"/>
        <v>0</v>
      </c>
      <c r="K41" s="361">
        <f t="shared" si="13"/>
        <v>0</v>
      </c>
      <c r="L41" s="361">
        <f t="shared" si="13"/>
        <v>0</v>
      </c>
      <c r="M41" s="361">
        <f t="shared" si="13"/>
        <v>0</v>
      </c>
      <c r="N41" s="361">
        <f t="shared" si="13"/>
        <v>0</v>
      </c>
      <c r="O41" s="361">
        <f t="shared" si="13"/>
        <v>0</v>
      </c>
      <c r="P41" s="362">
        <f t="shared" si="13"/>
        <v>0</v>
      </c>
    </row>
    <row r="42" spans="1:18" ht="15.75" thickBot="1" x14ac:dyDescent="0.3">
      <c r="A42" s="330"/>
      <c r="B42" s="331"/>
      <c r="C42" s="332" t="s">
        <v>74</v>
      </c>
      <c r="D42" s="336">
        <f>60+60+40</f>
        <v>160</v>
      </c>
      <c r="E42" s="334" t="s">
        <v>68</v>
      </c>
      <c r="G42" s="363" t="s">
        <v>125</v>
      </c>
      <c r="H42" s="364">
        <f>+H40+H41</f>
        <v>378700920</v>
      </c>
      <c r="I42" s="364">
        <f t="shared" ref="I42:P42" si="14">+I40+I41</f>
        <v>453758760</v>
      </c>
      <c r="J42" s="364">
        <f t="shared" si="14"/>
        <v>547012440</v>
      </c>
      <c r="K42" s="364">
        <f t="shared" si="14"/>
        <v>724706190</v>
      </c>
      <c r="L42" s="364">
        <f t="shared" si="14"/>
        <v>973193130</v>
      </c>
      <c r="M42" s="364">
        <f t="shared" si="14"/>
        <v>1237885740</v>
      </c>
      <c r="N42" s="364">
        <f t="shared" si="14"/>
        <v>1583606700</v>
      </c>
      <c r="O42" s="364">
        <f t="shared" si="14"/>
        <v>1921366980</v>
      </c>
      <c r="P42" s="365">
        <f t="shared" si="14"/>
        <v>2259127260</v>
      </c>
    </row>
    <row r="43" spans="1:18" ht="15.75" thickBot="1" x14ac:dyDescent="0.3">
      <c r="A43" s="330"/>
      <c r="B43" s="331"/>
      <c r="C43" s="332" t="s">
        <v>67</v>
      </c>
      <c r="D43" s="336">
        <v>2</v>
      </c>
      <c r="E43" s="334" t="s">
        <v>69</v>
      </c>
      <c r="G43" s="366"/>
      <c r="H43" s="367"/>
      <c r="I43" s="367"/>
      <c r="J43" s="367"/>
      <c r="K43" s="367"/>
      <c r="L43" s="367"/>
      <c r="M43" s="367"/>
      <c r="N43" s="367"/>
      <c r="O43" s="367"/>
      <c r="P43" s="367"/>
    </row>
    <row r="44" spans="1:18" ht="15" customHeight="1" thickBot="1" x14ac:dyDescent="0.3">
      <c r="A44" s="330"/>
      <c r="B44" s="331"/>
      <c r="C44" s="338" t="s">
        <v>126</v>
      </c>
      <c r="D44" s="339">
        <f>D42*D43*60*60*24*30*3*D7/8/1000</f>
        <v>46656</v>
      </c>
      <c r="E44" s="340"/>
      <c r="G44" s="347" t="s">
        <v>91</v>
      </c>
      <c r="H44" s="348" t="s">
        <v>8</v>
      </c>
      <c r="I44" s="348" t="s">
        <v>0</v>
      </c>
      <c r="J44" s="348" t="s">
        <v>1</v>
      </c>
      <c r="K44" s="348" t="s">
        <v>2</v>
      </c>
      <c r="L44" s="348" t="s">
        <v>3</v>
      </c>
      <c r="M44" s="348" t="s">
        <v>4</v>
      </c>
      <c r="N44" s="348" t="s">
        <v>5</v>
      </c>
      <c r="O44" s="348" t="s">
        <v>6</v>
      </c>
      <c r="P44" s="349" t="s">
        <v>7</v>
      </c>
      <c r="Q44" s="354"/>
      <c r="R44" s="354"/>
    </row>
    <row r="45" spans="1:18" x14ac:dyDescent="0.25">
      <c r="A45" s="330"/>
      <c r="B45" s="324" t="s">
        <v>151</v>
      </c>
      <c r="C45" s="355"/>
      <c r="D45" s="356"/>
      <c r="E45" s="357"/>
      <c r="G45" s="368" t="s">
        <v>19</v>
      </c>
      <c r="H45" s="287"/>
      <c r="I45" s="288"/>
      <c r="J45" s="288"/>
      <c r="K45" s="288"/>
      <c r="L45" s="288"/>
      <c r="M45" s="288"/>
      <c r="N45" s="288"/>
      <c r="O45" s="288"/>
      <c r="P45" s="289"/>
      <c r="Q45" s="354"/>
      <c r="R45" s="354"/>
    </row>
    <row r="46" spans="1:18" x14ac:dyDescent="0.25">
      <c r="A46" s="330"/>
      <c r="B46" s="331"/>
      <c r="C46" s="332" t="s">
        <v>74</v>
      </c>
      <c r="D46" s="333">
        <f>D22+D34+D38</f>
        <v>140</v>
      </c>
      <c r="E46" s="334" t="s">
        <v>68</v>
      </c>
      <c r="G46" s="369" t="s">
        <v>252</v>
      </c>
      <c r="H46" s="287">
        <v>84240000</v>
      </c>
      <c r="I46" s="287">
        <v>842400000</v>
      </c>
      <c r="J46" s="288"/>
      <c r="K46" s="288"/>
      <c r="L46" s="288"/>
      <c r="M46" s="288"/>
      <c r="N46" s="288"/>
      <c r="O46" s="288"/>
      <c r="P46" s="289"/>
      <c r="Q46" s="354"/>
      <c r="R46" s="354"/>
    </row>
    <row r="47" spans="1:18" x14ac:dyDescent="0.25">
      <c r="A47" s="330"/>
      <c r="B47" s="331"/>
      <c r="C47" s="332" t="s">
        <v>67</v>
      </c>
      <c r="D47" s="336">
        <v>2</v>
      </c>
      <c r="E47" s="334" t="s">
        <v>69</v>
      </c>
      <c r="G47" s="369" t="s">
        <v>253</v>
      </c>
      <c r="H47" s="287">
        <v>11659814.589665655</v>
      </c>
      <c r="I47" s="288"/>
      <c r="J47" s="288"/>
      <c r="K47" s="288"/>
      <c r="L47" s="288"/>
      <c r="M47" s="288"/>
      <c r="N47" s="288"/>
      <c r="O47" s="288"/>
      <c r="P47" s="289"/>
      <c r="Q47" s="354"/>
      <c r="R47" s="354"/>
    </row>
    <row r="48" spans="1:18" ht="15.75" thickBot="1" x14ac:dyDescent="0.3">
      <c r="A48" s="330"/>
      <c r="B48" s="337"/>
      <c r="C48" s="338" t="s">
        <v>126</v>
      </c>
      <c r="D48" s="339">
        <f>D46*D47*60*60*24*30*3*D7/8/1000</f>
        <v>40824</v>
      </c>
      <c r="E48" s="340"/>
      <c r="G48" s="368" t="s">
        <v>48</v>
      </c>
      <c r="H48" s="288"/>
      <c r="I48" s="290"/>
      <c r="J48" s="288"/>
      <c r="K48" s="288"/>
      <c r="L48" s="288"/>
      <c r="M48" s="288"/>
      <c r="N48" s="288"/>
      <c r="O48" s="288"/>
      <c r="P48" s="289"/>
      <c r="Q48" s="354"/>
      <c r="R48" s="354"/>
    </row>
    <row r="49" spans="1:18" x14ac:dyDescent="0.25">
      <c r="A49" s="330"/>
      <c r="B49" s="324" t="s">
        <v>114</v>
      </c>
      <c r="C49" s="325"/>
      <c r="D49" s="325"/>
      <c r="E49" s="326"/>
      <c r="G49" s="370" t="s">
        <v>121</v>
      </c>
      <c r="H49" s="287">
        <f>+(H17-90%)*$D4*('Cost per Cell'!$M6+'Cost per Cell'!$M7)</f>
        <v>78974999.99999997</v>
      </c>
      <c r="I49" s="287">
        <f>+(I17-H17)*$D4*('Cost per Cell'!$M6+'Cost per Cell'!$M7)</f>
        <v>26325000.000000026</v>
      </c>
      <c r="J49" s="287">
        <f>+(J17-I17)*$D4*('Cost per Cell'!$M6+'Cost per Cell'!$M7)</f>
        <v>17550000.000000015</v>
      </c>
      <c r="K49" s="287">
        <f>+(K17-J17)*$D4*('Cost per Cell'!$M6+'Cost per Cell'!$M7)</f>
        <v>17550000.000000015</v>
      </c>
      <c r="L49" s="287">
        <f>+(L17-K17)*$D4*('Cost per Cell'!$M6+'Cost per Cell'!$M7)</f>
        <v>17550000.000000015</v>
      </c>
      <c r="M49" s="287">
        <f>+(M17-L17)*$D4*('Cost per Cell'!$M6+'Cost per Cell'!$M7)</f>
        <v>17550000.000000015</v>
      </c>
      <c r="N49" s="287">
        <f>+(N17-M17)*$D4*('Cost per Cell'!$M6+'Cost per Cell'!$M7)</f>
        <v>17550000.000000015</v>
      </c>
      <c r="O49" s="287">
        <f>+(O17-N17)*$D4*('Cost per Cell'!$M6+'Cost per Cell'!$M7)</f>
        <v>26324999.999999825</v>
      </c>
      <c r="P49" s="291">
        <f>+(P17-O17)*$D4*('Cost per Cell'!$M6+'Cost per Cell'!$M7)</f>
        <v>26325000.000000026</v>
      </c>
      <c r="Q49" s="354"/>
      <c r="R49" s="354"/>
    </row>
    <row r="50" spans="1:18" x14ac:dyDescent="0.25">
      <c r="A50" s="330"/>
      <c r="B50" s="331"/>
      <c r="C50" s="332" t="s">
        <v>74</v>
      </c>
      <c r="D50" s="336">
        <v>800</v>
      </c>
      <c r="E50" s="334" t="s">
        <v>68</v>
      </c>
      <c r="G50" s="370" t="s">
        <v>122</v>
      </c>
      <c r="H50" s="287">
        <f>+(H18-35%)*$D4*('Cost per Cell'!$M6+'Cost per Cell'!$M7)</f>
        <v>87750000.00000003</v>
      </c>
      <c r="I50" s="287">
        <f>+(I18-H18)*$D4*('Cost per Cell'!$M6+'Cost per Cell'!$M7)</f>
        <v>175500000</v>
      </c>
      <c r="J50" s="287">
        <f>+(J18-I18)*$D4*('Cost per Cell'!$M6+'Cost per Cell'!$M7)</f>
        <v>61424999.999999963</v>
      </c>
      <c r="K50" s="287">
        <f>+(K18-J18)*$D4*('Cost per Cell'!$M6+'Cost per Cell'!$M7)</f>
        <v>70200000.00000006</v>
      </c>
      <c r="L50" s="287">
        <f>+(L18-K18)*$D4*('Cost per Cell'!$M6+'Cost per Cell'!$M7)</f>
        <v>43874999.99999994</v>
      </c>
      <c r="M50" s="287">
        <f>+(M18-L18)*$D4*('Cost per Cell'!$M6+'Cost per Cell'!$M7)</f>
        <v>43875000.000000037</v>
      </c>
      <c r="N50" s="287">
        <f>+(N18-M18)*$D4*('Cost per Cell'!$M6+'Cost per Cell'!$M7)</f>
        <v>43874999.99999994</v>
      </c>
      <c r="O50" s="287">
        <f>+(O18-N18)*$D4*('Cost per Cell'!$M6+'Cost per Cell'!$M7)</f>
        <v>17550000.000000015</v>
      </c>
      <c r="P50" s="291">
        <f>+(P18-O18)*$D4*('Cost per Cell'!$M6+'Cost per Cell'!$M7)</f>
        <v>17550000.000000015</v>
      </c>
      <c r="Q50" s="354"/>
      <c r="R50" s="354"/>
    </row>
    <row r="51" spans="1:18" x14ac:dyDescent="0.25">
      <c r="A51" s="330"/>
      <c r="B51" s="331"/>
      <c r="C51" s="332" t="s">
        <v>67</v>
      </c>
      <c r="D51" s="366">
        <f>5000/800</f>
        <v>6.25</v>
      </c>
      <c r="E51" s="334" t="s">
        <v>69</v>
      </c>
      <c r="G51" s="370" t="s">
        <v>132</v>
      </c>
      <c r="H51" s="287">
        <f>+(H22-0)*$D4*('Cost per Cell'!$G6+'Cost per Cell'!$G7)</f>
        <v>0</v>
      </c>
      <c r="I51" s="287">
        <f>+(I22-H22)*$D4*('Cost per Cell'!$G6+'Cost per Cell'!$G7)</f>
        <v>0</v>
      </c>
      <c r="J51" s="287">
        <f>+(J22-I22)*$D4*('Cost per Cell'!$G6+'Cost per Cell'!$G7)</f>
        <v>136500000</v>
      </c>
      <c r="K51" s="287">
        <f>+(K22-J22)*$D4*('Cost per Cell'!$G6+'Cost per Cell'!$G7)</f>
        <v>136500000</v>
      </c>
      <c r="L51" s="287">
        <f>+(L22-K22)*$D4*('Cost per Cell'!$G6+'Cost per Cell'!$G7)</f>
        <v>136499999.99999997</v>
      </c>
      <c r="M51" s="287">
        <f>+(M22-L22)*$D4*('Cost per Cell'!$G6+'Cost per Cell'!$G7)</f>
        <v>0</v>
      </c>
      <c r="N51" s="287">
        <f>+(N22-M22)*$D4*('Cost per Cell'!$G6+'Cost per Cell'!$G7)</f>
        <v>0</v>
      </c>
      <c r="O51" s="287">
        <f>+(O22-N22)*$D4*('Cost per Cell'!$G6+'Cost per Cell'!$G7)</f>
        <v>0</v>
      </c>
      <c r="P51" s="291">
        <f>+(P22-O22)*$D4*('Cost per Cell'!$G6+'Cost per Cell'!$G7)</f>
        <v>0</v>
      </c>
      <c r="Q51" s="354"/>
      <c r="R51" s="354"/>
    </row>
    <row r="52" spans="1:18" ht="15.75" thickBot="1" x14ac:dyDescent="0.3">
      <c r="A52" s="330"/>
      <c r="B52" s="337"/>
      <c r="C52" s="338" t="s">
        <v>126</v>
      </c>
      <c r="D52" s="339">
        <f>D50*D51*60*60*24*30*3*D7/8/1000</f>
        <v>729000</v>
      </c>
      <c r="E52" s="340"/>
      <c r="G52" s="370" t="s">
        <v>133</v>
      </c>
      <c r="H52" s="287">
        <f>+(H23-0)*$D4*('Cost per Cell'!$E6+'Cost per Cell'!$E7)</f>
        <v>0</v>
      </c>
      <c r="I52" s="287">
        <f>+(I23-H23)*$D4*('Cost per Cell'!$E6+'Cost per Cell'!$E7)</f>
        <v>0</v>
      </c>
      <c r="J52" s="287">
        <f>+(J23-I23)*$D4*('Cost per Cell'!$E6+'Cost per Cell'!$E7)</f>
        <v>0</v>
      </c>
      <c r="K52" s="287">
        <f>+(K23-J23)*$D4*('Cost per Cell'!$E6+'Cost per Cell'!$E7)</f>
        <v>68250000</v>
      </c>
      <c r="L52" s="287">
        <f>+(L23-K23)*$D4*('Cost per Cell'!$E6+'Cost per Cell'!$E7)</f>
        <v>136499999.99999997</v>
      </c>
      <c r="M52" s="287">
        <f>+(M23-L23)*$D4*('Cost per Cell'!$E6+'Cost per Cell'!$E7)</f>
        <v>204750000</v>
      </c>
      <c r="N52" s="287">
        <f>+(N23-M23)*$D4*('Cost per Cell'!$E6+'Cost per Cell'!$E7)</f>
        <v>273000000</v>
      </c>
      <c r="O52" s="287">
        <f>+(O23-N23)*$D4*('Cost per Cell'!$E6+'Cost per Cell'!$E7)</f>
        <v>272999999.99999994</v>
      </c>
      <c r="P52" s="291">
        <f>+(P23-O23)*$D4*('Cost per Cell'!$E6+'Cost per Cell'!$E7)</f>
        <v>273000000.00000012</v>
      </c>
    </row>
    <row r="53" spans="1:18" x14ac:dyDescent="0.25">
      <c r="B53" s="330"/>
      <c r="C53" s="330"/>
      <c r="D53" s="330"/>
      <c r="E53" s="330"/>
      <c r="G53" s="371" t="s">
        <v>255</v>
      </c>
      <c r="H53" s="287"/>
      <c r="I53" s="287">
        <f>IF((I24-H24)&gt;0, (I24-H24),0)*$D5*('Cost per Cell'!$O6+'Cost per Cell'!$O7)</f>
        <v>0</v>
      </c>
      <c r="J53" s="287">
        <f>IF((J24-I24)&gt;0, (J24-I24),0)*$D5*('Cost per Cell'!$O6+'Cost per Cell'!$O7)</f>
        <v>0</v>
      </c>
      <c r="K53" s="287">
        <f>IF((K24-J24)&gt;0, (K24-J24),0)*$D5*('Cost per Cell'!$O6+'Cost per Cell'!$O7)</f>
        <v>0</v>
      </c>
      <c r="L53" s="287">
        <f>IF((L24-K24)&gt;0, (L24-K24),0)*$D5*('Cost per Cell'!$O6+'Cost per Cell'!$O7)</f>
        <v>0</v>
      </c>
      <c r="M53" s="287">
        <f>IF((M24-L24)&gt;0, (M24-L24),0)*$D5*('Cost per Cell'!$O6+'Cost per Cell'!$O7)</f>
        <v>0</v>
      </c>
      <c r="N53" s="287">
        <f>IF((N24-M24)&gt;0, (N24-M24),0)*$D5*('Cost per Cell'!$O6+'Cost per Cell'!$O7)</f>
        <v>0</v>
      </c>
      <c r="O53" s="287">
        <f>IF((O24-N24)&gt;0, (O24-N24),0)*$D5*('Cost per Cell'!$O6+'Cost per Cell'!$O7)</f>
        <v>0</v>
      </c>
      <c r="P53" s="291">
        <f>IF((P24-O24)&gt;0, (P24-O24),0)*$D5*('Cost per Cell'!$O6+'Cost per Cell'!$O7)</f>
        <v>0</v>
      </c>
    </row>
    <row r="54" spans="1:18" x14ac:dyDescent="0.25">
      <c r="B54" s="330"/>
      <c r="C54" s="330"/>
      <c r="D54" s="330"/>
      <c r="E54" s="330"/>
      <c r="G54" s="371" t="s">
        <v>256</v>
      </c>
      <c r="H54" s="287"/>
      <c r="I54" s="287">
        <f>IF((I25-H25)&gt;0, (I25-H25),0)*$D5*('Cost per Cell'!$O6+'Cost per Cell'!$O7)</f>
        <v>0</v>
      </c>
      <c r="J54" s="287">
        <f>IF((J25-I25)&gt;0, (J25-I25),0)*$D5*('Cost per Cell'!$O6+'Cost per Cell'!$O7)</f>
        <v>0</v>
      </c>
      <c r="K54" s="287">
        <f>IF((K25-J25)&gt;0, (K25-J25),0)*$D5*('Cost per Cell'!$O6+'Cost per Cell'!$O7)</f>
        <v>0</v>
      </c>
      <c r="L54" s="287">
        <f>IF((L25-K25)&gt;0, (L25-K25),0)*$D5*('Cost per Cell'!$O6+'Cost per Cell'!$O7)</f>
        <v>0</v>
      </c>
      <c r="M54" s="287">
        <f>IF((M25-L25)&gt;0, (M25-L25),0)*$D5*('Cost per Cell'!$O6+'Cost per Cell'!$O7)</f>
        <v>0</v>
      </c>
      <c r="N54" s="287">
        <f>IF((N25-M25)&gt;0, (N25-M25),0)*$D5*('Cost per Cell'!$O6+'Cost per Cell'!$O7)</f>
        <v>0</v>
      </c>
      <c r="O54" s="287">
        <f>IF((O25-N25)&gt;0, (O25-N25),0)*$D5*('Cost per Cell'!$O6+'Cost per Cell'!$O7)</f>
        <v>0</v>
      </c>
      <c r="P54" s="291">
        <f>IF((P25-O25)&gt;0, (P25-O25),0)*$D5*('Cost per Cell'!$O6+'Cost per Cell'!$O7)</f>
        <v>0</v>
      </c>
      <c r="Q54" s="354"/>
      <c r="R54" s="354"/>
    </row>
    <row r="55" spans="1:18" x14ac:dyDescent="0.25">
      <c r="B55" s="330"/>
      <c r="C55" s="330"/>
      <c r="D55" s="330"/>
      <c r="E55" s="330"/>
      <c r="G55" s="369" t="s">
        <v>129</v>
      </c>
      <c r="H55" s="287"/>
      <c r="I55" s="287">
        <f>IF((I27-H27)&gt;0, (I27-H27),0)*$D5*('Cost per Cell'!$I6+'Cost per Cell'!$I7)</f>
        <v>0</v>
      </c>
      <c r="J55" s="287">
        <f>IF((J27-I27)&gt;0, (J27-I27),0)*$D5*('Cost per Cell'!$I6+'Cost per Cell'!$I7)</f>
        <v>0</v>
      </c>
      <c r="K55" s="287">
        <f>IF((K27-J27)&gt;0, (K27-J27),0)*$D5*('Cost per Cell'!$I6+'Cost per Cell'!$I7)</f>
        <v>0</v>
      </c>
      <c r="L55" s="287">
        <f>IF((L27-K27)&gt;0, (L27-K27),0)*$D5*('Cost per Cell'!$I6+'Cost per Cell'!$I7)</f>
        <v>0</v>
      </c>
      <c r="M55" s="287">
        <f>IF((M27-L27)&gt;0, (M27-L27),0)*$D5*('Cost per Cell'!$I6+'Cost per Cell'!$I7)</f>
        <v>0</v>
      </c>
      <c r="N55" s="287">
        <f>IF((N27-M27)&gt;0, (N27-M27),0)*$D5*('Cost per Cell'!$I6+'Cost per Cell'!$I7)</f>
        <v>0</v>
      </c>
      <c r="O55" s="287">
        <f>IF((O27-N27)&gt;0, (O27-N27),0)*$D5*('Cost per Cell'!$I6+'Cost per Cell'!$I7)</f>
        <v>0</v>
      </c>
      <c r="P55" s="291">
        <f>IF((P27-O27)&gt;0, (P27-O27),0)*$D5*('Cost per Cell'!$I6+'Cost per Cell'!$I7)</f>
        <v>0</v>
      </c>
      <c r="Q55" s="354"/>
      <c r="R55" s="354"/>
    </row>
    <row r="56" spans="1:18" x14ac:dyDescent="0.25">
      <c r="B56" s="330"/>
      <c r="C56" s="330"/>
      <c r="D56" s="330"/>
      <c r="E56" s="330"/>
      <c r="G56" s="368" t="s">
        <v>47</v>
      </c>
      <c r="H56" s="288"/>
      <c r="I56" s="288"/>
      <c r="J56" s="288"/>
      <c r="K56" s="288"/>
      <c r="L56" s="288"/>
      <c r="M56" s="288"/>
      <c r="N56" s="288"/>
      <c r="O56" s="288"/>
      <c r="P56" s="289"/>
      <c r="Q56" s="354"/>
      <c r="R56" s="354"/>
    </row>
    <row r="57" spans="1:18" x14ac:dyDescent="0.25">
      <c r="G57" s="370" t="s">
        <v>121</v>
      </c>
      <c r="H57" s="292">
        <f>$D4*H17*SUM('Cost per Cell'!$M11:$M14)*12</f>
        <v>789960600</v>
      </c>
      <c r="I57" s="292">
        <f>$D4*I17*SUM('Cost per Cell'!$M11:$M14)*12</f>
        <v>813898800</v>
      </c>
      <c r="J57" s="292">
        <f>$D4*J17*SUM('Cost per Cell'!$M11:$M14)*12</f>
        <v>829857600</v>
      </c>
      <c r="K57" s="292">
        <f>$D4*K17*SUM('Cost per Cell'!$M11:$M14)*12</f>
        <v>845816400</v>
      </c>
      <c r="L57" s="292">
        <f>$D4*L17*SUM('Cost per Cell'!$M11:$M14)*12</f>
        <v>861775200</v>
      </c>
      <c r="M57" s="292">
        <f>$D4*M17*SUM('Cost per Cell'!$M11:$M14)*12</f>
        <v>877734000</v>
      </c>
      <c r="N57" s="292">
        <f>$D4*N17*SUM('Cost per Cell'!$M11:$M14)*12</f>
        <v>893692800.00000024</v>
      </c>
      <c r="O57" s="292">
        <f>$D4*O17*SUM('Cost per Cell'!$M11:$M14)*12</f>
        <v>917631000</v>
      </c>
      <c r="P57" s="293">
        <f>$D4*P17*SUM('Cost per Cell'!$M11:$M14)*12</f>
        <v>941569200</v>
      </c>
      <c r="Q57" s="374"/>
      <c r="R57" s="374"/>
    </row>
    <row r="58" spans="1:18" x14ac:dyDescent="0.25">
      <c r="G58" s="370" t="s">
        <v>122</v>
      </c>
      <c r="H58" s="292">
        <f>$D4*H17*SUM('Cost per Cell'!$M11:$M14)*12</f>
        <v>789960600</v>
      </c>
      <c r="I58" s="292">
        <f>$D4*I17*SUM('Cost per Cell'!$M11:$M14)*12</f>
        <v>813898800</v>
      </c>
      <c r="J58" s="292">
        <f>$D4*J17*SUM('Cost per Cell'!$M11:$M14)*12</f>
        <v>829857600</v>
      </c>
      <c r="K58" s="292">
        <f>$D4*K17*SUM('Cost per Cell'!$M11:$M14)*12</f>
        <v>845816400</v>
      </c>
      <c r="L58" s="292">
        <f>$D4*L17*SUM('Cost per Cell'!$M11:$M14)*12</f>
        <v>861775200</v>
      </c>
      <c r="M58" s="292">
        <f>$D4*M17*SUM('Cost per Cell'!$M11:$M14)*12</f>
        <v>877734000</v>
      </c>
      <c r="N58" s="292">
        <f>$D4*N17*SUM('Cost per Cell'!$M11:$M14)*12</f>
        <v>893692800.00000024</v>
      </c>
      <c r="O58" s="292">
        <f>$D4*O17*SUM('Cost per Cell'!$M11:$M14)*12</f>
        <v>917631000</v>
      </c>
      <c r="P58" s="293">
        <f>$D4*P17*SUM('Cost per Cell'!$M11:$M14)*12</f>
        <v>941569200</v>
      </c>
      <c r="Q58" s="354"/>
      <c r="R58" s="354"/>
    </row>
    <row r="59" spans="1:18" x14ac:dyDescent="0.25">
      <c r="G59" s="370" t="s">
        <v>132</v>
      </c>
      <c r="H59" s="292">
        <f>$D4*H22*SUM('Cost per Cell'!$G11:$G14)*12</f>
        <v>0</v>
      </c>
      <c r="I59" s="292">
        <f>$D4*I22*SUM('Cost per Cell'!$G11:$G14)*12</f>
        <v>0</v>
      </c>
      <c r="J59" s="292">
        <f>$D4*J22*SUM('Cost per Cell'!$G11:$G14)*12</f>
        <v>76541400</v>
      </c>
      <c r="K59" s="292">
        <f>$D4*K22*SUM('Cost per Cell'!$G11:$G14)*12</f>
        <v>153082800</v>
      </c>
      <c r="L59" s="292">
        <f>$D4*L22*SUM('Cost per Cell'!$G11:$G14)*12</f>
        <v>229624200</v>
      </c>
      <c r="M59" s="292">
        <f>$D4*M22*SUM('Cost per Cell'!$G11:$G14)*12</f>
        <v>229624200</v>
      </c>
      <c r="N59" s="292">
        <f>$D4*N22*SUM('Cost per Cell'!$G11:$G14)*12</f>
        <v>229624200</v>
      </c>
      <c r="O59" s="292">
        <f>$D4*O22*SUM('Cost per Cell'!$G11:$G14)*12</f>
        <v>229624200</v>
      </c>
      <c r="P59" s="293">
        <f>$D4*P22*SUM('Cost per Cell'!$G11:$G14)*12</f>
        <v>229624200</v>
      </c>
      <c r="Q59" s="354"/>
      <c r="R59" s="354"/>
    </row>
    <row r="60" spans="1:18" x14ac:dyDescent="0.25">
      <c r="G60" s="370" t="s">
        <v>133</v>
      </c>
      <c r="H60" s="292">
        <f>$D4*H23*SUM('Cost per Cell'!$E11:$E14)*12</f>
        <v>0</v>
      </c>
      <c r="I60" s="292">
        <f>$D4*I23*SUM('Cost per Cell'!$E11:$E14)*12</f>
        <v>0</v>
      </c>
      <c r="J60" s="292">
        <f>$D4*J23*SUM('Cost per Cell'!$E11:$E14)*12</f>
        <v>0</v>
      </c>
      <c r="K60" s="292">
        <f>$D4*K23*SUM('Cost per Cell'!$E11:$E14)*12</f>
        <v>40072500</v>
      </c>
      <c r="L60" s="292">
        <f>$D4*L23*SUM('Cost per Cell'!$E11:$E14)*12</f>
        <v>120217500</v>
      </c>
      <c r="M60" s="292">
        <f>$D4*M23*SUM('Cost per Cell'!$E11:$E14)*12</f>
        <v>240435000</v>
      </c>
      <c r="N60" s="292">
        <f>$D4*N23*SUM('Cost per Cell'!$E11:$E14)*12</f>
        <v>400725000</v>
      </c>
      <c r="O60" s="292">
        <f>$D4*O23*SUM('Cost per Cell'!$E11:$E14)*12</f>
        <v>561015000</v>
      </c>
      <c r="P60" s="293">
        <f>$D4*P23*SUM('Cost per Cell'!$E11:$E14)*12</f>
        <v>721305000</v>
      </c>
      <c r="Q60" s="354"/>
      <c r="R60" s="354"/>
    </row>
    <row r="61" spans="1:18" x14ac:dyDescent="0.25">
      <c r="G61" s="371" t="s">
        <v>255</v>
      </c>
      <c r="H61" s="292">
        <f>$D5*H24*SUM('Cost per Cell'!$O11:$O14)*12</f>
        <v>0</v>
      </c>
      <c r="I61" s="292">
        <f>$D5*I24*SUM('Cost per Cell'!$O11:$O14)*12</f>
        <v>0</v>
      </c>
      <c r="J61" s="292">
        <f>$D5*J24*SUM('Cost per Cell'!$O11:$O14)*12</f>
        <v>0</v>
      </c>
      <c r="K61" s="292">
        <f>$D5*K24*SUM('Cost per Cell'!$O11:$O14)*12</f>
        <v>0</v>
      </c>
      <c r="L61" s="292">
        <f>$D5*L24*SUM('Cost per Cell'!$O11:$O14)*12</f>
        <v>0</v>
      </c>
      <c r="M61" s="292">
        <f>$D5*M24*SUM('Cost per Cell'!$O11:$O14)*12</f>
        <v>0</v>
      </c>
      <c r="N61" s="292">
        <f>$D5*N24*SUM('Cost per Cell'!$O11:$O14)*12</f>
        <v>0</v>
      </c>
      <c r="O61" s="292">
        <f>$D5*O24*SUM('Cost per Cell'!$O11:$O14)*12</f>
        <v>0</v>
      </c>
      <c r="P61" s="293">
        <f>$D5*P24*SUM('Cost per Cell'!$O11:$O14)*12</f>
        <v>0</v>
      </c>
      <c r="Q61" s="354"/>
      <c r="R61" s="354"/>
    </row>
    <row r="62" spans="1:18" x14ac:dyDescent="0.25">
      <c r="G62" s="371" t="s">
        <v>256</v>
      </c>
      <c r="H62" s="292">
        <f>$D5*H25*SUM('Cost per Cell'!$O11:$O14)*12</f>
        <v>0</v>
      </c>
      <c r="I62" s="292">
        <f>$D5*I25*SUM('Cost per Cell'!$O11:$O14)*12</f>
        <v>0</v>
      </c>
      <c r="J62" s="292">
        <f>$D5*J25*SUM('Cost per Cell'!$O11:$O14)*12</f>
        <v>0</v>
      </c>
      <c r="K62" s="292">
        <f>$D5*K25*SUM('Cost per Cell'!$O11:$O14)*12</f>
        <v>0</v>
      </c>
      <c r="L62" s="292">
        <f>$D5*L25*SUM('Cost per Cell'!$O11:$O14)*12</f>
        <v>0</v>
      </c>
      <c r="M62" s="292">
        <f>$D5*M25*SUM('Cost per Cell'!$O11:$O14)*12</f>
        <v>0</v>
      </c>
      <c r="N62" s="292">
        <f>$D5*N25*SUM('Cost per Cell'!$O11:$O14)*12</f>
        <v>0</v>
      </c>
      <c r="O62" s="292">
        <f>$D5*O25*SUM('Cost per Cell'!$O11:$O14)*12</f>
        <v>0</v>
      </c>
      <c r="P62" s="293">
        <f>$D5*P25*SUM('Cost per Cell'!$O11:$O14)*12</f>
        <v>0</v>
      </c>
      <c r="Q62" s="354"/>
      <c r="R62" s="354"/>
    </row>
    <row r="63" spans="1:18" x14ac:dyDescent="0.25">
      <c r="G63" s="369" t="s">
        <v>129</v>
      </c>
      <c r="H63" s="292">
        <f>$D5*H27*SUM('Cost per Cell'!$I11:$I14)*12</f>
        <v>0</v>
      </c>
      <c r="I63" s="292">
        <f>$D5*I27*SUM('Cost per Cell'!$I11:$I14)*12</f>
        <v>0</v>
      </c>
      <c r="J63" s="292">
        <f>$D5*J27*SUM('Cost per Cell'!$I11:$I14)*12</f>
        <v>0</v>
      </c>
      <c r="K63" s="292">
        <f>$D5*K27*SUM('Cost per Cell'!$I11:$I14)*12</f>
        <v>0</v>
      </c>
      <c r="L63" s="292">
        <f>$D5*L27*SUM('Cost per Cell'!$I11:$I14)*12</f>
        <v>0</v>
      </c>
      <c r="M63" s="292">
        <f>$D5*M27*SUM('Cost per Cell'!$I11:$I14)*12</f>
        <v>0</v>
      </c>
      <c r="N63" s="292">
        <f>$D5*N27*SUM('Cost per Cell'!$I11:$I14)*12</f>
        <v>0</v>
      </c>
      <c r="O63" s="292">
        <f>$D5*O27*SUM('Cost per Cell'!$I11:$I14)*12</f>
        <v>0</v>
      </c>
      <c r="P63" s="293">
        <f>$D5*P27*SUM('Cost per Cell'!$I11:$I14)*12</f>
        <v>0</v>
      </c>
      <c r="Q63" s="354"/>
      <c r="R63" s="354"/>
    </row>
    <row r="64" spans="1:18" ht="15.75" thickBot="1" x14ac:dyDescent="0.3">
      <c r="G64" s="376" t="s">
        <v>12</v>
      </c>
      <c r="H64" s="302">
        <f t="shared" ref="H64:P64" si="15">SUM(H45:H63)</f>
        <v>1842546014.5896657</v>
      </c>
      <c r="I64" s="302">
        <f t="shared" si="15"/>
        <v>2672022600</v>
      </c>
      <c r="J64" s="302">
        <f t="shared" si="15"/>
        <v>1951731600</v>
      </c>
      <c r="K64" s="302">
        <f t="shared" si="15"/>
        <v>2177288100</v>
      </c>
      <c r="L64" s="302">
        <f t="shared" si="15"/>
        <v>2407817100</v>
      </c>
      <c r="M64" s="302">
        <f t="shared" si="15"/>
        <v>2491702200</v>
      </c>
      <c r="N64" s="302">
        <f t="shared" si="15"/>
        <v>2752159800.0000005</v>
      </c>
      <c r="O64" s="302">
        <f t="shared" si="15"/>
        <v>2942776200</v>
      </c>
      <c r="P64" s="303">
        <f t="shared" si="15"/>
        <v>3150942600</v>
      </c>
      <c r="Q64" s="354"/>
      <c r="R64" s="354"/>
    </row>
    <row r="65" spans="7:18" x14ac:dyDescent="0.25">
      <c r="G65" s="354"/>
      <c r="H65" s="354"/>
      <c r="I65" s="354"/>
      <c r="J65" s="354"/>
      <c r="K65" s="354"/>
      <c r="L65" s="354"/>
      <c r="M65" s="354"/>
      <c r="N65" s="354"/>
      <c r="O65" s="354"/>
      <c r="P65" s="354"/>
      <c r="Q65" s="354"/>
      <c r="R65" s="354"/>
    </row>
    <row r="66" spans="7:18" ht="15.75" thickBot="1" x14ac:dyDescent="0.3">
      <c r="G66" s="354"/>
      <c r="H66" s="354"/>
      <c r="I66" s="354"/>
      <c r="J66" s="354"/>
      <c r="K66" s="354"/>
      <c r="L66" s="354"/>
      <c r="M66" s="354"/>
      <c r="N66" s="354"/>
      <c r="O66" s="354"/>
      <c r="P66" s="354"/>
      <c r="Q66" s="354"/>
      <c r="R66" s="354"/>
    </row>
    <row r="67" spans="7:18" x14ac:dyDescent="0.25">
      <c r="G67" s="347" t="s">
        <v>100</v>
      </c>
      <c r="H67" s="348" t="s">
        <v>8</v>
      </c>
      <c r="I67" s="348" t="s">
        <v>0</v>
      </c>
      <c r="J67" s="348" t="s">
        <v>1</v>
      </c>
      <c r="K67" s="348" t="s">
        <v>2</v>
      </c>
      <c r="L67" s="348" t="s">
        <v>3</v>
      </c>
      <c r="M67" s="348" t="s">
        <v>4</v>
      </c>
      <c r="N67" s="348" t="s">
        <v>5</v>
      </c>
      <c r="O67" s="348" t="s">
        <v>6</v>
      </c>
      <c r="P67" s="349" t="s">
        <v>7</v>
      </c>
      <c r="Q67" s="354"/>
      <c r="R67" s="354"/>
    </row>
    <row r="68" spans="7:18" x14ac:dyDescent="0.25">
      <c r="G68" s="377" t="s">
        <v>16</v>
      </c>
      <c r="H68" s="378">
        <f>140/3.2</f>
        <v>43.75</v>
      </c>
      <c r="I68" s="378">
        <f>H68*1.02</f>
        <v>44.625</v>
      </c>
      <c r="J68" s="378">
        <f t="shared" ref="J68:P68" si="16">I68*1.02</f>
        <v>45.517499999999998</v>
      </c>
      <c r="K68" s="378">
        <f t="shared" si="16"/>
        <v>46.427849999999999</v>
      </c>
      <c r="L68" s="378">
        <f t="shared" si="16"/>
        <v>47.356406999999997</v>
      </c>
      <c r="M68" s="378">
        <f t="shared" si="16"/>
        <v>48.303535140000001</v>
      </c>
      <c r="N68" s="378">
        <f t="shared" si="16"/>
        <v>49.269605842800004</v>
      </c>
      <c r="O68" s="378">
        <f t="shared" si="16"/>
        <v>50.254997959656002</v>
      </c>
      <c r="P68" s="379">
        <f t="shared" si="16"/>
        <v>51.260097918849127</v>
      </c>
      <c r="Q68" s="354"/>
      <c r="R68" s="354"/>
    </row>
    <row r="69" spans="7:18" ht="15.75" thickBot="1" x14ac:dyDescent="0.3">
      <c r="G69" s="380" t="s">
        <v>104</v>
      </c>
      <c r="H69" s="381">
        <f t="shared" ref="H69:P69" si="17">H12*H68*12</f>
        <v>10503675000</v>
      </c>
      <c r="I69" s="381">
        <f t="shared" si="17"/>
        <v>10928023470</v>
      </c>
      <c r="J69" s="381">
        <f t="shared" si="17"/>
        <v>11365144408.799999</v>
      </c>
      <c r="K69" s="381">
        <f t="shared" si="17"/>
        <v>11815378975.764</v>
      </c>
      <c r="L69" s="381">
        <f t="shared" si="17"/>
        <v>12279076867.64304</v>
      </c>
      <c r="M69" s="381">
        <f t="shared" si="17"/>
        <v>12756596523.606936</v>
      </c>
      <c r="N69" s="381">
        <f t="shared" si="17"/>
        <v>13248305335.062336</v>
      </c>
      <c r="O69" s="381">
        <f t="shared" si="17"/>
        <v>13754579860.366497</v>
      </c>
      <c r="P69" s="382">
        <f t="shared" si="17"/>
        <v>14275806044.548809</v>
      </c>
      <c r="Q69" s="354"/>
      <c r="R69" s="354"/>
    </row>
    <row r="70" spans="7:18" x14ac:dyDescent="0.25">
      <c r="G70" s="354"/>
      <c r="H70" s="354"/>
      <c r="I70" s="354"/>
      <c r="J70" s="354"/>
      <c r="K70" s="354"/>
      <c r="L70" s="354"/>
      <c r="M70" s="354"/>
      <c r="N70" s="354"/>
      <c r="O70" s="354"/>
      <c r="P70" s="354"/>
      <c r="Q70" s="354"/>
      <c r="R70" s="354"/>
    </row>
    <row r="71" spans="7:18" ht="15.75" thickBot="1" x14ac:dyDescent="0.3">
      <c r="G71" s="354"/>
      <c r="H71" s="354"/>
      <c r="I71" s="354"/>
      <c r="J71" s="354"/>
      <c r="K71" s="354"/>
      <c r="L71" s="354"/>
      <c r="M71" s="354"/>
      <c r="N71" s="354"/>
      <c r="O71" s="354"/>
      <c r="P71" s="354"/>
      <c r="Q71" s="354"/>
      <c r="R71" s="354"/>
    </row>
    <row r="72" spans="7:18" x14ac:dyDescent="0.25">
      <c r="G72" s="347" t="s">
        <v>105</v>
      </c>
      <c r="H72" s="348" t="s">
        <v>8</v>
      </c>
      <c r="I72" s="348" t="s">
        <v>0</v>
      </c>
      <c r="J72" s="348" t="s">
        <v>1</v>
      </c>
      <c r="K72" s="348" t="s">
        <v>2</v>
      </c>
      <c r="L72" s="348" t="s">
        <v>3</v>
      </c>
      <c r="M72" s="348" t="s">
        <v>4</v>
      </c>
      <c r="N72" s="348" t="s">
        <v>5</v>
      </c>
      <c r="O72" s="348" t="s">
        <v>6</v>
      </c>
      <c r="P72" s="349" t="s">
        <v>7</v>
      </c>
      <c r="Q72" s="354"/>
      <c r="R72" s="354"/>
    </row>
    <row r="73" spans="7:18" x14ac:dyDescent="0.25">
      <c r="G73" s="377" t="s">
        <v>107</v>
      </c>
      <c r="H73" s="383">
        <f t="shared" ref="H73:P73" si="18">+H69</f>
        <v>10503675000</v>
      </c>
      <c r="I73" s="383">
        <f t="shared" si="18"/>
        <v>10928023470</v>
      </c>
      <c r="J73" s="383">
        <f t="shared" si="18"/>
        <v>11365144408.799999</v>
      </c>
      <c r="K73" s="383">
        <f t="shared" si="18"/>
        <v>11815378975.764</v>
      </c>
      <c r="L73" s="383">
        <f t="shared" si="18"/>
        <v>12279076867.64304</v>
      </c>
      <c r="M73" s="383">
        <f t="shared" si="18"/>
        <v>12756596523.606936</v>
      </c>
      <c r="N73" s="383">
        <f t="shared" si="18"/>
        <v>13248305335.062336</v>
      </c>
      <c r="O73" s="383">
        <f t="shared" si="18"/>
        <v>13754579860.366497</v>
      </c>
      <c r="P73" s="384">
        <f t="shared" si="18"/>
        <v>14275806044.548809</v>
      </c>
      <c r="Q73" s="354"/>
      <c r="R73" s="354"/>
    </row>
    <row r="74" spans="7:18" x14ac:dyDescent="0.25">
      <c r="G74" s="377" t="s">
        <v>288</v>
      </c>
      <c r="H74" s="383">
        <f t="shared" ref="H74:P74" si="19">H64</f>
        <v>1842546014.5896657</v>
      </c>
      <c r="I74" s="383">
        <f t="shared" si="19"/>
        <v>2672022600</v>
      </c>
      <c r="J74" s="383">
        <f t="shared" si="19"/>
        <v>1951731600</v>
      </c>
      <c r="K74" s="383">
        <f t="shared" si="19"/>
        <v>2177288100</v>
      </c>
      <c r="L74" s="383">
        <f t="shared" si="19"/>
        <v>2407817100</v>
      </c>
      <c r="M74" s="383">
        <f t="shared" si="19"/>
        <v>2491702200</v>
      </c>
      <c r="N74" s="383">
        <f t="shared" si="19"/>
        <v>2752159800.0000005</v>
      </c>
      <c r="O74" s="383">
        <f t="shared" si="19"/>
        <v>2942776200</v>
      </c>
      <c r="P74" s="384">
        <f t="shared" si="19"/>
        <v>3150942600</v>
      </c>
      <c r="Q74" s="354"/>
      <c r="R74" s="354"/>
    </row>
    <row r="75" spans="7:18" x14ac:dyDescent="0.25">
      <c r="G75" s="377" t="s">
        <v>257</v>
      </c>
      <c r="H75" s="383">
        <f>H73*0.25</f>
        <v>2625918750</v>
      </c>
      <c r="I75" s="383">
        <f t="shared" ref="I75:P75" si="20">I73*0.25</f>
        <v>2732005867.5</v>
      </c>
      <c r="J75" s="383">
        <f t="shared" si="20"/>
        <v>2841286102.1999998</v>
      </c>
      <c r="K75" s="383">
        <f t="shared" si="20"/>
        <v>2953844743.941</v>
      </c>
      <c r="L75" s="383">
        <f t="shared" si="20"/>
        <v>3069769216.9107599</v>
      </c>
      <c r="M75" s="383">
        <f t="shared" si="20"/>
        <v>3189149130.9017339</v>
      </c>
      <c r="N75" s="383">
        <f t="shared" si="20"/>
        <v>3312076333.765584</v>
      </c>
      <c r="O75" s="383">
        <f t="shared" si="20"/>
        <v>3438644965.0916243</v>
      </c>
      <c r="P75" s="384">
        <f t="shared" si="20"/>
        <v>3568951511.1372023</v>
      </c>
      <c r="Q75" s="354"/>
    </row>
    <row r="76" spans="7:18" ht="15.75" thickBot="1" x14ac:dyDescent="0.3">
      <c r="G76" s="380" t="s">
        <v>9</v>
      </c>
      <c r="H76" s="381">
        <f t="shared" ref="H76:P76" si="21">H73-H75-H74</f>
        <v>6035210235.4103346</v>
      </c>
      <c r="I76" s="381">
        <f t="shared" si="21"/>
        <v>5523995002.5</v>
      </c>
      <c r="J76" s="381">
        <f t="shared" si="21"/>
        <v>6572126706.5999994</v>
      </c>
      <c r="K76" s="381">
        <f t="shared" si="21"/>
        <v>6684246131.823</v>
      </c>
      <c r="L76" s="381">
        <f t="shared" si="21"/>
        <v>6801490550.7322807</v>
      </c>
      <c r="M76" s="381">
        <f t="shared" si="21"/>
        <v>7075745192.7052021</v>
      </c>
      <c r="N76" s="381">
        <f t="shared" si="21"/>
        <v>7184069201.2967529</v>
      </c>
      <c r="O76" s="381">
        <f t="shared" si="21"/>
        <v>7373158695.2748718</v>
      </c>
      <c r="P76" s="382">
        <f t="shared" si="21"/>
        <v>7555911933.4116058</v>
      </c>
      <c r="Q76" s="354"/>
      <c r="R76" s="354"/>
    </row>
    <row r="77" spans="7:18" ht="15.75" thickBot="1" x14ac:dyDescent="0.3">
      <c r="G77" s="354"/>
      <c r="H77" s="354"/>
      <c r="I77" s="354"/>
      <c r="J77" s="354"/>
      <c r="K77" s="354"/>
      <c r="L77" s="354"/>
      <c r="M77" s="354"/>
      <c r="N77" s="354"/>
      <c r="O77" s="354"/>
      <c r="P77" s="354"/>
      <c r="Q77" s="354"/>
      <c r="R77" s="354"/>
    </row>
    <row r="78" spans="7:18" x14ac:dyDescent="0.25">
      <c r="G78" s="385" t="s">
        <v>108</v>
      </c>
      <c r="H78" s="386">
        <f>NPV(0.1,H76:P76)</f>
        <v>38102910844.065605</v>
      </c>
      <c r="I78" s="354"/>
      <c r="J78" s="354"/>
      <c r="K78" s="354"/>
      <c r="L78" s="354"/>
      <c r="M78" s="354"/>
      <c r="N78" s="354"/>
      <c r="O78" s="354"/>
      <c r="P78" s="354"/>
      <c r="Q78" s="354"/>
    </row>
    <row r="79" spans="7:18" ht="15.75" thickBot="1" x14ac:dyDescent="0.3">
      <c r="G79" s="387" t="s">
        <v>109</v>
      </c>
      <c r="H79" s="388" t="str">
        <f>IFERROR(IRR(H76:P76,-99%), "N/A")</f>
        <v>N/A</v>
      </c>
      <c r="I79" s="354"/>
      <c r="J79" s="354"/>
      <c r="K79" s="354"/>
      <c r="L79" s="354"/>
      <c r="M79" s="354"/>
      <c r="N79" s="354"/>
      <c r="O79" s="354"/>
      <c r="P79" s="354"/>
      <c r="Q79" s="354"/>
      <c r="R79" s="354"/>
    </row>
    <row r="80" spans="7:18" x14ac:dyDescent="0.25">
      <c r="Q80" s="354"/>
      <c r="R80" s="354"/>
    </row>
  </sheetData>
  <sheetProtection algorithmName="SHA-512" hashValue="gHJisC3BnHUcFE1xqiocMs3aKTrgrYzJmjV7Lo2jwXr3LYi7c6saDoC9L1derIDmnQWqcvHMrV0vHyCr5zmcsA==" saltValue="AKyipBZ8cpTA7+Wx3ZFqKQ==" spinCount="100000" sheet="1" objects="1" scenarios="1"/>
  <protectedRanges>
    <protectedRange algorithmName="SHA-512" hashValue="tjwgMfKxvtvkkhuYG9fs88CLkYe2D0dBx2N5i++3PojAgm0K57ItNVK13jb2ZXldEcLN+Di4Hk6mXhBy+YGwAg==" saltValue="x+b+Kszxw7yeqHvy/grkVQ==" spinCount="100000" sqref="B4:D52" name="Range2"/>
    <protectedRange algorithmName="SHA-512" hashValue="Q/pSfo5zRMEBLzsx6Tj5dZWJNUsJ0EJ5CHgGXT+bz8DU9zFg78TT/7SyKp7Mg1leW7QX0WYgSuQXcpC0CEuExA==" saltValue="2YubEUCBg1pPWFEUeJVJjw==" spinCount="100000" sqref="G9:P27" name="Range1"/>
  </protectedRanges>
  <conditionalFormatting sqref="A1:XFD1048576">
    <cfRule type="expression" dxfId="7" priority="1">
      <formula>"a1&lt;0"</formula>
    </cfRule>
  </conditionalFormatting>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90"/>
  <sheetViews>
    <sheetView zoomScale="90" zoomScaleNormal="90" workbookViewId="0">
      <selection activeCell="A3" sqref="A3"/>
    </sheetView>
  </sheetViews>
  <sheetFormatPr defaultColWidth="8.85546875" defaultRowHeight="15" x14ac:dyDescent="0.25"/>
  <cols>
    <col min="1" max="1" width="8.85546875" style="49"/>
    <col min="2" max="2" width="29.5703125" style="49" customWidth="1"/>
    <col min="3" max="3" width="17" style="49" customWidth="1"/>
    <col min="4" max="4" width="16.42578125" style="49" customWidth="1"/>
    <col min="5" max="6" width="16.28515625" style="49" customWidth="1"/>
    <col min="7" max="8" width="15.7109375" style="49" customWidth="1"/>
    <col min="9" max="9" width="15.28515625" style="49" customWidth="1"/>
    <col min="10" max="10" width="14.85546875" style="49" customWidth="1"/>
    <col min="11" max="11" width="16" style="49" customWidth="1"/>
    <col min="12" max="16" width="15.7109375" style="49" bestFit="1" customWidth="1"/>
    <col min="17" max="16384" width="8.85546875" style="49"/>
  </cols>
  <sheetData>
    <row r="1" spans="1:16" x14ac:dyDescent="0.25">
      <c r="A1" s="4" t="s">
        <v>301</v>
      </c>
    </row>
    <row r="2" spans="1:16" x14ac:dyDescent="0.25">
      <c r="A2" s="49" t="s">
        <v>112</v>
      </c>
    </row>
    <row r="3" spans="1:16" x14ac:dyDescent="0.25">
      <c r="B3" s="49" t="s">
        <v>160</v>
      </c>
    </row>
    <row r="4" spans="1:16" x14ac:dyDescent="0.25">
      <c r="B4" s="157" t="s">
        <v>157</v>
      </c>
      <c r="C4" s="189">
        <v>85000</v>
      </c>
      <c r="D4" s="49" t="s">
        <v>145</v>
      </c>
    </row>
    <row r="5" spans="1:16" x14ac:dyDescent="0.25">
      <c r="B5" s="157" t="s">
        <v>144</v>
      </c>
      <c r="C5" s="189">
        <v>50000</v>
      </c>
      <c r="D5" s="49" t="s">
        <v>145</v>
      </c>
    </row>
    <row r="6" spans="1:16" x14ac:dyDescent="0.25">
      <c r="B6" s="157" t="s">
        <v>93</v>
      </c>
      <c r="C6" s="64">
        <f>'4. New TMo Dense Urban'!D6+'4. New TMo Urban'!D6+'4. New TMo Suburban'!D6+'4. New TMo Rural'!D6</f>
        <v>312455000</v>
      </c>
      <c r="D6" s="49" t="s">
        <v>250</v>
      </c>
    </row>
    <row r="7" spans="1:16" x14ac:dyDescent="0.25">
      <c r="B7" s="157" t="s">
        <v>146</v>
      </c>
      <c r="C7" s="64"/>
    </row>
    <row r="8" spans="1:16" ht="15.75" thickBot="1" x14ac:dyDescent="0.3">
      <c r="C8" s="94">
        <v>2019</v>
      </c>
      <c r="D8" s="94">
        <v>2020</v>
      </c>
      <c r="E8" s="94">
        <v>2021</v>
      </c>
      <c r="F8" s="94">
        <v>2022</v>
      </c>
      <c r="G8" s="94">
        <v>2023</v>
      </c>
      <c r="H8" s="94">
        <v>2024</v>
      </c>
      <c r="I8" s="94">
        <v>2025</v>
      </c>
      <c r="J8" s="94">
        <v>2026</v>
      </c>
      <c r="K8" s="94">
        <v>2027</v>
      </c>
      <c r="L8" s="94"/>
      <c r="M8" s="94"/>
      <c r="N8" s="94"/>
      <c r="O8" s="94"/>
      <c r="P8" s="94"/>
    </row>
    <row r="9" spans="1:16" s="4" customFormat="1" x14ac:dyDescent="0.25">
      <c r="B9" s="68" t="s">
        <v>88</v>
      </c>
      <c r="C9" s="62" t="s">
        <v>8</v>
      </c>
      <c r="D9" s="62" t="s">
        <v>0</v>
      </c>
      <c r="E9" s="62" t="s">
        <v>1</v>
      </c>
      <c r="F9" s="62" t="s">
        <v>2</v>
      </c>
      <c r="G9" s="62" t="s">
        <v>3</v>
      </c>
      <c r="H9" s="62" t="s">
        <v>4</v>
      </c>
      <c r="I9" s="62" t="s">
        <v>5</v>
      </c>
      <c r="J9" s="62" t="s">
        <v>6</v>
      </c>
      <c r="K9" s="63" t="s">
        <v>7</v>
      </c>
    </row>
    <row r="10" spans="1:16" x14ac:dyDescent="0.25">
      <c r="B10" s="1" t="s">
        <v>15</v>
      </c>
      <c r="C10" s="97">
        <v>17.070060000000002</v>
      </c>
      <c r="D10" s="97">
        <v>22.696686</v>
      </c>
      <c r="E10" s="97">
        <v>30.146231700000005</v>
      </c>
      <c r="F10" s="97">
        <v>41.293248187499998</v>
      </c>
      <c r="G10" s="97">
        <v>56.58719834699999</v>
      </c>
      <c r="H10" s="97">
        <v>74.627414490318742</v>
      </c>
      <c r="I10" s="97">
        <v>95.110413150183774</v>
      </c>
      <c r="J10" s="97">
        <v>116.46443259111741</v>
      </c>
      <c r="K10" s="98">
        <v>138.64813403704454</v>
      </c>
    </row>
    <row r="11" spans="1:16" ht="15.75" thickBot="1" x14ac:dyDescent="0.3">
      <c r="B11" s="28" t="s">
        <v>117</v>
      </c>
      <c r="C11" s="199">
        <f>'4. New TMo Dense Urban'!H13+'4. New TMo Urban'!H13+'4. New TMo Suburban'!H13+'4. New TMo Rural'!H13</f>
        <v>1516910850</v>
      </c>
      <c r="D11" s="199">
        <f>'4. New TMo Dense Urban'!I13+'4. New TMo Urban'!I13+'4. New TMo Suburban'!I13+'4. New TMo Rural'!I13</f>
        <v>2071225359.4500003</v>
      </c>
      <c r="E11" s="199">
        <f>'4. New TMo Dense Urban'!J13+'4. New TMo Urban'!J13+'4. New TMo Suburban'!J13+'4. New TMo Rural'!J13</f>
        <v>2836285784.2800002</v>
      </c>
      <c r="F11" s="199">
        <f>'4. New TMo Dense Urban'!K13+'4. New TMo Urban'!K13+'4. New TMo Suburban'!K13+'4. New TMo Rural'!K13</f>
        <v>4010198946.9749994</v>
      </c>
      <c r="G11" s="199">
        <f>'4. New TMo Dense Urban'!L13+'4. New TMo Urban'!L13+'4. New TMo Suburban'!L13+'4. New TMo Rural'!L13</f>
        <v>5663998704.0545998</v>
      </c>
      <c r="H11" s="199">
        <f>'4. New TMo Dense Urban'!M13+'4. New TMo Urban'!M13+'4. New TMo Suburban'!M13+'4. New TMo Rural'!M13</f>
        <v>7687445904.9028273</v>
      </c>
      <c r="I11" s="199">
        <f>'4. New TMo Dense Urban'!N13+'4. New TMo Urban'!N13+'4. New TMo Suburban'!N13+'4. New TMo Rural'!N13</f>
        <v>10058359432.481863</v>
      </c>
      <c r="J11" s="199">
        <f>'4. New TMo Dense Urban'!O13+'4. New TMo Urban'!O13+'4. New TMo Suburban'!O13+'4. New TMo Rural'!O13</f>
        <v>12635477705.883942</v>
      </c>
      <c r="K11" s="200">
        <f>'4. New TMo Dense Urban'!P13+'4. New TMo Urban'!P13+'4. New TMo Suburban'!P13+'4. New TMo Rural'!P13</f>
        <v>15413268438.586514</v>
      </c>
    </row>
    <row r="12" spans="1:16" x14ac:dyDescent="0.25">
      <c r="B12" s="4"/>
      <c r="C12" s="42"/>
      <c r="D12" s="42"/>
      <c r="E12" s="42"/>
      <c r="F12" s="42"/>
      <c r="G12" s="42"/>
      <c r="H12" s="42"/>
      <c r="I12" s="42"/>
      <c r="J12" s="42"/>
      <c r="K12" s="42"/>
    </row>
    <row r="13" spans="1:16" s="4" customFormat="1" x14ac:dyDescent="0.25">
      <c r="A13" s="49"/>
      <c r="B13" s="49"/>
      <c r="C13" s="49"/>
      <c r="D13" s="49"/>
      <c r="E13" s="49"/>
      <c r="F13" s="49"/>
      <c r="G13" s="49"/>
      <c r="H13" s="49"/>
      <c r="I13" s="49"/>
      <c r="J13" s="49"/>
      <c r="K13" s="49"/>
      <c r="L13" s="49"/>
    </row>
    <row r="14" spans="1:16" ht="15.75" thickBot="1" x14ac:dyDescent="0.3"/>
    <row r="15" spans="1:16" x14ac:dyDescent="0.25">
      <c r="B15" s="19" t="s">
        <v>87</v>
      </c>
      <c r="C15" s="15" t="s">
        <v>8</v>
      </c>
      <c r="D15" s="15" t="s">
        <v>0</v>
      </c>
      <c r="E15" s="15" t="s">
        <v>1</v>
      </c>
      <c r="F15" s="15" t="s">
        <v>2</v>
      </c>
      <c r="G15" s="15" t="s">
        <v>3</v>
      </c>
      <c r="H15" s="15" t="s">
        <v>4</v>
      </c>
      <c r="I15" s="15" t="s">
        <v>5</v>
      </c>
      <c r="J15" s="15" t="s">
        <v>6</v>
      </c>
      <c r="K15" s="16" t="s">
        <v>7</v>
      </c>
    </row>
    <row r="16" spans="1:16" x14ac:dyDescent="0.25">
      <c r="B16" s="82" t="s">
        <v>128</v>
      </c>
      <c r="C16" s="67">
        <f>'4. New TMo Dense Urban'!H29+'4. New TMo Urban'!H29+'4. New TMo Suburban'!H29+'4. New TMo Rural'!H29</f>
        <v>349854390</v>
      </c>
      <c r="D16" s="67">
        <f>'4. New TMo Dense Urban'!I29+'4. New TMo Urban'!I29+'4. New TMo Suburban'!I29+'4. New TMo Rural'!I29</f>
        <v>432019980</v>
      </c>
      <c r="E16" s="67">
        <f>'4. New TMo Dense Urban'!J29+'4. New TMo Urban'!J29+'4. New TMo Suburban'!J29+'4. New TMo Rural'!J29</f>
        <v>528685380</v>
      </c>
      <c r="F16" s="67">
        <f>'4. New TMo Dense Urban'!K29+'4. New TMo Urban'!K29+'4. New TMo Suburban'!K29+'4. New TMo Rural'!K29</f>
        <v>536492970.00000006</v>
      </c>
      <c r="G16" s="67">
        <f>'4. New TMo Dense Urban'!L29+'4. New TMo Urban'!L29+'4. New TMo Suburban'!L29+'4. New TMo Rural'!L29</f>
        <v>546531300</v>
      </c>
      <c r="H16" s="67">
        <f>'4. New TMo Dense Urban'!M29+'4. New TMo Urban'!M29+'4. New TMo Suburban'!M29+'4. New TMo Rural'!M29</f>
        <v>554338890</v>
      </c>
      <c r="I16" s="67">
        <f>'4. New TMo Dense Urban'!N29+'4. New TMo Urban'!N29+'4. New TMo Suburban'!N29+'4. New TMo Rural'!N29</f>
        <v>557685000</v>
      </c>
      <c r="J16" s="67">
        <f>'4. New TMo Dense Urban'!O29+'4. New TMo Urban'!O29+'4. New TMo Suburban'!O29+'4. New TMo Rural'!O29</f>
        <v>561031110</v>
      </c>
      <c r="K16" s="79">
        <f>'4. New TMo Dense Urban'!P29+'4. New TMo Urban'!P29+'4. New TMo Suburban'!P29+'4. New TMo Rural'!P29</f>
        <v>564377220</v>
      </c>
      <c r="L16" s="56"/>
    </row>
    <row r="17" spans="1:12" x14ac:dyDescent="0.25">
      <c r="B17" s="82" t="s">
        <v>121</v>
      </c>
      <c r="C17" s="67">
        <f>'4. New TMo Dense Urban'!H30+'4. New TMo Urban'!H30+'4. New TMo Suburban'!H30+'4. New TMo Rural'!H30</f>
        <v>469198980</v>
      </c>
      <c r="D17" s="67">
        <f>'4. New TMo Dense Urban'!I30+'4. New TMo Urban'!I30+'4. New TMo Suburban'!I30+'4. New TMo Rural'!I30</f>
        <v>487044900</v>
      </c>
      <c r="E17" s="67">
        <f>'4. New TMo Dense Urban'!J30+'4. New TMo Urban'!J30+'4. New TMo Suburban'!J30+'4. New TMo Rural'!J30</f>
        <v>493737120</v>
      </c>
      <c r="F17" s="67">
        <f>'4. New TMo Dense Urban'!K30+'4. New TMo Urban'!K30+'4. New TMo Suburban'!K30+'4. New TMo Rural'!K30</f>
        <v>497455020</v>
      </c>
      <c r="G17" s="67">
        <f>'4. New TMo Dense Urban'!L30+'4. New TMo Urban'!L30+'4. New TMo Suburban'!L30+'4. New TMo Rural'!L30</f>
        <v>499685760</v>
      </c>
      <c r="H17" s="67">
        <f>'4. New TMo Dense Urban'!M30+'4. New TMo Urban'!M30+'4. New TMo Suburban'!M30+'4. New TMo Rural'!M30</f>
        <v>501916500</v>
      </c>
      <c r="I17" s="67">
        <f>'4. New TMo Dense Urban'!N30+'4. New TMo Urban'!N30+'4. New TMo Suburban'!N30+'4. New TMo Rural'!N30</f>
        <v>504147240</v>
      </c>
      <c r="J17" s="67">
        <f>'4. New TMo Dense Urban'!O30+'4. New TMo Urban'!O30+'4. New TMo Suburban'!O30+'4. New TMo Rural'!O30</f>
        <v>506377980</v>
      </c>
      <c r="K17" s="79">
        <f>'4. New TMo Dense Urban'!P30+'4. New TMo Urban'!P30+'4. New TMo Suburban'!P30+'4. New TMo Rural'!P30</f>
        <v>508608720</v>
      </c>
      <c r="L17" s="56"/>
    </row>
    <row r="18" spans="1:12" x14ac:dyDescent="0.25">
      <c r="B18" s="82" t="s">
        <v>122</v>
      </c>
      <c r="C18" s="67">
        <f>'4. New TMo Dense Urban'!H31+'4. New TMo Urban'!H31+'4. New TMo Suburban'!H31+'4. New TMo Rural'!H31</f>
        <v>1711473300</v>
      </c>
      <c r="D18" s="67">
        <f>'4. New TMo Dense Urban'!I31+'4. New TMo Urban'!I31+'4. New TMo Suburban'!I31+'4. New TMo Rural'!I31</f>
        <v>1920915000</v>
      </c>
      <c r="E18" s="67">
        <f>'4. New TMo Dense Urban'!J31+'4. New TMo Urban'!J31+'4. New TMo Suburban'!J31+'4. New TMo Rural'!J31</f>
        <v>2068391700</v>
      </c>
      <c r="F18" s="67">
        <f>'4. New TMo Dense Urban'!K31+'4. New TMo Urban'!K31+'4. New TMo Suburban'!K31+'4. New TMo Rural'!K31</f>
        <v>2215868400</v>
      </c>
      <c r="G18" s="67">
        <f>'4. New TMo Dense Urban'!L31+'4. New TMo Urban'!L31+'4. New TMo Suburban'!L31+'4. New TMo Rural'!L31</f>
        <v>2332362600</v>
      </c>
      <c r="H18" s="67">
        <f>'4. New TMo Dense Urban'!M31+'4. New TMo Urban'!M31+'4. New TMo Suburban'!M31+'4. New TMo Rural'!M31</f>
        <v>2442660300</v>
      </c>
      <c r="I18" s="67">
        <f>'4. New TMo Dense Urban'!N31+'4. New TMo Urban'!N31+'4. New TMo Suburban'!N31+'4. New TMo Rural'!N31</f>
        <v>2490993000</v>
      </c>
      <c r="J18" s="67">
        <f>'4. New TMo Dense Urban'!O31+'4. New TMo Urban'!O31+'4. New TMo Suburban'!O31+'4. New TMo Rural'!O31</f>
        <v>2531889900</v>
      </c>
      <c r="K18" s="79">
        <f>'4. New TMo Dense Urban'!P31+'4. New TMo Urban'!P31+'4. New TMo Suburban'!P31+'4. New TMo Rural'!P31</f>
        <v>2543043600</v>
      </c>
    </row>
    <row r="19" spans="1:12" s="4" customFormat="1" x14ac:dyDescent="0.25">
      <c r="A19" s="49"/>
      <c r="B19" s="82" t="s">
        <v>120</v>
      </c>
      <c r="C19" s="67">
        <f>'4. New TMo Dense Urban'!H32+'4. New TMo Urban'!H32+'4. New TMo Suburban'!H32+'4. New TMo Rural'!H32</f>
        <v>433755000</v>
      </c>
      <c r="D19" s="67">
        <f>'4. New TMo Dense Urban'!I32+'4. New TMo Urban'!I32+'4. New TMo Suburban'!I32+'4. New TMo Rural'!I32</f>
        <v>477130500</v>
      </c>
      <c r="E19" s="67">
        <f>'4. New TMo Dense Urban'!J32+'4. New TMo Urban'!J32+'4. New TMo Suburban'!J32+'4. New TMo Rural'!J32</f>
        <v>0</v>
      </c>
      <c r="F19" s="67">
        <f>'4. New TMo Dense Urban'!K32+'4. New TMo Urban'!K32+'4. New TMo Suburban'!K32+'4. New TMo Rural'!K32</f>
        <v>0</v>
      </c>
      <c r="G19" s="67">
        <f>'4. New TMo Dense Urban'!L32+'4. New TMo Urban'!L32+'4. New TMo Suburban'!L32+'4. New TMo Rural'!L32</f>
        <v>0</v>
      </c>
      <c r="H19" s="67">
        <f>'4. New TMo Dense Urban'!M32+'4. New TMo Urban'!M32+'4. New TMo Suburban'!M32+'4. New TMo Rural'!M32</f>
        <v>0</v>
      </c>
      <c r="I19" s="67">
        <f>'4. New TMo Dense Urban'!N32+'4. New TMo Urban'!N32+'4. New TMo Suburban'!N32+'4. New TMo Rural'!N32</f>
        <v>0</v>
      </c>
      <c r="J19" s="67">
        <f>'4. New TMo Dense Urban'!O32+'4. New TMo Urban'!O32+'4. New TMo Suburban'!O32+'4. New TMo Rural'!O32</f>
        <v>0</v>
      </c>
      <c r="K19" s="79">
        <f>'4. New TMo Dense Urban'!P32+'4. New TMo Urban'!P32+'4. New TMo Suburban'!P32+'4. New TMo Rural'!P32</f>
        <v>0</v>
      </c>
      <c r="L19" s="49"/>
    </row>
    <row r="20" spans="1:12" x14ac:dyDescent="0.25">
      <c r="B20" s="82" t="s">
        <v>124</v>
      </c>
      <c r="C20" s="67">
        <f>'4. New TMo Dense Urban'!H33+'4. New TMo Urban'!H33+'4. New TMo Suburban'!H33+'4. New TMo Rural'!H33</f>
        <v>0</v>
      </c>
      <c r="D20" s="67">
        <f>'4. New TMo Dense Urban'!I33+'4. New TMo Urban'!I33+'4. New TMo Suburban'!I33+'4. New TMo Rural'!I33</f>
        <v>138801600</v>
      </c>
      <c r="E20" s="67">
        <f>'4. New TMo Dense Urban'!J33+'4. New TMo Urban'!J33+'4. New TMo Suburban'!J33+'4. New TMo Rural'!J33</f>
        <v>711358200</v>
      </c>
      <c r="F20" s="67">
        <f>'4. New TMo Dense Urban'!K33+'4. New TMo Urban'!K33+'4. New TMo Suburban'!K33+'4. New TMo Rural'!K33</f>
        <v>850159800</v>
      </c>
      <c r="G20" s="67">
        <f>'4. New TMo Dense Urban'!L33+'4. New TMo Urban'!L33+'4. New TMo Suburban'!L33+'4. New TMo Rural'!L33</f>
        <v>798109200</v>
      </c>
      <c r="H20" s="67">
        <f>'4. New TMo Dense Urban'!M33+'4. New TMo Urban'!M33+'4. New TMo Suburban'!M33+'4. New TMo Rural'!M33</f>
        <v>641957400</v>
      </c>
      <c r="I20" s="67">
        <f>'4. New TMo Dense Urban'!N33+'4. New TMo Urban'!N33+'4. New TMo Suburban'!N33+'4. New TMo Rural'!N33</f>
        <v>442430100</v>
      </c>
      <c r="J20" s="67">
        <f>'4. New TMo Dense Urban'!O33+'4. New TMo Urban'!O33+'4. New TMo Suburban'!O33+'4. New TMo Rural'!O33</f>
        <v>242902800</v>
      </c>
      <c r="K20" s="79">
        <f>'4. New TMo Dense Urban'!P33+'4. New TMo Urban'!P33+'4. New TMo Suburban'!P33+'4. New TMo Rural'!P33</f>
        <v>173502000</v>
      </c>
    </row>
    <row r="21" spans="1:12" x14ac:dyDescent="0.25">
      <c r="B21" s="82" t="s">
        <v>118</v>
      </c>
      <c r="C21" s="67">
        <f>'4. New TMo Dense Urban'!H34+'4. New TMo Urban'!H34+'4. New TMo Suburban'!H34+'4. New TMo Rural'!H34</f>
        <v>0</v>
      </c>
      <c r="D21" s="67">
        <f>'4. New TMo Dense Urban'!I34+'4. New TMo Urban'!I34+'4. New TMo Suburban'!I34+'4. New TMo Rural'!I34</f>
        <v>208202400</v>
      </c>
      <c r="E21" s="67">
        <f>'4. New TMo Dense Urban'!J34+'4. New TMo Urban'!J34+'4. New TMo Suburban'!J34+'4. New TMo Rural'!J34</f>
        <v>468455400</v>
      </c>
      <c r="F21" s="67">
        <f>'4. New TMo Dense Urban'!K34+'4. New TMo Urban'!K34+'4. New TMo Suburban'!K34+'4. New TMo Rural'!K34</f>
        <v>936910800</v>
      </c>
      <c r="G21" s="67">
        <f>'4. New TMo Dense Urban'!L34+'4. New TMo Urban'!L34+'4. New TMo Suburban'!L34+'4. New TMo Rural'!L34</f>
        <v>1613568600</v>
      </c>
      <c r="H21" s="67">
        <f>'4. New TMo Dense Urban'!M34+'4. New TMo Urban'!M34+'4. New TMo Suburban'!M34+'4. New TMo Rural'!M34</f>
        <v>2342277000</v>
      </c>
      <c r="I21" s="67">
        <f>'4. New TMo Dense Urban'!N34+'4. New TMo Urban'!N34+'4. New TMo Suburban'!N34+'4. New TMo Rural'!N34</f>
        <v>2810732400</v>
      </c>
      <c r="J21" s="67">
        <f>'4. New TMo Dense Urban'!O34+'4. New TMo Urban'!O34+'4. New TMo Suburban'!O34+'4. New TMo Rural'!O34</f>
        <v>3279187800</v>
      </c>
      <c r="K21" s="79">
        <f>'4. New TMo Dense Urban'!P34+'4. New TMo Urban'!P34+'4. New TMo Suburban'!P34+'4. New TMo Rural'!P34</f>
        <v>3747643200</v>
      </c>
    </row>
    <row r="22" spans="1:12" x14ac:dyDescent="0.25">
      <c r="A22" s="4"/>
      <c r="B22" s="82" t="s">
        <v>132</v>
      </c>
      <c r="C22" s="67">
        <f>'4. New TMo Dense Urban'!H35+'4. New TMo Urban'!H35+'4. New TMo Suburban'!H35+'4. New TMo Rural'!H35</f>
        <v>0</v>
      </c>
      <c r="D22" s="67">
        <f>'4. New TMo Dense Urban'!I35+'4. New TMo Urban'!I35+'4. New TMo Suburban'!I35+'4. New TMo Rural'!I35</f>
        <v>61498440.000000007</v>
      </c>
      <c r="E22" s="67">
        <f>'4. New TMo Dense Urban'!J35+'4. New TMo Urban'!J35+'4. New TMo Suburban'!J35+'4. New TMo Rural'!J35</f>
        <v>364004280.00000006</v>
      </c>
      <c r="F22" s="67">
        <f>'4. New TMo Dense Urban'!K35+'4. New TMo Urban'!K35+'4. New TMo Suburban'!K35+'4. New TMo Rural'!K35</f>
        <v>728008560.00000012</v>
      </c>
      <c r="G22" s="67">
        <f>'4. New TMo Dense Urban'!L35+'4. New TMo Urban'!L35+'4. New TMo Suburban'!L35+'4. New TMo Rural'!L35</f>
        <v>1092012840</v>
      </c>
      <c r="H22" s="67">
        <f>'4. New TMo Dense Urban'!M35+'4. New TMo Urban'!M35+'4. New TMo Suburban'!M35+'4. New TMo Rural'!M35</f>
        <v>971509140</v>
      </c>
      <c r="I22" s="67">
        <f>'4. New TMo Dense Urban'!N35+'4. New TMo Urban'!N35+'4. New TMo Suburban'!N35+'4. New TMo Rural'!N35</f>
        <v>730501740</v>
      </c>
      <c r="J22" s="67">
        <f>'4. New TMo Dense Urban'!O35+'4. New TMo Urban'!O35+'4. New TMo Suburban'!O35+'4. New TMo Rural'!O35</f>
        <v>730501740</v>
      </c>
      <c r="K22" s="79">
        <f>'4. New TMo Dense Urban'!P35+'4. New TMo Urban'!P35+'4. New TMo Suburban'!P35+'4. New TMo Rural'!P35</f>
        <v>730501740</v>
      </c>
      <c r="L22" s="4"/>
    </row>
    <row r="23" spans="1:12" x14ac:dyDescent="0.25">
      <c r="B23" s="82" t="s">
        <v>133</v>
      </c>
      <c r="C23" s="67">
        <f>'4. New TMo Dense Urban'!H36+'4. New TMo Urban'!H36+'4. New TMo Suburban'!H36+'4. New TMo Rural'!H36</f>
        <v>0</v>
      </c>
      <c r="D23" s="67">
        <f>'4. New TMo Dense Urban'!I36+'4. New TMo Urban'!I36+'4. New TMo Suburban'!I36+'4. New TMo Rural'!I36</f>
        <v>0</v>
      </c>
      <c r="E23" s="67">
        <f>'4. New TMo Dense Urban'!J36+'4. New TMo Urban'!J36+'4. New TMo Suburban'!J36+'4. New TMo Rural'!J36</f>
        <v>0</v>
      </c>
      <c r="F23" s="67">
        <f>'4. New TMo Dense Urban'!K36+'4. New TMo Urban'!K36+'4. New TMo Suburban'!K36+'4. New TMo Rural'!K36</f>
        <v>0</v>
      </c>
      <c r="G23" s="67">
        <f>'4. New TMo Dense Urban'!L36+'4. New TMo Urban'!L36+'4. New TMo Suburban'!L36+'4. New TMo Rural'!L36</f>
        <v>706401000</v>
      </c>
      <c r="H23" s="67">
        <f>'4. New TMo Dense Urban'!M36+'4. New TMo Urban'!M36+'4. New TMo Suburban'!M36+'4. New TMo Rural'!M36</f>
        <v>1907282700</v>
      </c>
      <c r="I23" s="67">
        <f>'4. New TMo Dense Urban'!N36+'4. New TMo Urban'!N36+'4. New TMo Suburban'!N36+'4. New TMo Rural'!N36</f>
        <v>3602645100</v>
      </c>
      <c r="J23" s="67">
        <f>'4. New TMo Dense Urban'!O36+'4. New TMo Urban'!O36+'4. New TMo Suburban'!O36+'4. New TMo Rural'!O36</f>
        <v>5121407250</v>
      </c>
      <c r="K23" s="79">
        <f>'4. New TMo Dense Urban'!P36+'4. New TMo Urban'!P36+'4. New TMo Suburban'!P36+'4. New TMo Rural'!P36</f>
        <v>5986748475</v>
      </c>
    </row>
    <row r="24" spans="1:12" x14ac:dyDescent="0.25">
      <c r="B24" s="82" t="s">
        <v>255</v>
      </c>
      <c r="C24" s="67">
        <f>'4. New TMo Dense Urban'!H37+'4. New TMo Urban'!H37+'4. New TMo Suburban'!H37+'4. New TMo Rural'!H37</f>
        <v>524880000</v>
      </c>
      <c r="D24" s="67">
        <f>'4. New TMo Dense Urban'!I37+'4. New TMo Urban'!I37+'4. New TMo Suburban'!I37+'4. New TMo Rural'!I37</f>
        <v>0</v>
      </c>
      <c r="E24" s="67">
        <f>'4. New TMo Dense Urban'!J37+'4. New TMo Urban'!J37+'4. New TMo Suburban'!J37+'4. New TMo Rural'!J37</f>
        <v>0</v>
      </c>
      <c r="F24" s="67">
        <f>'4. New TMo Dense Urban'!K37+'4. New TMo Urban'!K37+'4. New TMo Suburban'!K37+'4. New TMo Rural'!K37</f>
        <v>0</v>
      </c>
      <c r="G24" s="67">
        <f>'4. New TMo Dense Urban'!L37+'4. New TMo Urban'!L37+'4. New TMo Suburban'!L37+'4. New TMo Rural'!L37</f>
        <v>0</v>
      </c>
      <c r="H24" s="67">
        <f>'4. New TMo Dense Urban'!M37+'4. New TMo Urban'!M37+'4. New TMo Suburban'!M37+'4. New TMo Rural'!M37</f>
        <v>0</v>
      </c>
      <c r="I24" s="67">
        <f>'4. New TMo Dense Urban'!N37+'4. New TMo Urban'!N37+'4. New TMo Suburban'!N37+'4. New TMo Rural'!N37</f>
        <v>0</v>
      </c>
      <c r="J24" s="67">
        <f>'4. New TMo Dense Urban'!O37+'4. New TMo Urban'!O37+'4. New TMo Suburban'!O37+'4. New TMo Rural'!O37</f>
        <v>0</v>
      </c>
      <c r="K24" s="79">
        <f>'4. New TMo Dense Urban'!P37+'4. New TMo Urban'!P37+'4. New TMo Suburban'!P37+'4. New TMo Rural'!P37</f>
        <v>0</v>
      </c>
    </row>
    <row r="25" spans="1:12" x14ac:dyDescent="0.25">
      <c r="B25" s="82" t="s">
        <v>287</v>
      </c>
      <c r="C25" s="67">
        <f>'4. New TMo Dense Urban'!H38+'4. New TMo Urban'!H38+'4. New TMo Suburban'!H38+'4. New TMo Rural'!H38</f>
        <v>0</v>
      </c>
      <c r="D25" s="67">
        <f>'4. New TMo Dense Urban'!I38+'4. New TMo Urban'!I38+'4. New TMo Suburban'!I38+'4. New TMo Rural'!I38</f>
        <v>408240000</v>
      </c>
      <c r="E25" s="67">
        <f>'4. New TMo Dense Urban'!J38+'4. New TMo Urban'!J38+'4. New TMo Suburban'!J38+'4. New TMo Rural'!J38</f>
        <v>571536000</v>
      </c>
      <c r="F25" s="67">
        <f>'4. New TMo Dense Urban'!K38+'4. New TMo Urban'!K38+'4. New TMo Suburban'!K38+'4. New TMo Rural'!K38</f>
        <v>979776000</v>
      </c>
      <c r="G25" s="67">
        <f>'4. New TMo Dense Urban'!L38+'4. New TMo Urban'!L38+'4. New TMo Suburban'!L38+'4. New TMo Rural'!L38</f>
        <v>1388016000</v>
      </c>
      <c r="H25" s="67">
        <f>'4. New TMo Dense Urban'!M38+'4. New TMo Urban'!M38+'4. New TMo Suburban'!M38+'4. New TMo Rural'!M38</f>
        <v>2286144000</v>
      </c>
      <c r="I25" s="67">
        <f>'4. New TMo Dense Urban'!N38+'4. New TMo Urban'!N38+'4. New TMo Suburban'!N38+'4. New TMo Rural'!N38</f>
        <v>3184272000</v>
      </c>
      <c r="J25" s="67">
        <f>'4. New TMo Dense Urban'!O38+'4. New TMo Urban'!O38+'4. New TMo Suburban'!O38+'4. New TMo Rural'!O38</f>
        <v>3674160000</v>
      </c>
      <c r="K25" s="79">
        <f>'4. New TMo Dense Urban'!P38+'4. New TMo Urban'!P38+'4. New TMo Suburban'!P38+'4. New TMo Rural'!P38</f>
        <v>4082400000</v>
      </c>
    </row>
    <row r="26" spans="1:12" x14ac:dyDescent="0.25">
      <c r="B26" s="87" t="s">
        <v>139</v>
      </c>
      <c r="C26" s="67">
        <f>'4. New TMo Dense Urban'!H39+'4. New TMo Urban'!H39+'4. New TMo Suburban'!H39+'4. New TMo Rural'!H39</f>
        <v>3489161670</v>
      </c>
      <c r="D26" s="67">
        <f>'4. New TMo Dense Urban'!I39+'4. New TMo Urban'!I39+'4. New TMo Suburban'!I39+'4. New TMo Rural'!I39</f>
        <v>4133852820</v>
      </c>
      <c r="E26" s="67">
        <f>'4. New TMo Dense Urban'!J39+'4. New TMo Urban'!J39+'4. New TMo Suburban'!J39+'4. New TMo Rural'!J39</f>
        <v>5206168080</v>
      </c>
      <c r="F26" s="67">
        <f>'4. New TMo Dense Urban'!K39+'4. New TMo Urban'!K39+'4. New TMo Suburban'!K39+'4. New TMo Rural'!K39</f>
        <v>6744671550</v>
      </c>
      <c r="G26" s="67">
        <f>'4. New TMo Dense Urban'!L39+'4. New TMo Urban'!L39+'4. New TMo Suburban'!L39+'4. New TMo Rural'!L39</f>
        <v>8976687300</v>
      </c>
      <c r="H26" s="67">
        <f>'4. New TMo Dense Urban'!M39+'4. New TMo Urban'!M39+'4. New TMo Suburban'!M39+'4. New TMo Rural'!M39</f>
        <v>11648085930</v>
      </c>
      <c r="I26" s="67">
        <f>'4. New TMo Dense Urban'!N39+'4. New TMo Urban'!N39+'4. New TMo Suburban'!N39+'4. New TMo Rural'!N39</f>
        <v>14323406580</v>
      </c>
      <c r="J26" s="67">
        <f>'4. New TMo Dense Urban'!O39+'4. New TMo Urban'!O39+'4. New TMo Suburban'!O39+'4. New TMo Rural'!O39</f>
        <v>16647458580</v>
      </c>
      <c r="K26" s="79">
        <f>'4. New TMo Dense Urban'!P39+'4. New TMo Urban'!P39+'4. New TMo Suburban'!P39+'4. New TMo Rural'!P39</f>
        <v>18336824955</v>
      </c>
    </row>
    <row r="27" spans="1:12" s="4" customFormat="1" x14ac:dyDescent="0.25">
      <c r="B27" s="82" t="s">
        <v>119</v>
      </c>
      <c r="C27" s="67">
        <f>'4. New TMo Dense Urban'!H40+'4. New TMo Urban'!H40+'4. New TMo Suburban'!H40+'4. New TMo Rural'!H40</f>
        <v>123018750</v>
      </c>
      <c r="D27" s="67">
        <f>'4. New TMo Dense Urban'!I40+'4. New TMo Urban'!I40+'4. New TMo Suburban'!I40+'4. New TMo Rural'!I40</f>
        <v>123018750</v>
      </c>
      <c r="E27" s="67">
        <f>'4. New TMo Dense Urban'!J40+'4. New TMo Urban'!J40+'4. New TMo Suburban'!J40+'4. New TMo Rural'!J40</f>
        <v>123018750</v>
      </c>
      <c r="F27" s="67">
        <f>'4. New TMo Dense Urban'!K40+'4. New TMo Urban'!K40+'4. New TMo Suburban'!K40+'4. New TMo Rural'!K40</f>
        <v>123018750</v>
      </c>
      <c r="G27" s="67">
        <f>'4. New TMo Dense Urban'!L40+'4. New TMo Urban'!L40+'4. New TMo Suburban'!L40+'4. New TMo Rural'!L40</f>
        <v>172226250</v>
      </c>
      <c r="H27" s="67">
        <f>'4. New TMo Dense Urban'!M40+'4. New TMo Urban'!M40+'4. New TMo Suburban'!M40+'4. New TMo Rural'!M40</f>
        <v>258339375</v>
      </c>
      <c r="I27" s="67">
        <f>'4. New TMo Dense Urban'!N40+'4. New TMo Urban'!N40+'4. New TMo Suburban'!N40+'4. New TMo Rural'!N40</f>
        <v>295245000</v>
      </c>
      <c r="J27" s="67">
        <f>'4. New TMo Dense Urban'!O40+'4. New TMo Urban'!O40+'4. New TMo Suburban'!O40+'4. New TMo Rural'!O40</f>
        <v>344452500</v>
      </c>
      <c r="K27" s="79">
        <f>'4. New TMo Dense Urban'!P40+'4. New TMo Urban'!P40+'4. New TMo Suburban'!P40+'4. New TMo Rural'!P40</f>
        <v>393660000</v>
      </c>
    </row>
    <row r="28" spans="1:12" ht="15.75" thickBot="1" x14ac:dyDescent="0.3">
      <c r="B28" s="201" t="s">
        <v>125</v>
      </c>
      <c r="C28" s="202">
        <f>C26+C27</f>
        <v>3612180420</v>
      </c>
      <c r="D28" s="202">
        <f t="shared" ref="D28:K28" si="0">D26+D27</f>
        <v>4256871570</v>
      </c>
      <c r="E28" s="202">
        <f t="shared" si="0"/>
        <v>5329186830</v>
      </c>
      <c r="F28" s="202">
        <f t="shared" si="0"/>
        <v>6867690300</v>
      </c>
      <c r="G28" s="202">
        <f t="shared" si="0"/>
        <v>9148913550</v>
      </c>
      <c r="H28" s="202">
        <f t="shared" si="0"/>
        <v>11906425305</v>
      </c>
      <c r="I28" s="202">
        <f t="shared" si="0"/>
        <v>14618651580</v>
      </c>
      <c r="J28" s="202">
        <f t="shared" si="0"/>
        <v>16991911080</v>
      </c>
      <c r="K28" s="203">
        <f t="shared" si="0"/>
        <v>18730484955</v>
      </c>
    </row>
    <row r="29" spans="1:12" ht="15.75" thickBot="1" x14ac:dyDescent="0.3">
      <c r="B29" s="65"/>
      <c r="C29" s="66"/>
      <c r="D29" s="66"/>
      <c r="E29" s="66"/>
      <c r="F29" s="66"/>
      <c r="G29" s="66"/>
      <c r="H29" s="66"/>
      <c r="I29" s="66"/>
      <c r="J29" s="66"/>
      <c r="K29" s="66"/>
      <c r="L29" s="83"/>
    </row>
    <row r="30" spans="1:12" x14ac:dyDescent="0.25">
      <c r="B30" s="19" t="s">
        <v>91</v>
      </c>
      <c r="C30" s="15" t="s">
        <v>8</v>
      </c>
      <c r="D30" s="15" t="s">
        <v>0</v>
      </c>
      <c r="E30" s="15" t="s">
        <v>1</v>
      </c>
      <c r="F30" s="15" t="s">
        <v>2</v>
      </c>
      <c r="G30" s="15" t="s">
        <v>3</v>
      </c>
      <c r="H30" s="15" t="s">
        <v>4</v>
      </c>
      <c r="I30" s="15" t="s">
        <v>5</v>
      </c>
      <c r="J30" s="15" t="s">
        <v>6</v>
      </c>
      <c r="K30" s="16" t="s">
        <v>7</v>
      </c>
      <c r="L30" s="83"/>
    </row>
    <row r="31" spans="1:12" x14ac:dyDescent="0.25">
      <c r="B31" s="54" t="s">
        <v>19</v>
      </c>
      <c r="C31" s="195"/>
      <c r="D31" s="56"/>
      <c r="E31" s="56"/>
      <c r="F31" s="81"/>
      <c r="G31" s="81"/>
      <c r="H31" s="81"/>
      <c r="I31" s="81"/>
      <c r="J31" s="81"/>
      <c r="K31" s="91"/>
      <c r="L31" s="83"/>
    </row>
    <row r="32" spans="1:12" x14ac:dyDescent="0.25">
      <c r="B32" s="163" t="s">
        <v>252</v>
      </c>
      <c r="C32" s="195">
        <f>'4. New TMo Dense Urban'!H45+'4. New TMo Urban'!H45+'4. New TMo Suburban'!H45+'4. New TMo Rural'!H45</f>
        <v>2088710000</v>
      </c>
      <c r="D32" s="195">
        <f>'4. New TMo Dense Urban'!I45+'4. New TMo Urban'!I45+'4. New TMo Suburban'!I45+'4. New TMo Rural'!I45</f>
        <v>20887100000</v>
      </c>
      <c r="E32" s="195"/>
      <c r="F32" s="195"/>
      <c r="G32" s="195"/>
      <c r="H32" s="195"/>
      <c r="I32" s="195"/>
      <c r="J32" s="195"/>
      <c r="K32" s="91"/>
      <c r="L32" s="83"/>
    </row>
    <row r="33" spans="2:13" x14ac:dyDescent="0.25">
      <c r="B33" s="163" t="s">
        <v>253</v>
      </c>
      <c r="C33" s="195">
        <f>'4. New TMo Dense Urban'!H46+'4. New TMo Urban'!H46+'4. New TMo Suburban'!H46+'4. New TMo Rural'!H46</f>
        <v>526901263.37386024</v>
      </c>
      <c r="D33" s="56"/>
      <c r="E33" s="56"/>
      <c r="F33" s="81"/>
      <c r="G33" s="81"/>
      <c r="H33" s="81"/>
      <c r="I33" s="81"/>
      <c r="J33" s="81"/>
      <c r="K33" s="91"/>
      <c r="L33" s="83"/>
    </row>
    <row r="34" spans="2:13" x14ac:dyDescent="0.25">
      <c r="B34" s="171" t="s">
        <v>48</v>
      </c>
      <c r="C34" s="81"/>
      <c r="D34" s="85"/>
      <c r="E34" s="81"/>
      <c r="F34" s="81"/>
      <c r="G34" s="81"/>
      <c r="H34" s="81"/>
      <c r="I34" s="81"/>
      <c r="J34" s="81"/>
      <c r="K34" s="91"/>
      <c r="L34" s="83"/>
    </row>
    <row r="35" spans="2:13" x14ac:dyDescent="0.25">
      <c r="B35" s="190" t="s">
        <v>128</v>
      </c>
      <c r="C35" s="177">
        <f>'4. New TMo Dense Urban'!H48+'4. New TMo Urban'!H48+'4. New TMo Suburban'!H48+'4. New TMo Rural'!H48</f>
        <v>1022550000</v>
      </c>
      <c r="D35" s="177">
        <f>'4. New TMo Dense Urban'!I48+'4. New TMo Urban'!I48+'4. New TMo Suburban'!I48+'4. New TMo Rural'!I48</f>
        <v>563550000</v>
      </c>
      <c r="E35" s="177">
        <f>'4. New TMo Dense Urban'!J48+'4. New TMo Urban'!J48+'4. New TMo Suburban'!J48+'4. New TMo Rural'!J48</f>
        <v>663000000</v>
      </c>
      <c r="F35" s="177">
        <f>'4. New TMo Dense Urban'!K48+'4. New TMo Urban'!K48+'4. New TMo Suburban'!K48+'4. New TMo Rural'!K48</f>
        <v>53550000.00000003</v>
      </c>
      <c r="G35" s="177">
        <f>'4. New TMo Dense Urban'!L48+'4. New TMo Urban'!L48+'4. New TMo Suburban'!L48+'4. New TMo Rural'!L48</f>
        <v>68850000.00000003</v>
      </c>
      <c r="H35" s="177">
        <f>'4. New TMo Dense Urban'!M48+'4. New TMo Urban'!M48+'4. New TMo Suburban'!M48+'4. New TMo Rural'!M48</f>
        <v>53550000.00000003</v>
      </c>
      <c r="I35" s="177">
        <f>'4. New TMo Dense Urban'!N48+'4. New TMo Urban'!N48+'4. New TMo Suburban'!N48+'4. New TMo Rural'!N48</f>
        <v>22950000.000000022</v>
      </c>
      <c r="J35" s="177">
        <f>'4. New TMo Dense Urban'!O48+'4. New TMo Urban'!O48+'4. New TMo Suburban'!O48+'4. New TMo Rural'!O48</f>
        <v>22950000.000000022</v>
      </c>
      <c r="K35" s="192">
        <f>'4. New TMo Dense Urban'!P48+'4. New TMo Urban'!P48+'4. New TMo Suburban'!P48+'4. New TMo Rural'!P48</f>
        <v>22950000.000000022</v>
      </c>
      <c r="L35" s="83"/>
      <c r="M35" s="83"/>
    </row>
    <row r="36" spans="2:13" x14ac:dyDescent="0.25">
      <c r="B36" s="190" t="s">
        <v>121</v>
      </c>
      <c r="C36" s="177">
        <f>'4. New TMo Dense Urban'!H49+'4. New TMo Urban'!H49+'4. New TMo Suburban'!H49+'4. New TMo Rural'!H49</f>
        <v>139612500.00000003</v>
      </c>
      <c r="D36" s="177">
        <f>'4. New TMo Dense Urban'!I49+'4. New TMo Urban'!I49+'4. New TMo Suburban'!I49+'4. New TMo Rural'!I49</f>
        <v>137699999.99999988</v>
      </c>
      <c r="E36" s="177">
        <f>'4. New TMo Dense Urban'!J49+'4. New TMo Urban'!J49+'4. New TMo Suburban'!J49+'4. New TMo Rural'!J49</f>
        <v>51637500.000000045</v>
      </c>
      <c r="F36" s="177">
        <f>'4. New TMo Dense Urban'!K49+'4. New TMo Urban'!K49+'4. New TMo Suburban'!K49+'4. New TMo Rural'!K49</f>
        <v>28687500.000000022</v>
      </c>
      <c r="G36" s="177">
        <f>'4. New TMo Dense Urban'!L49+'4. New TMo Urban'!L49+'4. New TMo Suburban'!L49+'4. New TMo Rural'!L49</f>
        <v>17212500.000000015</v>
      </c>
      <c r="H36" s="177">
        <f>'4. New TMo Dense Urban'!M49+'4. New TMo Urban'!M49+'4. New TMo Suburban'!M49+'4. New TMo Rural'!M49</f>
        <v>17212500.000000015</v>
      </c>
      <c r="I36" s="177">
        <f>'4. New TMo Dense Urban'!N49+'4. New TMo Urban'!N49+'4. New TMo Suburban'!N49+'4. New TMo Rural'!N49</f>
        <v>17212500.000000015</v>
      </c>
      <c r="J36" s="177">
        <f>'4. New TMo Dense Urban'!O49+'4. New TMo Urban'!O49+'4. New TMo Suburban'!O49+'4. New TMo Rural'!O49</f>
        <v>17212500.000000015</v>
      </c>
      <c r="K36" s="192">
        <f>'4. New TMo Dense Urban'!P49+'4. New TMo Urban'!P49+'4. New TMo Suburban'!P49+'4. New TMo Rural'!P49</f>
        <v>17212500.000000015</v>
      </c>
    </row>
    <row r="37" spans="2:13" x14ac:dyDescent="0.25">
      <c r="B37" s="190" t="s">
        <v>122</v>
      </c>
      <c r="C37" s="177">
        <f>'4. New TMo Dense Urban'!H50+'4. New TMo Urban'!H50+'4. New TMo Suburban'!H50+'4. New TMo Rural'!H50</f>
        <v>269662500</v>
      </c>
      <c r="D37" s="177">
        <f>'4. New TMo Dense Urban'!I50+'4. New TMo Urban'!I50+'4. New TMo Suburban'!I50+'4. New TMo Rural'!I50</f>
        <v>323212500</v>
      </c>
      <c r="E37" s="177">
        <f>'4. New TMo Dense Urban'!J50+'4. New TMo Urban'!J50+'4. New TMo Suburban'!J50+'4. New TMo Rural'!J50</f>
        <v>227587500.00000006</v>
      </c>
      <c r="F37" s="177">
        <f>'4. New TMo Dense Urban'!K50+'4. New TMo Urban'!K50+'4. New TMo Suburban'!K50+'4. New TMo Rural'!K50</f>
        <v>227587500</v>
      </c>
      <c r="G37" s="177">
        <f>'4. New TMo Dense Urban'!L50+'4. New TMo Urban'!L50+'4. New TMo Suburban'!L50+'4. New TMo Rural'!L50</f>
        <v>179775000.00000006</v>
      </c>
      <c r="H37" s="177">
        <f>'4. New TMo Dense Urban'!M50+'4. New TMo Urban'!M50+'4. New TMo Suburban'!M50+'4. New TMo Rural'!M50</f>
        <v>170212500.00000003</v>
      </c>
      <c r="I37" s="177">
        <f>'4. New TMo Dense Urban'!N50+'4. New TMo Urban'!N50+'4. New TMo Suburban'!N50+'4. New TMo Rural'!N50</f>
        <v>74587499.99999994</v>
      </c>
      <c r="J37" s="177">
        <f>'4. New TMo Dense Urban'!O50+'4. New TMo Urban'!O50+'4. New TMo Suburban'!O50+'4. New TMo Rural'!O50</f>
        <v>63112500.000000052</v>
      </c>
      <c r="K37" s="192">
        <f>'4. New TMo Dense Urban'!P50+'4. New TMo Urban'!P50+'4. New TMo Suburban'!P50+'4. New TMo Rural'!P50</f>
        <v>17212500.000000015</v>
      </c>
      <c r="L37" s="83"/>
      <c r="M37" s="83"/>
    </row>
    <row r="38" spans="2:13" x14ac:dyDescent="0.25">
      <c r="B38" s="190" t="s">
        <v>120</v>
      </c>
      <c r="C38" s="177">
        <f>'4. New TMo Dense Urban'!H51+'4. New TMo Urban'!H51+'4. New TMo Suburban'!H51+'4. New TMo Rural'!H51</f>
        <v>0</v>
      </c>
      <c r="D38" s="177">
        <f>'4. New TMo Dense Urban'!I51+'4. New TMo Urban'!I51+'4. New TMo Suburban'!I51+'4. New TMo Rural'!I51</f>
        <v>47812499.999999993</v>
      </c>
      <c r="E38" s="177">
        <f>'4. New TMo Dense Urban'!J51+'4. New TMo Urban'!J51+'4. New TMo Suburban'!J51+'4. New TMo Rural'!J51</f>
        <v>0</v>
      </c>
      <c r="F38" s="177">
        <f>'4. New TMo Dense Urban'!K51+'4. New TMo Urban'!K51+'4. New TMo Suburban'!K51+'4. New TMo Rural'!K51</f>
        <v>0</v>
      </c>
      <c r="G38" s="177">
        <f>'4. New TMo Dense Urban'!L51+'4. New TMo Urban'!L51+'4. New TMo Suburban'!L51+'4. New TMo Rural'!L51</f>
        <v>0</v>
      </c>
      <c r="H38" s="177">
        <f>'4. New TMo Dense Urban'!M51+'4. New TMo Urban'!M51+'4. New TMo Suburban'!M51+'4. New TMo Rural'!M51</f>
        <v>0</v>
      </c>
      <c r="I38" s="177">
        <f>'4. New TMo Dense Urban'!N51+'4. New TMo Urban'!N51+'4. New TMo Suburban'!N51+'4. New TMo Rural'!N51</f>
        <v>0</v>
      </c>
      <c r="J38" s="177">
        <f>'4. New TMo Dense Urban'!O51+'4. New TMo Urban'!O51+'4. New TMo Suburban'!O51+'4. New TMo Rural'!O51</f>
        <v>0</v>
      </c>
      <c r="K38" s="192">
        <f>'4. New TMo Dense Urban'!P51+'4. New TMo Urban'!P51+'4. New TMo Suburban'!P51+'4. New TMo Rural'!P51</f>
        <v>0</v>
      </c>
      <c r="L38" s="83"/>
      <c r="M38" s="83"/>
    </row>
    <row r="39" spans="2:13" x14ac:dyDescent="0.25">
      <c r="B39" s="190" t="s">
        <v>124</v>
      </c>
      <c r="C39" s="177">
        <f>'4. New TMo Dense Urban'!H52+'4. New TMo Urban'!H52+'4. New TMo Suburban'!H52+'4. New TMo Rural'!H52</f>
        <v>0</v>
      </c>
      <c r="D39" s="177">
        <f>'4. New TMo Dense Urban'!I52+'4. New TMo Urban'!I52+'4. New TMo Suburban'!I52+'4. New TMo Rural'!I52</f>
        <v>153000000</v>
      </c>
      <c r="E39" s="177">
        <f>'4. New TMo Dense Urban'!J52+'4. New TMo Urban'!J52+'4. New TMo Suburban'!J52+'4. New TMo Rural'!J52</f>
        <v>631125000</v>
      </c>
      <c r="F39" s="177">
        <f>'4. New TMo Dense Urban'!K52+'4. New TMo Urban'!K52+'4. New TMo Suburban'!K52+'4. New TMo Rural'!K52</f>
        <v>191250000</v>
      </c>
      <c r="G39" s="177">
        <f>'4. New TMo Dense Urban'!L52+'4. New TMo Urban'!L52+'4. New TMo Suburban'!L52+'4. New TMo Rural'!L52</f>
        <v>95625000.000000045</v>
      </c>
      <c r="H39" s="177">
        <f>'4. New TMo Dense Urban'!M52+'4. New TMo Urban'!M52+'4. New TMo Suburban'!M52+'4. New TMo Rural'!M52</f>
        <v>0</v>
      </c>
      <c r="I39" s="177">
        <f>'4. New TMo Dense Urban'!N52+'4. New TMo Urban'!N52+'4. New TMo Suburban'!N52+'4. New TMo Rural'!N52</f>
        <v>0</v>
      </c>
      <c r="J39" s="177">
        <f>'4. New TMo Dense Urban'!O52+'4. New TMo Urban'!O52+'4. New TMo Suburban'!O52+'4. New TMo Rural'!O52</f>
        <v>0</v>
      </c>
      <c r="K39" s="192">
        <f>'4. New TMo Dense Urban'!P52+'4. New TMo Urban'!P52+'4. New TMo Suburban'!P52+'4. New TMo Rural'!P52</f>
        <v>0</v>
      </c>
    </row>
    <row r="40" spans="2:13" x14ac:dyDescent="0.25">
      <c r="B40" s="190" t="s">
        <v>118</v>
      </c>
      <c r="C40" s="177">
        <f>'4. New TMo Dense Urban'!H53+'4. New TMo Urban'!H53+'4. New TMo Suburban'!H53+'4. New TMo Rural'!H53</f>
        <v>0</v>
      </c>
      <c r="D40" s="177">
        <f>'4. New TMo Dense Urban'!I53+'4. New TMo Urban'!I53+'4. New TMo Suburban'!I53+'4. New TMo Rural'!I53</f>
        <v>136000000</v>
      </c>
      <c r="E40" s="177">
        <f>'4. New TMo Dense Urban'!J53+'4. New TMo Urban'!J53+'4. New TMo Suburban'!J53+'4. New TMo Rural'!J53</f>
        <v>170000000</v>
      </c>
      <c r="F40" s="177">
        <f>'4. New TMo Dense Urban'!K53+'4. New TMo Urban'!K53+'4. New TMo Suburban'!K53+'4. New TMo Rural'!K53</f>
        <v>306000000</v>
      </c>
      <c r="G40" s="177">
        <f>'4. New TMo Dense Urban'!L53+'4. New TMo Urban'!L53+'4. New TMo Suburban'!L53+'4. New TMo Rural'!L53</f>
        <v>442000000</v>
      </c>
      <c r="H40" s="177">
        <f>'4. New TMo Dense Urban'!M53+'4. New TMo Urban'!M53+'4. New TMo Suburban'!M53+'4. New TMo Rural'!M53</f>
        <v>476000000</v>
      </c>
      <c r="I40" s="177">
        <f>'4. New TMo Dense Urban'!N53+'4. New TMo Urban'!N53+'4. New TMo Suburban'!N53+'4. New TMo Rural'!N53</f>
        <v>305999999.99999994</v>
      </c>
      <c r="J40" s="177">
        <f>'4. New TMo Dense Urban'!O53+'4. New TMo Urban'!O53+'4. New TMo Suburban'!O53+'4. New TMo Rural'!O53</f>
        <v>305999999.99999994</v>
      </c>
      <c r="K40" s="192">
        <f>'4. New TMo Dense Urban'!P53+'4. New TMo Urban'!P53+'4. New TMo Suburban'!P53+'4. New TMo Rural'!P53</f>
        <v>306000000.00000024</v>
      </c>
    </row>
    <row r="41" spans="2:13" ht="15" customHeight="1" x14ac:dyDescent="0.25">
      <c r="B41" s="190" t="s">
        <v>132</v>
      </c>
      <c r="C41" s="177">
        <f>'4. New TMo Dense Urban'!H54+'4. New TMo Urban'!H54+'4. New TMo Suburban'!H54+'4. New TMo Rural'!H54</f>
        <v>0</v>
      </c>
      <c r="D41" s="177">
        <f>'4. New TMo Dense Urban'!I54+'4. New TMo Urban'!I54+'4. New TMo Suburban'!I54+'4. New TMo Rural'!I54</f>
        <v>59500000</v>
      </c>
      <c r="E41" s="177">
        <f>'4. New TMo Dense Urban'!J54+'4. New TMo Urban'!J54+'4. New TMo Suburban'!J54+'4. New TMo Rural'!J54</f>
        <v>357000000</v>
      </c>
      <c r="F41" s="177">
        <f>'4. New TMo Dense Urban'!K54+'4. New TMo Urban'!K54+'4. New TMo Suburban'!K54+'4. New TMo Rural'!K54</f>
        <v>416500000</v>
      </c>
      <c r="G41" s="177">
        <f>'4. New TMo Dense Urban'!L54+'4. New TMo Urban'!L54+'4. New TMo Suburban'!L54+'4. New TMo Rural'!L54</f>
        <v>416499999.99999988</v>
      </c>
      <c r="H41" s="177">
        <f>'4. New TMo Dense Urban'!M54+'4. New TMo Urban'!M54+'4. New TMo Suburban'!M54+'4. New TMo Rural'!M54</f>
        <v>0</v>
      </c>
      <c r="I41" s="177">
        <f>'4. New TMo Dense Urban'!N54+'4. New TMo Urban'!N54+'4. New TMo Suburban'!N54+'4. New TMo Rural'!N54</f>
        <v>0</v>
      </c>
      <c r="J41" s="177">
        <f>'4. New TMo Dense Urban'!O54+'4. New TMo Urban'!O54+'4. New TMo Suburban'!O54+'4. New TMo Rural'!O54</f>
        <v>0</v>
      </c>
      <c r="K41" s="192">
        <f>'4. New TMo Dense Urban'!P54+'4. New TMo Urban'!P54+'4. New TMo Suburban'!P54+'4. New TMo Rural'!P54</f>
        <v>0</v>
      </c>
    </row>
    <row r="42" spans="2:13" x14ac:dyDescent="0.25">
      <c r="B42" s="190" t="s">
        <v>133</v>
      </c>
      <c r="C42" s="177">
        <f>'4. New TMo Dense Urban'!H55+'4. New TMo Urban'!H55+'4. New TMo Suburban'!H55+'4. New TMo Rural'!H55</f>
        <v>0</v>
      </c>
      <c r="D42" s="177">
        <f>'4. New TMo Dense Urban'!I55+'4. New TMo Urban'!I55+'4. New TMo Suburban'!I55+'4. New TMo Rural'!I55</f>
        <v>0</v>
      </c>
      <c r="E42" s="177">
        <f>'4. New TMo Dense Urban'!J55+'4. New TMo Urban'!J55+'4. New TMo Suburban'!J55+'4. New TMo Rural'!J55</f>
        <v>0</v>
      </c>
      <c r="F42" s="177">
        <f>'4. New TMo Dense Urban'!K55+'4. New TMo Urban'!K55+'4. New TMo Suburban'!K55+'4. New TMo Rural'!K55</f>
        <v>0</v>
      </c>
      <c r="G42" s="177">
        <f>'4. New TMo Dense Urban'!L55+'4. New TMo Urban'!L55+'4. New TMo Suburban'!L55+'4. New TMo Rural'!L55</f>
        <v>595000000</v>
      </c>
      <c r="H42" s="177">
        <f>'4. New TMo Dense Urban'!M55+'4. New TMo Urban'!M55+'4. New TMo Suburban'!M55+'4. New TMo Rural'!M55</f>
        <v>1011500000</v>
      </c>
      <c r="I42" s="177">
        <f>'4. New TMo Dense Urban'!N55+'4. New TMo Urban'!N55+'4. New TMo Suburban'!N55+'4. New TMo Rural'!N55</f>
        <v>1428000000</v>
      </c>
      <c r="J42" s="177">
        <f>'4. New TMo Dense Urban'!O55+'4. New TMo Urban'!O55+'4. New TMo Suburban'!O55+'4. New TMo Rural'!O55</f>
        <v>1279250000.0000002</v>
      </c>
      <c r="K42" s="192">
        <f>'4. New TMo Dense Urban'!P55+'4. New TMo Urban'!P55+'4. New TMo Suburban'!P55+'4. New TMo Rural'!P55</f>
        <v>728874999.99999988</v>
      </c>
    </row>
    <row r="43" spans="2:13" x14ac:dyDescent="0.25">
      <c r="B43" s="163" t="s">
        <v>255</v>
      </c>
      <c r="C43" s="177">
        <f>'4. New TMo Dense Urban'!H56+'4. New TMo Urban'!H56+'4. New TMo Suburban'!H56+'4. New TMo Rural'!H56</f>
        <v>87849999.999999985</v>
      </c>
      <c r="D43" s="177">
        <f>'4. New TMo Dense Urban'!I56+'4. New TMo Urban'!I56+'4. New TMo Suburban'!I56+'4. New TMo Rural'!I56</f>
        <v>0</v>
      </c>
      <c r="E43" s="177">
        <f>'4. New TMo Dense Urban'!J56+'4. New TMo Urban'!J56+'4. New TMo Suburban'!J56+'4. New TMo Rural'!J56</f>
        <v>0</v>
      </c>
      <c r="F43" s="177">
        <f>'4. New TMo Dense Urban'!K56+'4. New TMo Urban'!K56+'4. New TMo Suburban'!K56+'4. New TMo Rural'!K56</f>
        <v>0</v>
      </c>
      <c r="G43" s="177">
        <f>'4. New TMo Dense Urban'!L56+'4. New TMo Urban'!L56+'4. New TMo Suburban'!L56+'4. New TMo Rural'!L56</f>
        <v>0</v>
      </c>
      <c r="H43" s="177">
        <f>'4. New TMo Dense Urban'!M56+'4. New TMo Urban'!M56+'4. New TMo Suburban'!M56+'4. New TMo Rural'!M56</f>
        <v>0</v>
      </c>
      <c r="I43" s="177">
        <f>'4. New TMo Dense Urban'!N56+'4. New TMo Urban'!N56+'4. New TMo Suburban'!N56+'4. New TMo Rural'!N56</f>
        <v>0</v>
      </c>
      <c r="J43" s="177">
        <f>'4. New TMo Dense Urban'!O56+'4. New TMo Urban'!O56+'4. New TMo Suburban'!O56+'4. New TMo Rural'!O56</f>
        <v>0</v>
      </c>
      <c r="K43" s="192">
        <f>'4. New TMo Dense Urban'!P56+'4. New TMo Urban'!P56+'4. New TMo Suburban'!P56+'4. New TMo Rural'!P56</f>
        <v>0</v>
      </c>
    </row>
    <row r="44" spans="2:13" x14ac:dyDescent="0.25">
      <c r="B44" s="163" t="s">
        <v>256</v>
      </c>
      <c r="C44" s="177">
        <f>'4. New TMo Dense Urban'!H57+'4. New TMo Urban'!H57+'4. New TMo Suburban'!H57+'4. New TMo Rural'!H57</f>
        <v>0</v>
      </c>
      <c r="D44" s="177">
        <f>'4. New TMo Dense Urban'!I57+'4. New TMo Urban'!I57+'4. New TMo Suburban'!I57+'4. New TMo Rural'!I57</f>
        <v>35000000</v>
      </c>
      <c r="E44" s="177">
        <f>'4. New TMo Dense Urban'!J57+'4. New TMo Urban'!J57+'4. New TMo Suburban'!J57+'4. New TMo Rural'!J57</f>
        <v>14000000</v>
      </c>
      <c r="F44" s="177">
        <f>'4. New TMo Dense Urban'!K57+'4. New TMo Urban'!K57+'4. New TMo Suburban'!K57+'4. New TMo Rural'!K57</f>
        <v>35000000</v>
      </c>
      <c r="G44" s="177">
        <f>'4. New TMo Dense Urban'!L57+'4. New TMo Urban'!L57+'4. New TMo Suburban'!L57+'4. New TMo Rural'!L57</f>
        <v>35000000</v>
      </c>
      <c r="H44" s="177">
        <f>'4. New TMo Dense Urban'!M57+'4. New TMo Urban'!M57+'4. New TMo Suburban'!M57+'4. New TMo Rural'!M57</f>
        <v>77000000</v>
      </c>
      <c r="I44" s="177">
        <f>'4. New TMo Dense Urban'!N57+'4. New TMo Urban'!N57+'4. New TMo Suburban'!N57+'4. New TMo Rural'!N57</f>
        <v>77000000</v>
      </c>
      <c r="J44" s="177">
        <f>'4. New TMo Dense Urban'!O57+'4. New TMo Urban'!O57+'4. New TMo Suburban'!O57+'4. New TMo Rural'!O57</f>
        <v>42000000</v>
      </c>
      <c r="K44" s="192">
        <f>'4. New TMo Dense Urban'!P57+'4. New TMo Urban'!P57+'4. New TMo Suburban'!P57+'4. New TMo Rural'!P57</f>
        <v>35000000</v>
      </c>
      <c r="L44" s="83"/>
      <c r="M44" s="83"/>
    </row>
    <row r="45" spans="2:13" x14ac:dyDescent="0.25">
      <c r="B45" s="176" t="s">
        <v>129</v>
      </c>
      <c r="C45" s="177">
        <f>'4. New TMo Dense Urban'!H58+'4. New TMo Urban'!H58+'4. New TMo Suburban'!H58+'4. New TMo Rural'!H58</f>
        <v>55000000</v>
      </c>
      <c r="D45" s="177">
        <f>'4. New TMo Dense Urban'!I58+'4. New TMo Urban'!I58+'4. New TMo Suburban'!I58+'4. New TMo Rural'!I58</f>
        <v>0</v>
      </c>
      <c r="E45" s="177">
        <f>'4. New TMo Dense Urban'!J58+'4. New TMo Urban'!J58+'4. New TMo Suburban'!J58+'4. New TMo Rural'!J58</f>
        <v>0</v>
      </c>
      <c r="F45" s="177">
        <f>'4. New TMo Dense Urban'!K58+'4. New TMo Urban'!K58+'4. New TMo Suburban'!K58+'4. New TMo Rural'!K58</f>
        <v>0</v>
      </c>
      <c r="G45" s="177">
        <f>'4. New TMo Dense Urban'!L58+'4. New TMo Urban'!L58+'4. New TMo Suburban'!L58+'4. New TMo Rural'!L58</f>
        <v>22000000</v>
      </c>
      <c r="H45" s="177">
        <f>'4. New TMo Dense Urban'!M58+'4. New TMo Urban'!M58+'4. New TMo Suburban'!M58+'4. New TMo Rural'!M58</f>
        <v>38500000</v>
      </c>
      <c r="I45" s="177">
        <f>'4. New TMo Dense Urban'!N58+'4. New TMo Urban'!N58+'4. New TMo Suburban'!N58+'4. New TMo Rural'!N58</f>
        <v>16499999.999999996</v>
      </c>
      <c r="J45" s="177">
        <f>'4. New TMo Dense Urban'!O58+'4. New TMo Urban'!O58+'4. New TMo Suburban'!O58+'4. New TMo Rural'!O58</f>
        <v>22000000.000000004</v>
      </c>
      <c r="K45" s="192">
        <f>'4. New TMo Dense Urban'!P58+'4. New TMo Urban'!P58+'4. New TMo Suburban'!P58+'4. New TMo Rural'!P58</f>
        <v>22000000.000000004</v>
      </c>
      <c r="L45" s="83"/>
      <c r="M45" s="83"/>
    </row>
    <row r="46" spans="2:13" x14ac:dyDescent="0.25">
      <c r="B46" s="171" t="s">
        <v>47</v>
      </c>
      <c r="C46" s="177"/>
      <c r="D46" s="177"/>
      <c r="E46" s="177"/>
      <c r="F46" s="177"/>
      <c r="G46" s="177"/>
      <c r="H46" s="177"/>
      <c r="I46" s="177"/>
      <c r="J46" s="177"/>
      <c r="K46" s="192"/>
      <c r="L46" s="83"/>
      <c r="M46" s="83"/>
    </row>
    <row r="47" spans="2:13" x14ac:dyDescent="0.25">
      <c r="B47" s="190" t="s">
        <v>128</v>
      </c>
      <c r="C47" s="177">
        <f>'4. New TMo Dense Urban'!H60+'4. New TMo Urban'!H60+'4. New TMo Suburban'!H60+'4. New TMo Rural'!H60</f>
        <v>1636493100</v>
      </c>
      <c r="D47" s="177">
        <f>'4. New TMo Dense Urban'!I60+'4. New TMo Urban'!I60+'4. New TMo Suburban'!I60+'4. New TMo Rural'!I60</f>
        <v>2020834200</v>
      </c>
      <c r="E47" s="177">
        <f>'4. New TMo Dense Urban'!J60+'4. New TMo Urban'!J60+'4. New TMo Suburban'!J60+'4. New TMo Rural'!J60</f>
        <v>2473000200</v>
      </c>
      <c r="F47" s="177">
        <f>'4. New TMo Dense Urban'!K60+'4. New TMo Urban'!K60+'4. New TMo Suburban'!K60+'4. New TMo Rural'!K60</f>
        <v>2509521300</v>
      </c>
      <c r="G47" s="177">
        <f>'4. New TMo Dense Urban'!L60+'4. New TMo Urban'!L60+'4. New TMo Suburban'!L60+'4. New TMo Rural'!L60</f>
        <v>2556477000</v>
      </c>
      <c r="H47" s="177">
        <f>'4. New TMo Dense Urban'!M60+'4. New TMo Urban'!M60+'4. New TMo Suburban'!M60+'4. New TMo Rural'!M60</f>
        <v>2592998100</v>
      </c>
      <c r="I47" s="177">
        <f>'4. New TMo Dense Urban'!N60+'4. New TMo Urban'!N60+'4. New TMo Suburban'!N60+'4. New TMo Rural'!N60</f>
        <v>2608650000</v>
      </c>
      <c r="J47" s="177">
        <f>'4. New TMo Dense Urban'!O60+'4. New TMo Urban'!O60+'4. New TMo Suburban'!O60+'4. New TMo Rural'!O60</f>
        <v>2624301900</v>
      </c>
      <c r="K47" s="192">
        <f>'4. New TMo Dense Urban'!P60+'4. New TMo Urban'!P60+'4. New TMo Suburban'!P60+'4. New TMo Rural'!P60</f>
        <v>2639953800</v>
      </c>
      <c r="L47" s="177"/>
      <c r="M47" s="177"/>
    </row>
    <row r="48" spans="2:13" x14ac:dyDescent="0.25">
      <c r="B48" s="190" t="s">
        <v>121</v>
      </c>
      <c r="C48" s="177">
        <f>'4. New TMo Dense Urban'!H61+'4. New TMo Urban'!H61+'4. New TMo Suburban'!H61+'4. New TMo Rural'!H61</f>
        <v>3292116300</v>
      </c>
      <c r="D48" s="177">
        <f>'4. New TMo Dense Urban'!I61+'4. New TMo Urban'!I61+'4. New TMo Suburban'!I61+'4. New TMo Rural'!I61</f>
        <v>3417331500</v>
      </c>
      <c r="E48" s="177">
        <f>'4. New TMo Dense Urban'!J61+'4. New TMo Urban'!J61+'4. New TMo Suburban'!J61+'4. New TMo Rural'!J61</f>
        <v>3464287200</v>
      </c>
      <c r="F48" s="177">
        <f>'4. New TMo Dense Urban'!K61+'4. New TMo Urban'!K61+'4. New TMo Suburban'!K61+'4. New TMo Rural'!K61</f>
        <v>3490373700</v>
      </c>
      <c r="G48" s="177">
        <f>'4. New TMo Dense Urban'!L61+'4. New TMo Urban'!L61+'4. New TMo Suburban'!L61+'4. New TMo Rural'!L61</f>
        <v>3506025600</v>
      </c>
      <c r="H48" s="177">
        <f>'4. New TMo Dense Urban'!M61+'4. New TMo Urban'!M61+'4. New TMo Suburban'!M61+'4. New TMo Rural'!M61</f>
        <v>3521677500</v>
      </c>
      <c r="I48" s="177">
        <f>'4. New TMo Dense Urban'!N61+'4. New TMo Urban'!N61+'4. New TMo Suburban'!N61+'4. New TMo Rural'!N61</f>
        <v>3537329400</v>
      </c>
      <c r="J48" s="177">
        <f>'4. New TMo Dense Urban'!O61+'4. New TMo Urban'!O61+'4. New TMo Suburban'!O61+'4. New TMo Rural'!O61</f>
        <v>3552981300</v>
      </c>
      <c r="K48" s="192">
        <f>'4. New TMo Dense Urban'!P61+'4. New TMo Urban'!P61+'4. New TMo Suburban'!P61+'4. New TMo Rural'!P61</f>
        <v>3568633200</v>
      </c>
      <c r="L48" s="83"/>
      <c r="M48" s="83"/>
    </row>
    <row r="49" spans="2:13" x14ac:dyDescent="0.25">
      <c r="B49" s="190" t="s">
        <v>122</v>
      </c>
      <c r="C49" s="177">
        <f>'4. New TMo Dense Urban'!H62+'4. New TMo Urban'!H62+'4. New TMo Suburban'!H62+'4. New TMo Rural'!H62</f>
        <v>2401697100</v>
      </c>
      <c r="D49" s="177">
        <f>'4. New TMo Dense Urban'!I62+'4. New TMo Urban'!I62+'4. New TMo Suburban'!I62+'4. New TMo Rural'!I62</f>
        <v>2695605000</v>
      </c>
      <c r="E49" s="177">
        <f>'4. New TMo Dense Urban'!J62+'4. New TMo Urban'!J62+'4. New TMo Suburban'!J62+'4. New TMo Rural'!J62</f>
        <v>2902557900</v>
      </c>
      <c r="F49" s="177">
        <f>'4. New TMo Dense Urban'!K62+'4. New TMo Urban'!K62+'4. New TMo Suburban'!K62+'4. New TMo Rural'!K62</f>
        <v>3109510800</v>
      </c>
      <c r="G49" s="177">
        <f>'4. New TMo Dense Urban'!L62+'4. New TMo Urban'!L62+'4. New TMo Suburban'!L62+'4. New TMo Rural'!L62</f>
        <v>3272986200</v>
      </c>
      <c r="H49" s="177">
        <f>'4. New TMo Dense Urban'!M62+'4. New TMo Urban'!M62+'4. New TMo Suburban'!M62+'4. New TMo Rural'!M62</f>
        <v>3427766100</v>
      </c>
      <c r="I49" s="177">
        <f>'4. New TMo Dense Urban'!N62+'4. New TMo Urban'!N62+'4. New TMo Suburban'!N62+'4. New TMo Rural'!N62</f>
        <v>3495591000</v>
      </c>
      <c r="J49" s="177">
        <f>'4. New TMo Dense Urban'!O62+'4. New TMo Urban'!O62+'4. New TMo Suburban'!O62+'4. New TMo Rural'!O62</f>
        <v>3552981300</v>
      </c>
      <c r="K49" s="192">
        <f>'4. New TMo Dense Urban'!P62+'4. New TMo Urban'!P62+'4. New TMo Suburban'!P62+'4. New TMo Rural'!P62</f>
        <v>3568633200</v>
      </c>
    </row>
    <row r="50" spans="2:13" x14ac:dyDescent="0.25">
      <c r="B50" s="190" t="s">
        <v>120</v>
      </c>
      <c r="C50" s="177">
        <f>'4. New TMo Dense Urban'!H63+'4. New TMo Urban'!H63+'4. New TMo Suburban'!H63+'4. New TMo Rural'!H63</f>
        <v>434775000</v>
      </c>
      <c r="D50" s="177">
        <f>'4. New TMo Dense Urban'!I63+'4. New TMo Urban'!I63+'4. New TMo Suburban'!I63+'4. New TMo Rural'!I63</f>
        <v>478252500</v>
      </c>
      <c r="E50" s="177">
        <f>'4. New TMo Dense Urban'!J63+'4. New TMo Urban'!J63+'4. New TMo Suburban'!J63+'4. New TMo Rural'!J63</f>
        <v>0</v>
      </c>
      <c r="F50" s="177">
        <f>'4. New TMo Dense Urban'!K63+'4. New TMo Urban'!K63+'4. New TMo Suburban'!K63+'4. New TMo Rural'!K63</f>
        <v>0</v>
      </c>
      <c r="G50" s="177">
        <f>'4. New TMo Dense Urban'!L63+'4. New TMo Urban'!L63+'4. New TMo Suburban'!L63+'4. New TMo Rural'!L63</f>
        <v>0</v>
      </c>
      <c r="H50" s="177">
        <f>'4. New TMo Dense Urban'!M63+'4. New TMo Urban'!M63+'4. New TMo Suburban'!M63+'4. New TMo Rural'!M63</f>
        <v>0</v>
      </c>
      <c r="I50" s="177">
        <f>'4. New TMo Dense Urban'!N63+'4. New TMo Urban'!N63+'4. New TMo Suburban'!N63+'4. New TMo Rural'!N63</f>
        <v>0</v>
      </c>
      <c r="J50" s="177">
        <f>'4. New TMo Dense Urban'!O63+'4. New TMo Urban'!O63+'4. New TMo Suburban'!O63+'4. New TMo Rural'!O63</f>
        <v>0</v>
      </c>
      <c r="K50" s="192">
        <f>'4. New TMo Dense Urban'!P63+'4. New TMo Urban'!P63+'4. New TMo Suburban'!P63+'4. New TMo Rural'!P63</f>
        <v>0</v>
      </c>
      <c r="L50" s="83"/>
      <c r="M50" s="83"/>
    </row>
    <row r="51" spans="2:13" x14ac:dyDescent="0.25">
      <c r="B51" s="190" t="s">
        <v>124</v>
      </c>
      <c r="C51" s="177">
        <f>'4. New TMo Dense Urban'!H64+'4. New TMo Urban'!H64+'4. New TMo Suburban'!H64+'4. New TMo Rural'!H64</f>
        <v>0</v>
      </c>
      <c r="D51" s="177">
        <f>'4. New TMo Dense Urban'!I64+'4. New TMo Urban'!I64+'4. New TMo Suburban'!I64+'4. New TMo Rural'!I64</f>
        <v>139128000</v>
      </c>
      <c r="E51" s="177">
        <f>'4. New TMo Dense Urban'!J64+'4. New TMo Urban'!J64+'4. New TMo Suburban'!J64+'4. New TMo Rural'!J64</f>
        <v>713031000</v>
      </c>
      <c r="F51" s="177">
        <f>'4. New TMo Dense Urban'!K64+'4. New TMo Urban'!K64+'4. New TMo Suburban'!K64+'4. New TMo Rural'!K64</f>
        <v>852159000</v>
      </c>
      <c r="G51" s="177">
        <f>'4. New TMo Dense Urban'!L64+'4. New TMo Urban'!L64+'4. New TMo Suburban'!L64+'4. New TMo Rural'!L64</f>
        <v>799986000</v>
      </c>
      <c r="H51" s="177">
        <f>'4. New TMo Dense Urban'!M64+'4. New TMo Urban'!M64+'4. New TMo Suburban'!M64+'4. New TMo Rural'!M64</f>
        <v>643467000</v>
      </c>
      <c r="I51" s="177">
        <f>'4. New TMo Dense Urban'!N64+'4. New TMo Urban'!N64+'4. New TMo Suburban'!N64+'4. New TMo Rural'!N64</f>
        <v>443470500</v>
      </c>
      <c r="J51" s="177">
        <f>'4. New TMo Dense Urban'!O64+'4. New TMo Urban'!O64+'4. New TMo Suburban'!O64+'4. New TMo Rural'!O64</f>
        <v>243474000</v>
      </c>
      <c r="K51" s="192">
        <f>'4. New TMo Dense Urban'!P64+'4. New TMo Urban'!P64+'4. New TMo Suburban'!P64+'4. New TMo Rural'!P64</f>
        <v>173910000</v>
      </c>
      <c r="L51" s="83"/>
      <c r="M51" s="83"/>
    </row>
    <row r="52" spans="2:13" x14ac:dyDescent="0.25">
      <c r="B52" s="190" t="s">
        <v>118</v>
      </c>
      <c r="C52" s="177">
        <f>'4. New TMo Dense Urban'!H65+'4. New TMo Urban'!H65+'4. New TMo Suburban'!H65+'4. New TMo Rural'!H65</f>
        <v>0</v>
      </c>
      <c r="D52" s="177">
        <f>'4. New TMo Dense Urban'!I65+'4. New TMo Urban'!I65+'4. New TMo Suburban'!I65+'4. New TMo Rural'!I65</f>
        <v>70206600</v>
      </c>
      <c r="E52" s="177">
        <f>'4. New TMo Dense Urban'!J65+'4. New TMo Urban'!J65+'4. New TMo Suburban'!J65+'4. New TMo Rural'!J65</f>
        <v>157964850</v>
      </c>
      <c r="F52" s="177">
        <f>'4. New TMo Dense Urban'!K65+'4. New TMo Urban'!K65+'4. New TMo Suburban'!K65+'4. New TMo Rural'!K65</f>
        <v>315929700</v>
      </c>
      <c r="G52" s="177">
        <f>'4. New TMo Dense Urban'!L65+'4. New TMo Urban'!L65+'4. New TMo Suburban'!L65+'4. New TMo Rural'!L65</f>
        <v>544101150</v>
      </c>
      <c r="H52" s="177">
        <f>'4. New TMo Dense Urban'!M65+'4. New TMo Urban'!M65+'4. New TMo Suburban'!M65+'4. New TMo Rural'!M65</f>
        <v>789824250</v>
      </c>
      <c r="I52" s="177">
        <f>'4. New TMo Dense Urban'!N65+'4. New TMo Urban'!N65+'4. New TMo Suburban'!N65+'4. New TMo Rural'!N65</f>
        <v>947789100</v>
      </c>
      <c r="J52" s="177">
        <f>'4. New TMo Dense Urban'!O65+'4. New TMo Urban'!O65+'4. New TMo Suburban'!O65+'4. New TMo Rural'!O65</f>
        <v>1105753950</v>
      </c>
      <c r="K52" s="192">
        <f>'4. New TMo Dense Urban'!P65+'4. New TMo Urban'!P65+'4. New TMo Suburban'!P65+'4. New TMo Rural'!P65</f>
        <v>1263718800</v>
      </c>
    </row>
    <row r="53" spans="2:13" x14ac:dyDescent="0.25">
      <c r="B53" s="190" t="s">
        <v>132</v>
      </c>
      <c r="C53" s="177">
        <f>'4. New TMo Dense Urban'!H66+'4. New TMo Urban'!H66+'4. New TMo Suburban'!H66+'4. New TMo Rural'!H66</f>
        <v>0</v>
      </c>
      <c r="D53" s="177">
        <f>'4. New TMo Dense Urban'!I66+'4. New TMo Urban'!I66+'4. New TMo Suburban'!I66+'4. New TMo Rural'!I66</f>
        <v>33364200</v>
      </c>
      <c r="E53" s="177">
        <f>'4. New TMo Dense Urban'!J66+'4. New TMo Urban'!J66+'4. New TMo Suburban'!J66+'4. New TMo Rural'!J66</f>
        <v>233549400</v>
      </c>
      <c r="F53" s="177">
        <f>'4. New TMo Dense Urban'!K66+'4. New TMo Urban'!K66+'4. New TMo Suburban'!K66+'4. New TMo Rural'!K66</f>
        <v>467098800</v>
      </c>
      <c r="G53" s="177">
        <f>'4. New TMo Dense Urban'!L66+'4. New TMo Urban'!L66+'4. New TMo Suburban'!L66+'4. New TMo Rural'!L66</f>
        <v>700648200</v>
      </c>
      <c r="H53" s="177">
        <f>'4. New TMo Dense Urban'!M66+'4. New TMo Urban'!M66+'4. New TMo Suburban'!M66+'4. New TMo Rural'!M66</f>
        <v>617237700</v>
      </c>
      <c r="I53" s="177">
        <f>'4. New TMo Dense Urban'!N66+'4. New TMo Urban'!N66+'4. New TMo Suburban'!N66+'4. New TMo Rural'!N66</f>
        <v>450416700</v>
      </c>
      <c r="J53" s="177">
        <f>'4. New TMo Dense Urban'!O66+'4. New TMo Urban'!O66+'4. New TMo Suburban'!O66+'4. New TMo Rural'!O66</f>
        <v>450416700</v>
      </c>
      <c r="K53" s="192">
        <f>'4. New TMo Dense Urban'!P66+'4. New TMo Urban'!P66+'4. New TMo Suburban'!P66+'4. New TMo Rural'!P66</f>
        <v>450416700</v>
      </c>
    </row>
    <row r="54" spans="2:13" x14ac:dyDescent="0.25">
      <c r="B54" s="190" t="s">
        <v>133</v>
      </c>
      <c r="C54" s="177">
        <f>'4. New TMo Dense Urban'!H67+'4. New TMo Urban'!H67+'4. New TMo Suburban'!H67+'4. New TMo Rural'!H67</f>
        <v>0</v>
      </c>
      <c r="D54" s="177">
        <f>'4. New TMo Dense Urban'!I67+'4. New TMo Urban'!I67+'4. New TMo Suburban'!I67+'4. New TMo Rural'!I67</f>
        <v>0</v>
      </c>
      <c r="E54" s="177">
        <f>'4. New TMo Dense Urban'!J67+'4. New TMo Urban'!J67+'4. New TMo Suburban'!J67+'4. New TMo Rural'!J67</f>
        <v>0</v>
      </c>
      <c r="F54" s="177">
        <f>'4. New TMo Dense Urban'!K67+'4. New TMo Urban'!K67+'4. New TMo Suburban'!K67+'4. New TMo Rural'!K67</f>
        <v>0</v>
      </c>
      <c r="G54" s="177">
        <f>'4. New TMo Dense Urban'!L67+'4. New TMo Urban'!L67+'4. New TMo Suburban'!L67+'4. New TMo Rural'!L67</f>
        <v>349350000</v>
      </c>
      <c r="H54" s="177">
        <f>'4. New TMo Dense Urban'!M67+'4. New TMo Urban'!M67+'4. New TMo Suburban'!M67+'4. New TMo Rural'!M67</f>
        <v>943245000</v>
      </c>
      <c r="I54" s="177">
        <f>'4. New TMo Dense Urban'!N67+'4. New TMo Urban'!N67+'4. New TMo Suburban'!N67+'4. New TMo Rural'!N67</f>
        <v>1781685000</v>
      </c>
      <c r="J54" s="177">
        <f>'4. New TMo Dense Urban'!O67+'4. New TMo Urban'!O67+'4. New TMo Suburban'!O67+'4. New TMo Rural'!O67</f>
        <v>2532787500</v>
      </c>
      <c r="K54" s="192">
        <f>'4. New TMo Dense Urban'!P67+'4. New TMo Urban'!P67+'4. New TMo Suburban'!P67+'4. New TMo Rural'!P67</f>
        <v>2960741250</v>
      </c>
    </row>
    <row r="55" spans="2:13" x14ac:dyDescent="0.25">
      <c r="B55" s="163" t="s">
        <v>255</v>
      </c>
      <c r="C55" s="177">
        <f>'4. New TMo Dense Urban'!H68+'4. New TMo Urban'!H68+'4. New TMo Suburban'!H68+'4. New TMo Rural'!H68</f>
        <v>92448000</v>
      </c>
      <c r="D55" s="177">
        <f>'4. New TMo Dense Urban'!I68+'4. New TMo Urban'!I68+'4. New TMo Suburban'!I68+'4. New TMo Rural'!I68</f>
        <v>0</v>
      </c>
      <c r="E55" s="177">
        <f>'4. New TMo Dense Urban'!J68+'4. New TMo Urban'!J68+'4. New TMo Suburban'!J68+'4. New TMo Rural'!J68</f>
        <v>0</v>
      </c>
      <c r="F55" s="177">
        <f>'4. New TMo Dense Urban'!K68+'4. New TMo Urban'!K68+'4. New TMo Suburban'!K68+'4. New TMo Rural'!K68</f>
        <v>0</v>
      </c>
      <c r="G55" s="177">
        <f>'4. New TMo Dense Urban'!L68+'4. New TMo Urban'!L68+'4. New TMo Suburban'!L68+'4. New TMo Rural'!L68</f>
        <v>0</v>
      </c>
      <c r="H55" s="177">
        <f>'4. New TMo Dense Urban'!M68+'4. New TMo Urban'!M68+'4. New TMo Suburban'!M68+'4. New TMo Rural'!M68</f>
        <v>0</v>
      </c>
      <c r="I55" s="177">
        <f>'4. New TMo Dense Urban'!N68+'4. New TMo Urban'!N68+'4. New TMo Suburban'!N68+'4. New TMo Rural'!N68</f>
        <v>0</v>
      </c>
      <c r="J55" s="177">
        <f>'4. New TMo Dense Urban'!O68+'4. New TMo Urban'!O68+'4. New TMo Suburban'!O68+'4. New TMo Rural'!O68</f>
        <v>0</v>
      </c>
      <c r="K55" s="192">
        <f>'4. New TMo Dense Urban'!P68+'4. New TMo Urban'!P68+'4. New TMo Suburban'!P68+'4. New TMo Rural'!P68</f>
        <v>0</v>
      </c>
      <c r="L55" s="83"/>
      <c r="M55" s="83"/>
    </row>
    <row r="56" spans="2:13" x14ac:dyDescent="0.25">
      <c r="B56" s="163" t="s">
        <v>256</v>
      </c>
      <c r="C56" s="177">
        <f>'4. New TMo Dense Urban'!H69+'4. New TMo Urban'!H69+'4. New TMo Suburban'!H69+'4. New TMo Rural'!H69</f>
        <v>0</v>
      </c>
      <c r="D56" s="177">
        <f>'4. New TMo Dense Urban'!I69+'4. New TMo Urban'!I69+'4. New TMo Suburban'!I69+'4. New TMo Rural'!I69</f>
        <v>30816000</v>
      </c>
      <c r="E56" s="177">
        <f>'4. New TMo Dense Urban'!J69+'4. New TMo Urban'!J69+'4. New TMo Suburban'!J69+'4. New TMo Rural'!J69</f>
        <v>43142400</v>
      </c>
      <c r="F56" s="177">
        <f>'4. New TMo Dense Urban'!K69+'4. New TMo Urban'!K69+'4. New TMo Suburban'!K69+'4. New TMo Rural'!K69</f>
        <v>73958400</v>
      </c>
      <c r="G56" s="177">
        <f>'4. New TMo Dense Urban'!L69+'4. New TMo Urban'!L69+'4. New TMo Suburban'!L69+'4. New TMo Rural'!L69</f>
        <v>104774400</v>
      </c>
      <c r="H56" s="177">
        <f>'4. New TMo Dense Urban'!M69+'4. New TMo Urban'!M69+'4. New TMo Suburban'!M69+'4. New TMo Rural'!M69</f>
        <v>172569600</v>
      </c>
      <c r="I56" s="177">
        <f>'4. New TMo Dense Urban'!N69+'4. New TMo Urban'!N69+'4. New TMo Suburban'!N69+'4. New TMo Rural'!N69</f>
        <v>240364800</v>
      </c>
      <c r="J56" s="177">
        <f>'4. New TMo Dense Urban'!O69+'4. New TMo Urban'!O69+'4. New TMo Suburban'!O69+'4. New TMo Rural'!O69</f>
        <v>277344000</v>
      </c>
      <c r="K56" s="192">
        <f>'4. New TMo Dense Urban'!P69+'4. New TMo Urban'!P69+'4. New TMo Suburban'!P69+'4. New TMo Rural'!P69</f>
        <v>308160000</v>
      </c>
      <c r="L56" s="83"/>
      <c r="M56" s="83"/>
    </row>
    <row r="57" spans="2:13" x14ac:dyDescent="0.25">
      <c r="B57" s="176" t="s">
        <v>129</v>
      </c>
      <c r="C57" s="177">
        <f>'4. New TMo Dense Urban'!H70+'4. New TMo Urban'!H70+'4. New TMo Suburban'!H70+'4. New TMo Rural'!H70</f>
        <v>20550000</v>
      </c>
      <c r="D57" s="177">
        <f>'4. New TMo Dense Urban'!I70+'4. New TMo Urban'!I70+'4. New TMo Suburban'!I70+'4. New TMo Rural'!I70</f>
        <v>20550000</v>
      </c>
      <c r="E57" s="177">
        <f>'4. New TMo Dense Urban'!J70+'4. New TMo Urban'!J70+'4. New TMo Suburban'!J70+'4. New TMo Rural'!J70</f>
        <v>20550000</v>
      </c>
      <c r="F57" s="177">
        <f>'4. New TMo Dense Urban'!K70+'4. New TMo Urban'!K70+'4. New TMo Suburban'!K70+'4. New TMo Rural'!K70</f>
        <v>20550000</v>
      </c>
      <c r="G57" s="177">
        <f>'4. New TMo Dense Urban'!L70+'4. New TMo Urban'!L70+'4. New TMo Suburban'!L70+'4. New TMo Rural'!L70</f>
        <v>28770000</v>
      </c>
      <c r="H57" s="177">
        <f>'4. New TMo Dense Urban'!M70+'4. New TMo Urban'!M70+'4. New TMo Suburban'!M70+'4. New TMo Rural'!M70</f>
        <v>43155000</v>
      </c>
      <c r="I57" s="177">
        <f>'4. New TMo Dense Urban'!N70+'4. New TMo Urban'!N70+'4. New TMo Suburban'!N70+'4. New TMo Rural'!N70</f>
        <v>49320000</v>
      </c>
      <c r="J57" s="177">
        <f>'4. New TMo Dense Urban'!O70+'4. New TMo Urban'!O70+'4. New TMo Suburban'!O70+'4. New TMo Rural'!O70</f>
        <v>57540000</v>
      </c>
      <c r="K57" s="192">
        <f>'4. New TMo Dense Urban'!P70+'4. New TMo Urban'!P70+'4. New TMo Suburban'!P70+'4. New TMo Rural'!P70</f>
        <v>65760000</v>
      </c>
      <c r="L57" s="83"/>
      <c r="M57" s="83"/>
    </row>
    <row r="58" spans="2:13" ht="15.75" thickBot="1" x14ac:dyDescent="0.3">
      <c r="B58" s="182" t="s">
        <v>12</v>
      </c>
      <c r="C58" s="196">
        <f t="shared" ref="C58:K58" si="1">SUM(C31:C57)</f>
        <v>12068365763.373859</v>
      </c>
      <c r="D58" s="196">
        <f t="shared" si="1"/>
        <v>31248963000</v>
      </c>
      <c r="E58" s="196">
        <f t="shared" si="1"/>
        <v>12122432950</v>
      </c>
      <c r="F58" s="196">
        <f t="shared" si="1"/>
        <v>12097676700</v>
      </c>
      <c r="G58" s="196">
        <f t="shared" si="1"/>
        <v>13735081050</v>
      </c>
      <c r="H58" s="196">
        <f t="shared" si="1"/>
        <v>14595915250</v>
      </c>
      <c r="I58" s="196">
        <f t="shared" si="1"/>
        <v>15496866500</v>
      </c>
      <c r="J58" s="196">
        <f t="shared" si="1"/>
        <v>16150105650</v>
      </c>
      <c r="K58" s="197">
        <f t="shared" si="1"/>
        <v>16149176950</v>
      </c>
      <c r="L58" s="83"/>
      <c r="M58" s="83"/>
    </row>
    <row r="59" spans="2:13" x14ac:dyDescent="0.25">
      <c r="B59" s="83"/>
      <c r="C59" s="83"/>
      <c r="D59" s="83"/>
      <c r="E59" s="83"/>
      <c r="F59" s="83"/>
      <c r="G59" s="83"/>
      <c r="H59" s="83"/>
      <c r="I59" s="83"/>
      <c r="J59" s="83"/>
      <c r="K59" s="83"/>
      <c r="L59" s="83"/>
      <c r="M59" s="83"/>
    </row>
    <row r="60" spans="2:13" ht="15.75" thickBot="1" x14ac:dyDescent="0.3">
      <c r="B60" s="83"/>
      <c r="C60" s="83"/>
      <c r="D60" s="83"/>
      <c r="E60" s="83"/>
      <c r="F60" s="83"/>
      <c r="G60" s="83"/>
      <c r="H60" s="83"/>
      <c r="I60" s="83"/>
      <c r="J60" s="83"/>
      <c r="K60" s="83"/>
      <c r="L60" s="83"/>
      <c r="M60" s="83"/>
    </row>
    <row r="61" spans="2:13" x14ac:dyDescent="0.25">
      <c r="B61" s="19" t="s">
        <v>105</v>
      </c>
      <c r="C61" s="15" t="s">
        <v>8</v>
      </c>
      <c r="D61" s="15" t="s">
        <v>0</v>
      </c>
      <c r="E61" s="15" t="s">
        <v>1</v>
      </c>
      <c r="F61" s="15" t="s">
        <v>2</v>
      </c>
      <c r="G61" s="15" t="s">
        <v>3</v>
      </c>
      <c r="H61" s="15" t="s">
        <v>4</v>
      </c>
      <c r="I61" s="15" t="s">
        <v>5</v>
      </c>
      <c r="J61" s="15" t="s">
        <v>6</v>
      </c>
      <c r="K61" s="16" t="s">
        <v>7</v>
      </c>
      <c r="L61" s="83"/>
      <c r="M61" s="83"/>
    </row>
    <row r="62" spans="2:13" x14ac:dyDescent="0.25">
      <c r="B62" s="171" t="s">
        <v>107</v>
      </c>
      <c r="C62" s="31">
        <f>'4. New TMo Dense Urban'!H80+'4. New TMo Urban'!H80+'4. New TMo Suburban'!H80+'4. New TMo Rural'!H80</f>
        <v>46429227000</v>
      </c>
      <c r="D62" s="31">
        <f>'4. New TMo Dense Urban'!I80+'4. New TMo Urban'!I80+'4. New TMo Suburban'!I80+'4. New TMo Rural'!I80</f>
        <v>48134049022.800003</v>
      </c>
      <c r="E62" s="31">
        <f>'4. New TMo Dense Urban'!J80+'4. New TMo Urban'!J80+'4. New TMo Suburban'!J80+'4. New TMo Rural'!J80</f>
        <v>50191992051.552002</v>
      </c>
      <c r="F62" s="31">
        <f>'4. New TMo Dense Urban'!K80+'4. New TMo Urban'!K80+'4. New TMo Suburban'!K80+'4. New TMo Rural'!K80</f>
        <v>52310495659.167725</v>
      </c>
      <c r="G62" s="31">
        <f>'4. New TMo Dense Urban'!L80+'4. New TMo Urban'!L80+'4. New TMo Suburban'!L80+'4. New TMo Rural'!L80</f>
        <v>54490807414.153481</v>
      </c>
      <c r="H62" s="31">
        <f>'4. New TMo Dense Urban'!M80+'4. New TMo Urban'!M80+'4. New TMo Suburban'!M80+'4. New TMo Rural'!M80</f>
        <v>56734196201.840118</v>
      </c>
      <c r="I62" s="31">
        <f>'4. New TMo Dense Urban'!N80+'4. New TMo Urban'!N80+'4. New TMo Suburban'!N80+'4. New TMo Rural'!N80</f>
        <v>59041952550.177864</v>
      </c>
      <c r="J62" s="31">
        <f>'4. New TMo Dense Urban'!O80+'4. New TMo Urban'!O80+'4. New TMo Suburban'!O80+'4. New TMo Rural'!O80</f>
        <v>61415388960.157303</v>
      </c>
      <c r="K62" s="48">
        <f>'4. New TMo Dense Urban'!P80+'4. New TMo Urban'!P80+'4. New TMo Suburban'!P80+'4. New TMo Rural'!P80</f>
        <v>63855840240.919449</v>
      </c>
      <c r="L62" s="83"/>
      <c r="M62" s="83"/>
    </row>
    <row r="63" spans="2:13" x14ac:dyDescent="0.25">
      <c r="B63" s="171" t="s">
        <v>288</v>
      </c>
      <c r="C63" s="31">
        <f>'4. New TMo Dense Urban'!H81+'4. New TMo Urban'!H81+'4. New TMo Suburban'!H81+'4. New TMo Rural'!H81</f>
        <v>12068365763.373859</v>
      </c>
      <c r="D63" s="31">
        <f>'4. New TMo Dense Urban'!I81+'4. New TMo Urban'!I81+'4. New TMo Suburban'!I81+'4. New TMo Rural'!I81</f>
        <v>31248963000</v>
      </c>
      <c r="E63" s="31">
        <f>'4. New TMo Dense Urban'!J81+'4. New TMo Urban'!J81+'4. New TMo Suburban'!J81+'4. New TMo Rural'!J81</f>
        <v>12122432950</v>
      </c>
      <c r="F63" s="31">
        <f>'4. New TMo Dense Urban'!K81+'4. New TMo Urban'!K81+'4. New TMo Suburban'!K81+'4. New TMo Rural'!K81</f>
        <v>12097676700</v>
      </c>
      <c r="G63" s="31">
        <f>'4. New TMo Dense Urban'!L81+'4. New TMo Urban'!L81+'4. New TMo Suburban'!L81+'4. New TMo Rural'!L81</f>
        <v>13735081050</v>
      </c>
      <c r="H63" s="31">
        <f>'4. New TMo Dense Urban'!M81+'4. New TMo Urban'!M81+'4. New TMo Suburban'!M81+'4. New TMo Rural'!M81</f>
        <v>14595915250</v>
      </c>
      <c r="I63" s="31">
        <f>'4. New TMo Dense Urban'!N81+'4. New TMo Urban'!N81+'4. New TMo Suburban'!N81+'4. New TMo Rural'!N81</f>
        <v>15496866500</v>
      </c>
      <c r="J63" s="31">
        <f>'4. New TMo Dense Urban'!O81+'4. New TMo Urban'!O81+'4. New TMo Suburban'!O81+'4. New TMo Rural'!O81</f>
        <v>16150105650</v>
      </c>
      <c r="K63" s="48">
        <f>'4. New TMo Dense Urban'!P81+'4. New TMo Urban'!P81+'4. New TMo Suburban'!P81+'4. New TMo Rural'!P81</f>
        <v>16149176950</v>
      </c>
      <c r="L63" s="83"/>
      <c r="M63" s="83"/>
    </row>
    <row r="64" spans="2:13" x14ac:dyDescent="0.25">
      <c r="B64" s="171" t="s">
        <v>257</v>
      </c>
      <c r="C64" s="31">
        <f>'4. New TMo Dense Urban'!H82+'4. New TMo Urban'!H82+'4. New TMo Suburban'!H82+'4. New TMo Rural'!H82</f>
        <v>11607306750</v>
      </c>
      <c r="D64" s="31">
        <f>'4. New TMo Dense Urban'!I82+'4. New TMo Urban'!I82+'4. New TMo Suburban'!I82+'4. New TMo Rural'!I82</f>
        <v>12033512255.700001</v>
      </c>
      <c r="E64" s="31">
        <f>'4. New TMo Dense Urban'!J82+'4. New TMo Urban'!J82+'4. New TMo Suburban'!J82+'4. New TMo Rural'!J82</f>
        <v>12547998012.888</v>
      </c>
      <c r="F64" s="31">
        <f>'4. New TMo Dense Urban'!K82+'4. New TMo Urban'!K82+'4. New TMo Suburban'!K82+'4. New TMo Rural'!K82</f>
        <v>13077623914.791931</v>
      </c>
      <c r="G64" s="31">
        <f>'4. New TMo Dense Urban'!L82+'4. New TMo Urban'!L82+'4. New TMo Suburban'!L82+'4. New TMo Rural'!L82</f>
        <v>13622701853.53837</v>
      </c>
      <c r="H64" s="31">
        <f>'4. New TMo Dense Urban'!M82+'4. New TMo Urban'!M82+'4. New TMo Suburban'!M82+'4. New TMo Rural'!M82</f>
        <v>14183549050.46003</v>
      </c>
      <c r="I64" s="31">
        <f>'4. New TMo Dense Urban'!N82+'4. New TMo Urban'!N82+'4. New TMo Suburban'!N82+'4. New TMo Rural'!N82</f>
        <v>14760488137.544466</v>
      </c>
      <c r="J64" s="31">
        <f>'4. New TMo Dense Urban'!O82+'4. New TMo Urban'!O82+'4. New TMo Suburban'!O82+'4. New TMo Rural'!O82</f>
        <v>15353847240.039326</v>
      </c>
      <c r="K64" s="48">
        <f>'4. New TMo Dense Urban'!P82+'4. New TMo Urban'!P82+'4. New TMo Suburban'!P82+'4. New TMo Rural'!P82</f>
        <v>15963960060.229862</v>
      </c>
      <c r="L64" s="83"/>
      <c r="M64" s="49" t="s">
        <v>46</v>
      </c>
    </row>
    <row r="65" spans="2:18" ht="15.75" thickBot="1" x14ac:dyDescent="0.3">
      <c r="B65" s="187" t="s">
        <v>9</v>
      </c>
      <c r="C65" s="183">
        <f t="shared" ref="C65:K65" si="2">C62-C64-C63</f>
        <v>22753554486.626141</v>
      </c>
      <c r="D65" s="183">
        <f t="shared" si="2"/>
        <v>4851573767.1000061</v>
      </c>
      <c r="E65" s="183">
        <f t="shared" si="2"/>
        <v>25521561088.664001</v>
      </c>
      <c r="F65" s="183">
        <f t="shared" si="2"/>
        <v>27135195044.375793</v>
      </c>
      <c r="G65" s="183">
        <f t="shared" si="2"/>
        <v>27133024510.615112</v>
      </c>
      <c r="H65" s="183">
        <f t="shared" si="2"/>
        <v>27954731901.380089</v>
      </c>
      <c r="I65" s="183">
        <f t="shared" si="2"/>
        <v>28784597912.6334</v>
      </c>
      <c r="J65" s="183">
        <f t="shared" si="2"/>
        <v>29911436070.117981</v>
      </c>
      <c r="K65" s="184">
        <f t="shared" si="2"/>
        <v>31742703230.68959</v>
      </c>
      <c r="L65" s="83"/>
      <c r="M65" s="83"/>
    </row>
    <row r="66" spans="2:18" ht="15.75" thickBot="1" x14ac:dyDescent="0.3">
      <c r="B66" s="83"/>
      <c r="C66" s="83"/>
      <c r="D66" s="83"/>
      <c r="E66" s="83"/>
      <c r="F66" s="83"/>
      <c r="G66" s="83"/>
      <c r="H66" s="83"/>
      <c r="I66" s="83"/>
      <c r="J66" s="83"/>
      <c r="K66" s="83"/>
      <c r="L66" s="83"/>
      <c r="M66" s="83"/>
    </row>
    <row r="67" spans="2:18" x14ac:dyDescent="0.25">
      <c r="B67" s="185" t="s">
        <v>108</v>
      </c>
      <c r="C67" s="191">
        <f>NPV(0.1,C65:K65)</f>
        <v>137217196024.16014</v>
      </c>
      <c r="D67" s="83"/>
      <c r="E67" s="83"/>
      <c r="F67" s="83"/>
      <c r="G67" s="83"/>
      <c r="H67" s="83"/>
      <c r="I67" s="83"/>
      <c r="J67" s="83"/>
      <c r="K67" s="83"/>
      <c r="L67" s="83"/>
      <c r="N67" s="83"/>
      <c r="O67" s="83"/>
      <c r="P67" s="83"/>
      <c r="Q67" s="83"/>
      <c r="R67" s="83"/>
    </row>
    <row r="68" spans="2:18" ht="15.75" thickBot="1" x14ac:dyDescent="0.3">
      <c r="B68" s="186" t="s">
        <v>109</v>
      </c>
      <c r="C68" s="269" t="str">
        <f>IFERROR(IRR(C65:K65,-99%), "N/A")</f>
        <v>N/A</v>
      </c>
      <c r="D68" s="83"/>
      <c r="E68" s="83"/>
      <c r="F68" s="83"/>
      <c r="G68" s="83"/>
      <c r="H68" s="83"/>
      <c r="I68" s="83"/>
      <c r="J68" s="83"/>
      <c r="K68" s="83"/>
      <c r="L68" s="83"/>
      <c r="M68" s="83"/>
      <c r="N68" s="83"/>
      <c r="O68" s="83"/>
      <c r="P68" s="83"/>
      <c r="Q68" s="83"/>
      <c r="R68" s="83"/>
    </row>
    <row r="69" spans="2:18" x14ac:dyDescent="0.25">
      <c r="B69" s="83"/>
      <c r="C69" s="83"/>
      <c r="D69" s="83"/>
      <c r="E69" s="83"/>
      <c r="F69" s="83"/>
      <c r="G69" s="83"/>
      <c r="H69" s="83"/>
      <c r="I69" s="83"/>
      <c r="J69" s="83"/>
      <c r="K69" s="83"/>
      <c r="L69" s="83"/>
      <c r="M69" s="83"/>
      <c r="N69" s="83"/>
      <c r="O69" s="83"/>
      <c r="P69" s="83"/>
    </row>
    <row r="70" spans="2:18" ht="15.75" thickBot="1" x14ac:dyDescent="0.3">
      <c r="N70" s="83"/>
      <c r="O70" s="83"/>
      <c r="P70" s="83"/>
    </row>
    <row r="71" spans="2:18" x14ac:dyDescent="0.25">
      <c r="B71" s="19" t="s">
        <v>284</v>
      </c>
      <c r="C71" s="15" t="s">
        <v>8</v>
      </c>
      <c r="D71" s="15" t="s">
        <v>0</v>
      </c>
      <c r="E71" s="15" t="s">
        <v>1</v>
      </c>
      <c r="F71" s="15" t="s">
        <v>2</v>
      </c>
      <c r="G71" s="15" t="s">
        <v>3</v>
      </c>
      <c r="H71" s="15" t="s">
        <v>4</v>
      </c>
      <c r="I71" s="15" t="s">
        <v>5</v>
      </c>
      <c r="J71" s="15" t="s">
        <v>6</v>
      </c>
      <c r="K71" s="16" t="s">
        <v>7</v>
      </c>
      <c r="N71" s="83"/>
      <c r="O71" s="83"/>
      <c r="P71" s="83"/>
    </row>
    <row r="72" spans="2:18" x14ac:dyDescent="0.25">
      <c r="B72" s="54" t="s">
        <v>11</v>
      </c>
      <c r="C72" s="261">
        <f>'4. New TMo Dense Urban'!H83</f>
        <v>5711205863.2218847</v>
      </c>
      <c r="D72" s="258">
        <f>'4. New TMo Dense Urban'!I83</f>
        <v>-2456426075.7999992</v>
      </c>
      <c r="E72" s="31">
        <f>'4. New TMo Dense Urban'!J83</f>
        <v>6747260513.7840004</v>
      </c>
      <c r="F72" s="31">
        <f>'4. New TMo Dense Urban'!K83</f>
        <v>7254541015.247261</v>
      </c>
      <c r="G72" s="31">
        <f>'4. New TMo Dense Urban'!L83</f>
        <v>7105894955.3884087</v>
      </c>
      <c r="H72" s="31">
        <f>'4. New TMo Dense Urban'!M83</f>
        <v>7372844152.0708542</v>
      </c>
      <c r="I72" s="31">
        <f>'4. New TMo Dense Urban'!N83</f>
        <v>7350308725.1114101</v>
      </c>
      <c r="J72" s="31">
        <f>'4. New TMo Dense Urban'!O83</f>
        <v>7386627507.2975655</v>
      </c>
      <c r="K72" s="48">
        <f>'4. New TMo Dense Urban'!P83</f>
        <v>7808670255.5349388</v>
      </c>
    </row>
    <row r="73" spans="2:18" x14ac:dyDescent="0.25">
      <c r="B73" s="54" t="s">
        <v>17</v>
      </c>
      <c r="C73" s="261">
        <f>'4. New TMo Urban'!H83</f>
        <v>6859286534.2705164</v>
      </c>
      <c r="D73" s="31">
        <f>'4. New TMo Urban'!I83</f>
        <v>1304686714.7250004</v>
      </c>
      <c r="E73" s="31">
        <f>'4. New TMo Urban'!J83</f>
        <v>8216592653.007</v>
      </c>
      <c r="F73" s="31">
        <f>'4. New TMo Urban'!K83</f>
        <v>8070515342.1531677</v>
      </c>
      <c r="G73" s="31">
        <f>'4. New TMo Urban'!L83</f>
        <v>7982707574.8119602</v>
      </c>
      <c r="H73" s="31">
        <f>'4. New TMo Urban'!M83</f>
        <v>7899450996.0797119</v>
      </c>
      <c r="I73" s="31">
        <f>'4. New TMo Urban'!N83</f>
        <v>7999028715.7503357</v>
      </c>
      <c r="J73" s="31">
        <f>'4. New TMo Urban'!O83</f>
        <v>8145403120.7097626</v>
      </c>
      <c r="K73" s="48">
        <f>'4. New TMo Urban'!P83</f>
        <v>8621738987.4768047</v>
      </c>
    </row>
    <row r="74" spans="2:18" x14ac:dyDescent="0.25">
      <c r="B74" s="54" t="s">
        <v>13</v>
      </c>
      <c r="C74" s="31">
        <f>'4. New TMo Suburban'!H83</f>
        <v>9645871018.3130703</v>
      </c>
      <c r="D74" s="31">
        <f>'4. New TMo Suburban'!I83</f>
        <v>6047134547.125</v>
      </c>
      <c r="E74" s="31">
        <f>'4. New TMo Suburban'!J83</f>
        <v>9363275438.2550011</v>
      </c>
      <c r="F74" s="31">
        <f>'4. New TMo Suburban'!K83</f>
        <v>10173017286.322887</v>
      </c>
      <c r="G74" s="31">
        <f>'4. New TMo Suburban'!L83</f>
        <v>10229938820.378311</v>
      </c>
      <c r="H74" s="31">
        <f>'4. New TMo Suburban'!M83</f>
        <v>10452363973.926205</v>
      </c>
      <c r="I74" s="31">
        <f>'4. New TMo Suburban'!N83</f>
        <v>10612983998.423023</v>
      </c>
      <c r="J74" s="31">
        <f>'4. New TMo Suburban'!O83</f>
        <v>10999351776.932377</v>
      </c>
      <c r="K74" s="48">
        <f>'4. New TMo Suburban'!P83</f>
        <v>11265905187.942085</v>
      </c>
    </row>
    <row r="75" spans="2:18" ht="15.75" thickBot="1" x14ac:dyDescent="0.3">
      <c r="B75" s="58" t="s">
        <v>14</v>
      </c>
      <c r="C75" s="256">
        <f>'4. New TMo Rural'!H83</f>
        <v>537191070.8206687</v>
      </c>
      <c r="D75" s="262">
        <f>'4. New TMo Rural'!I83</f>
        <v>-43821418.949999809</v>
      </c>
      <c r="E75" s="256">
        <f>'4. New TMo Rural'!J83</f>
        <v>1194432483.618</v>
      </c>
      <c r="F75" s="256">
        <f>'4. New TMo Rural'!K83</f>
        <v>1637121400.6524754</v>
      </c>
      <c r="G75" s="256">
        <f>'4. New TMo Rural'!L83</f>
        <v>1814483160.0364308</v>
      </c>
      <c r="H75" s="256">
        <f>'4. New TMo Rural'!M83</f>
        <v>2230072779.3033228</v>
      </c>
      <c r="I75" s="256">
        <f>'4. New TMo Rural'!N83</f>
        <v>2822276473.3486271</v>
      </c>
      <c r="J75" s="256">
        <f>'4. New TMo Rural'!O83</f>
        <v>3380053665.1782732</v>
      </c>
      <c r="K75" s="257">
        <f>'4. New TMo Rural'!P83</f>
        <v>4046388799.7357597</v>
      </c>
    </row>
    <row r="82" spans="2:11" ht="15.75" thickBot="1" x14ac:dyDescent="0.3"/>
    <row r="83" spans="2:11" x14ac:dyDescent="0.25">
      <c r="B83" s="19" t="s">
        <v>297</v>
      </c>
      <c r="C83" s="15" t="s">
        <v>8</v>
      </c>
      <c r="D83" s="15" t="s">
        <v>0</v>
      </c>
      <c r="E83" s="15" t="s">
        <v>1</v>
      </c>
      <c r="F83" s="15" t="s">
        <v>2</v>
      </c>
      <c r="G83" s="15" t="s">
        <v>3</v>
      </c>
      <c r="H83" s="15" t="s">
        <v>4</v>
      </c>
      <c r="I83" s="15" t="s">
        <v>5</v>
      </c>
      <c r="J83" s="15" t="s">
        <v>6</v>
      </c>
      <c r="K83" s="16" t="s">
        <v>7</v>
      </c>
    </row>
    <row r="84" spans="2:11" x14ac:dyDescent="0.25">
      <c r="B84" s="171" t="s">
        <v>107</v>
      </c>
      <c r="C84" s="31">
        <f>IF(SUM(C17:C19,C24)&gt;C11,C62,C62*(2*(SUM(C17:C19,C24)/C11)+1)/3)</f>
        <v>46429227000</v>
      </c>
      <c r="D84" s="31">
        <f>IF(SUM(D17:D19,D24)&gt;D11,D62,D62*(2*(SUM(D17:D19,D24)/D11)+1)/3)</f>
        <v>48134049022.800003</v>
      </c>
      <c r="E84" s="31">
        <f t="shared" ref="E84:K84" si="3">IF(SUM(E17:E19,E24)&gt;E11,E62,E62*(2*(SUM(E17:E19,E24)/E11)+1)/3)</f>
        <v>46957601439.179932</v>
      </c>
      <c r="F84" s="31">
        <f t="shared" si="3"/>
        <v>41032551177.887856</v>
      </c>
      <c r="G84" s="31">
        <f t="shared" si="3"/>
        <v>36327519265.345871</v>
      </c>
      <c r="H84" s="31">
        <f t="shared" si="3"/>
        <v>33398932475.683712</v>
      </c>
      <c r="I84" s="31">
        <f t="shared" si="3"/>
        <v>31401510440.748623</v>
      </c>
      <c r="J84" s="31">
        <f t="shared" si="3"/>
        <v>30316901135.702343</v>
      </c>
      <c r="K84" s="48">
        <f t="shared" si="3"/>
        <v>29713768119.391571</v>
      </c>
    </row>
    <row r="85" spans="2:11" x14ac:dyDescent="0.25">
      <c r="B85" s="171" t="s">
        <v>288</v>
      </c>
      <c r="C85" s="31">
        <f>C36+C37+C38+C43+C48+C49+C50+C55</f>
        <v>6718161400</v>
      </c>
      <c r="D85" s="31">
        <f t="shared" ref="D85:K85" si="4">D36+D37+D38+D43+D48+D49+D50+D55</f>
        <v>7099914000</v>
      </c>
      <c r="E85" s="31">
        <f t="shared" si="4"/>
        <v>6646070100</v>
      </c>
      <c r="F85" s="31">
        <f t="shared" si="4"/>
        <v>6856159500</v>
      </c>
      <c r="G85" s="31">
        <f t="shared" si="4"/>
        <v>6975999300</v>
      </c>
      <c r="H85" s="31">
        <f t="shared" si="4"/>
        <v>7136868600</v>
      </c>
      <c r="I85" s="31">
        <f t="shared" si="4"/>
        <v>7124720400</v>
      </c>
      <c r="J85" s="31">
        <f t="shared" si="4"/>
        <v>7186287600</v>
      </c>
      <c r="K85" s="48">
        <f t="shared" si="4"/>
        <v>7171691400</v>
      </c>
    </row>
    <row r="86" spans="2:11" x14ac:dyDescent="0.25">
      <c r="B86" s="171" t="s">
        <v>257</v>
      </c>
      <c r="C86" s="31">
        <f>C84*0.25</f>
        <v>11607306750</v>
      </c>
      <c r="D86" s="31">
        <f t="shared" ref="D86:K86" si="5">D84*0.25</f>
        <v>12033512255.700001</v>
      </c>
      <c r="E86" s="31">
        <f t="shared" si="5"/>
        <v>11739400359.794983</v>
      </c>
      <c r="F86" s="31">
        <f t="shared" si="5"/>
        <v>10258137794.471964</v>
      </c>
      <c r="G86" s="31">
        <f t="shared" si="5"/>
        <v>9081879816.3364677</v>
      </c>
      <c r="H86" s="31">
        <f t="shared" si="5"/>
        <v>8349733118.920928</v>
      </c>
      <c r="I86" s="31">
        <f t="shared" si="5"/>
        <v>7850377610.1871557</v>
      </c>
      <c r="J86" s="31">
        <f t="shared" si="5"/>
        <v>7579225283.9255857</v>
      </c>
      <c r="K86" s="48">
        <f t="shared" si="5"/>
        <v>7428442029.8478928</v>
      </c>
    </row>
    <row r="87" spans="2:11" ht="15.75" thickBot="1" x14ac:dyDescent="0.3">
      <c r="B87" s="187" t="s">
        <v>9</v>
      </c>
      <c r="C87" s="183">
        <f>C84-C86-C85</f>
        <v>28103758850</v>
      </c>
      <c r="D87" s="183">
        <f t="shared" ref="D87:K87" si="6">D84-D86-D85</f>
        <v>29000622767.100006</v>
      </c>
      <c r="E87" s="183">
        <f t="shared" si="6"/>
        <v>28572130979.384949</v>
      </c>
      <c r="F87" s="183">
        <f t="shared" si="6"/>
        <v>23918253883.415894</v>
      </c>
      <c r="G87" s="183">
        <f t="shared" si="6"/>
        <v>20269640149.009403</v>
      </c>
      <c r="H87" s="183">
        <f t="shared" si="6"/>
        <v>17912330756.762783</v>
      </c>
      <c r="I87" s="183">
        <f t="shared" si="6"/>
        <v>16426412430.561466</v>
      </c>
      <c r="J87" s="183">
        <f t="shared" si="6"/>
        <v>15551388251.776756</v>
      </c>
      <c r="K87" s="184">
        <f t="shared" si="6"/>
        <v>15113634689.543678</v>
      </c>
    </row>
    <row r="88" spans="2:11" ht="15.75" thickBot="1" x14ac:dyDescent="0.3">
      <c r="B88" s="83"/>
      <c r="C88" s="83"/>
      <c r="D88" s="83"/>
      <c r="E88" s="83"/>
      <c r="F88" s="83"/>
      <c r="G88" s="83"/>
      <c r="H88" s="83"/>
      <c r="I88" s="83"/>
      <c r="J88" s="83"/>
      <c r="K88" s="83"/>
    </row>
    <row r="89" spans="2:11" x14ac:dyDescent="0.25">
      <c r="B89" s="185" t="s">
        <v>108</v>
      </c>
      <c r="C89" s="191">
        <f>NPV(0.1,C87:K87)</f>
        <v>132110218922.29887</v>
      </c>
      <c r="D89" s="83"/>
      <c r="E89" s="83"/>
      <c r="F89" s="83"/>
      <c r="G89" s="83"/>
      <c r="H89" s="83"/>
      <c r="I89" s="83"/>
      <c r="J89" s="83"/>
      <c r="K89" s="83"/>
    </row>
    <row r="90" spans="2:11" ht="15.75" thickBot="1" x14ac:dyDescent="0.3">
      <c r="B90" s="186" t="s">
        <v>109</v>
      </c>
      <c r="C90" s="269" t="str">
        <f>IFERROR(IRR(C87:K87,-99%), "N/A")</f>
        <v>N/A</v>
      </c>
      <c r="D90" s="83"/>
      <c r="E90" s="83"/>
      <c r="F90" s="83"/>
      <c r="G90" s="83"/>
      <c r="H90" s="83"/>
      <c r="I90" s="83"/>
      <c r="J90" s="83"/>
      <c r="K90" s="83"/>
    </row>
  </sheetData>
  <conditionalFormatting sqref="A117:XFD1048576 A83:A116 L83:XFD116 A1:XFD3 A8:XFD82 H4:XFD7 A4:F7">
    <cfRule type="expression" dxfId="6" priority="2">
      <formula>"a1&lt;0"</formula>
    </cfRule>
  </conditionalFormatting>
  <conditionalFormatting sqref="B83:K116">
    <cfRule type="expression" dxfId="5" priority="1">
      <formula>"a1&lt;0"</formula>
    </cfRule>
  </conditionalFormatting>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1. FWA mmwave</vt:lpstr>
      <vt:lpstr>2. FWA at 3 GHz</vt:lpstr>
      <vt:lpstr>3.  USA OVERALL</vt:lpstr>
      <vt:lpstr>3.  USA Dense Urban</vt:lpstr>
      <vt:lpstr>3.  USA Urban</vt:lpstr>
      <vt:lpstr>3.  USA Suburban</vt:lpstr>
      <vt:lpstr>3.  USA Rural</vt:lpstr>
      <vt:lpstr>4.  New TMo OVERALL</vt:lpstr>
      <vt:lpstr>4. New TMo Dense Urban</vt:lpstr>
      <vt:lpstr>4. New TMo Urban</vt:lpstr>
      <vt:lpstr>4. New TMo Suburban</vt:lpstr>
      <vt:lpstr>4. New TMo Rural</vt:lpstr>
      <vt:lpstr>5. EU MNO</vt:lpstr>
      <vt:lpstr>Cost per Cell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dc:creator>
  <cp:lastModifiedBy>Eleanor!</cp:lastModifiedBy>
  <dcterms:created xsi:type="dcterms:W3CDTF">2015-11-02T15:47:41Z</dcterms:created>
  <dcterms:modified xsi:type="dcterms:W3CDTF">2018-12-10T18:41:05Z</dcterms:modified>
</cp:coreProperties>
</file>