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 PC\Documents\Bluesquare\modele_microplan\"/>
    </mc:Choice>
  </mc:AlternateContent>
  <xr:revisionPtr revIDLastSave="0" documentId="8_{65E7FB5A-2D95-7B4B-9313-28CB0A072BBD}" xr6:coauthVersionLast="47" xr6:coauthVersionMax="47" xr10:uidLastSave="{00000000-0000-0000-0000-000000000000}"/>
  <bookViews>
    <workbookView xWindow="-108" yWindow="-108" windowWidth="23256" windowHeight="12456" tabRatio="770" firstSheet="9" activeTab="12" xr2:uid="{00000000-000D-0000-FFFF-FFFF00000000}"/>
  </bookViews>
  <sheets>
    <sheet name="Page de garde" sheetId="52" r:id="rId1"/>
    <sheet name="Instructions" sheetId="51" r:id="rId2"/>
    <sheet name="Data" sheetId="44" r:id="rId3"/>
    <sheet name="1.Stratégie" sheetId="1" r:id="rId4"/>
    <sheet name="2.Equipe" sheetId="4" r:id="rId5"/>
    <sheet name="3.Personnel" sheetId="21" r:id="rId6"/>
    <sheet name="4.Vaccin_intrant" sheetId="23" r:id="rId7"/>
    <sheet name="5.Chaîne_froid" sheetId="22" r:id="rId8"/>
    <sheet name="6.Gdéchet" sheetId="36" r:id="rId9"/>
    <sheet name="7.Transport_AS" sheetId="42" r:id="rId10"/>
    <sheet name="8.Transport_DS" sheetId="26" r:id="rId11"/>
    <sheet name="9.budget_AS" sheetId="45" r:id="rId12"/>
    <sheet name="10.budget_SSD" sheetId="48" r:id="rId13"/>
    <sheet name="11.Recap" sheetId="28" r:id="rId14"/>
    <sheet name="12.Financement" sheetId="38" r:id="rId15"/>
    <sheet name="13.Chrono" sheetId="39" r:id="rId16"/>
    <sheet name="14.MobSoc" sheetId="43" r:id="rId17"/>
    <sheet name="15.Circuit" sheetId="32" r:id="rId18"/>
    <sheet name="Feuil1" sheetId="49" r:id="rId19"/>
  </sheets>
  <externalReferences>
    <externalReference r:id="rId20"/>
  </externalReferences>
  <definedNames>
    <definedName name="adjust">[1]prog!$K$64:$K$65</definedName>
    <definedName name="administration">[1]Translation!$C$538:$C$543</definedName>
    <definedName name="available_stock">[1]Translation!$C$151:$C$152</definedName>
    <definedName name="Batches">[1]Lots!$B$11:$B$50</definedName>
    <definedName name="cce">[1]Translation!$C$38:$C$45</definedName>
    <definedName name="Country">[1]Noms_pays!$B$2:$B$195</definedName>
    <definedName name="Country_Origin">[1]Origin_Vax!$C$16:$C$45</definedName>
    <definedName name="Currency">[1]Translation!$C$111:$C$113</definedName>
    <definedName name="Current_Year" localSheetId="0">#REF!</definedName>
    <definedName name="Current_Year">#REF!</definedName>
    <definedName name="cv">[1]Translation!$C$383</definedName>
    <definedName name="cvneed">[1]Translation!$C$382:$C$383</definedName>
    <definedName name="dilution">[1]Translation!$C$259:$C$264</definedName>
    <definedName name="_xlnm.Print_Titles" localSheetId="15">'13.Chrono'!$5:$7</definedName>
    <definedName name="inj_routine">[1]forecast!$C$33:$C$38</definedName>
    <definedName name="intrant">[1]Translation!$C$514:$C$515</definedName>
    <definedName name="inventory">[1]prog!$K$64</definedName>
    <definedName name="Langues">[1]Translation!$D$9:$I$9</definedName>
    <definedName name="levels">[1]prog!$B$10:$B$13</definedName>
    <definedName name="loss_adjust">[1]prog!$K$65</definedName>
    <definedName name="Manufacturers">[1]Origin_Vax!$D$16:$D$45</definedName>
    <definedName name="n_1">[1]prog!$B$10</definedName>
    <definedName name="nivo" localSheetId="0">#REF!</definedName>
    <definedName name="nivo">#REF!</definedName>
    <definedName name="Recipients">[1]recipients!$C$10:$C$49</definedName>
    <definedName name="return">[1]prog!$K$53</definedName>
    <definedName name="stores">[1]prog!$D$50:$D$91</definedName>
    <definedName name="suppl_record">[1]Translation!$C$117:$C$118</definedName>
    <definedName name="Suppliers">[1]Origin_Cons!$D$15:$D$44</definedName>
    <definedName name="Supplies_list">[1]supplies!$C$5:$C$34</definedName>
    <definedName name="temp">[1]Translation!$C$46:$C$48</definedName>
    <definedName name="Type_issues">[1]prog!$K$57:$K$62</definedName>
    <definedName name="Type_reception">[1]prog!$K$50:$K$55</definedName>
    <definedName name="Vaccines">OFFSET([1]vaccines!$C$144,0,0,COUNTA([1]vaccines!$C:$C)-1,1)</definedName>
    <definedName name="vax">[1]Translation!$C$514</definedName>
    <definedName name="vax_record">[1]Translation!$C$114:$C$116</definedName>
    <definedName name="vax_routine">[1]forecast!$B$12:$B$22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9" i="48" l="1"/>
  <c r="Q11" i="48"/>
  <c r="Q12" i="48"/>
  <c r="Q13" i="48"/>
  <c r="Q14" i="48"/>
  <c r="Q15" i="48"/>
  <c r="Q16" i="48"/>
  <c r="Q17" i="48"/>
  <c r="Q18" i="48"/>
  <c r="Q19" i="48"/>
  <c r="Q20" i="48"/>
  <c r="Q21" i="48"/>
  <c r="Q22" i="48"/>
  <c r="Q23" i="48"/>
  <c r="Q24" i="48"/>
  <c r="Q25" i="48"/>
  <c r="Q26" i="48"/>
  <c r="Q27" i="48"/>
  <c r="Q28" i="48"/>
  <c r="Q29" i="48"/>
  <c r="Q30" i="48"/>
  <c r="Q31" i="48"/>
  <c r="Q32" i="48"/>
  <c r="Q33" i="48"/>
  <c r="Q34" i="48"/>
  <c r="Q35" i="48"/>
  <c r="Q36" i="48"/>
  <c r="Q37" i="48"/>
  <c r="Q38" i="48"/>
  <c r="Q10" i="48"/>
  <c r="V11" i="45"/>
  <c r="V12" i="45"/>
  <c r="V13" i="45"/>
  <c r="V14" i="45"/>
  <c r="V15" i="45"/>
  <c r="V16" i="45"/>
  <c r="V17" i="45"/>
  <c r="V18" i="45"/>
  <c r="V19" i="45"/>
  <c r="V20" i="45"/>
  <c r="V21" i="45"/>
  <c r="V22" i="45"/>
  <c r="V23" i="45"/>
  <c r="V24" i="45"/>
  <c r="V25" i="45"/>
  <c r="V26" i="45"/>
  <c r="V27" i="45"/>
  <c r="V28" i="45"/>
  <c r="V29" i="45"/>
  <c r="V30" i="45"/>
  <c r="V31" i="45"/>
  <c r="V32" i="45"/>
  <c r="V33" i="45"/>
  <c r="V34" i="45"/>
  <c r="V35" i="45"/>
  <c r="V36" i="45"/>
  <c r="V37" i="45"/>
  <c r="V38" i="45"/>
  <c r="V39" i="45"/>
  <c r="V10" i="45"/>
  <c r="J13" i="1"/>
  <c r="J14" i="1"/>
  <c r="J15" i="1"/>
  <c r="J16" i="1"/>
  <c r="J17" i="1"/>
  <c r="J18" i="1"/>
  <c r="J19" i="1"/>
  <c r="J20" i="1"/>
  <c r="J21" i="1"/>
  <c r="D6" i="4"/>
  <c r="D6" i="23"/>
  <c r="A4" i="44"/>
  <c r="A3" i="44"/>
  <c r="B2" i="1"/>
  <c r="A22" i="28"/>
  <c r="A13" i="28"/>
  <c r="G7" i="44"/>
  <c r="F7" i="44"/>
  <c r="H7" i="44"/>
  <c r="D5" i="4"/>
  <c r="H16" i="44"/>
  <c r="H15" i="44"/>
  <c r="H14" i="44"/>
  <c r="H13" i="44"/>
  <c r="B3" i="44"/>
  <c r="B4" i="44"/>
  <c r="A1" i="44"/>
  <c r="S7" i="21"/>
  <c r="E52" i="42"/>
  <c r="D38" i="1"/>
  <c r="E39" i="4"/>
  <c r="L38" i="45"/>
  <c r="L37" i="45"/>
  <c r="L36" i="45"/>
  <c r="L35" i="45"/>
  <c r="L34" i="45"/>
  <c r="L33" i="45"/>
  <c r="L32" i="45"/>
  <c r="L31" i="45"/>
  <c r="L30" i="45"/>
  <c r="L29" i="45"/>
  <c r="L28" i="45"/>
  <c r="L27" i="45"/>
  <c r="L26" i="45"/>
  <c r="L25" i="45"/>
  <c r="L24" i="45"/>
  <c r="L23" i="45"/>
  <c r="L22" i="45"/>
  <c r="L21" i="45"/>
  <c r="L20" i="45"/>
  <c r="L19" i="45"/>
  <c r="L18" i="45"/>
  <c r="L17" i="45"/>
  <c r="L16" i="45"/>
  <c r="L15" i="45"/>
  <c r="L14" i="45"/>
  <c r="L13" i="45"/>
  <c r="L12" i="45"/>
  <c r="L11" i="45"/>
  <c r="AF7" i="4"/>
  <c r="L10" i="45"/>
  <c r="H13" i="26"/>
  <c r="L13" i="26"/>
  <c r="I13" i="26"/>
  <c r="J13" i="26"/>
  <c r="K13" i="26"/>
  <c r="N11" i="48"/>
  <c r="H14" i="26"/>
  <c r="L14" i="26"/>
  <c r="I14" i="26"/>
  <c r="J14" i="26"/>
  <c r="K14" i="26"/>
  <c r="N12" i="48"/>
  <c r="H15" i="26"/>
  <c r="L15" i="26"/>
  <c r="I15" i="26"/>
  <c r="J15" i="26"/>
  <c r="K15" i="26"/>
  <c r="N13" i="48"/>
  <c r="H16" i="26"/>
  <c r="L16" i="26"/>
  <c r="I16" i="26"/>
  <c r="J16" i="26"/>
  <c r="K16" i="26"/>
  <c r="N14" i="48"/>
  <c r="H17" i="26"/>
  <c r="L17" i="26"/>
  <c r="I17" i="26"/>
  <c r="J17" i="26"/>
  <c r="K17" i="26"/>
  <c r="N15" i="48"/>
  <c r="H18" i="26"/>
  <c r="L18" i="26"/>
  <c r="I18" i="26"/>
  <c r="J18" i="26"/>
  <c r="K18" i="26"/>
  <c r="N16" i="48"/>
  <c r="H19" i="26"/>
  <c r="L19" i="26"/>
  <c r="I19" i="26"/>
  <c r="J19" i="26"/>
  <c r="K19" i="26"/>
  <c r="N17" i="48"/>
  <c r="H20" i="26"/>
  <c r="L20" i="26"/>
  <c r="I20" i="26"/>
  <c r="J20" i="26"/>
  <c r="K20" i="26"/>
  <c r="N18" i="48"/>
  <c r="H21" i="26"/>
  <c r="L21" i="26"/>
  <c r="I21" i="26"/>
  <c r="J21" i="26"/>
  <c r="K21" i="26"/>
  <c r="N19" i="48"/>
  <c r="H22" i="26"/>
  <c r="L22" i="26"/>
  <c r="I22" i="26"/>
  <c r="J22" i="26"/>
  <c r="K22" i="26"/>
  <c r="N20" i="48"/>
  <c r="H23" i="26"/>
  <c r="L23" i="26"/>
  <c r="I23" i="26"/>
  <c r="J23" i="26"/>
  <c r="K23" i="26"/>
  <c r="N21" i="48"/>
  <c r="H24" i="26"/>
  <c r="L24" i="26"/>
  <c r="I24" i="26"/>
  <c r="J24" i="26"/>
  <c r="K24" i="26"/>
  <c r="N22" i="48"/>
  <c r="H25" i="26"/>
  <c r="L25" i="26"/>
  <c r="I25" i="26"/>
  <c r="J25" i="26"/>
  <c r="K25" i="26"/>
  <c r="N23" i="48"/>
  <c r="H26" i="26"/>
  <c r="L26" i="26"/>
  <c r="I26" i="26"/>
  <c r="J26" i="26"/>
  <c r="K26" i="26"/>
  <c r="N24" i="48"/>
  <c r="H27" i="26"/>
  <c r="L27" i="26"/>
  <c r="I27" i="26"/>
  <c r="J27" i="26"/>
  <c r="K27" i="26"/>
  <c r="N25" i="48"/>
  <c r="H28" i="26"/>
  <c r="L28" i="26"/>
  <c r="I28" i="26"/>
  <c r="J28" i="26"/>
  <c r="K28" i="26"/>
  <c r="N26" i="48"/>
  <c r="H29" i="26"/>
  <c r="L29" i="26"/>
  <c r="I29" i="26"/>
  <c r="J29" i="26"/>
  <c r="K29" i="26"/>
  <c r="N27" i="48"/>
  <c r="H30" i="26"/>
  <c r="L30" i="26"/>
  <c r="I30" i="26"/>
  <c r="J30" i="26"/>
  <c r="K30" i="26"/>
  <c r="N28" i="48"/>
  <c r="H31" i="26"/>
  <c r="L31" i="26"/>
  <c r="I31" i="26"/>
  <c r="J31" i="26"/>
  <c r="K31" i="26"/>
  <c r="N29" i="48"/>
  <c r="H32" i="26"/>
  <c r="L32" i="26"/>
  <c r="I32" i="26"/>
  <c r="J32" i="26"/>
  <c r="K32" i="26"/>
  <c r="N30" i="48"/>
  <c r="H33" i="26"/>
  <c r="L33" i="26"/>
  <c r="I33" i="26"/>
  <c r="J33" i="26"/>
  <c r="K33" i="26"/>
  <c r="N31" i="48"/>
  <c r="H34" i="26"/>
  <c r="L34" i="26"/>
  <c r="I34" i="26"/>
  <c r="J34" i="26"/>
  <c r="K34" i="26"/>
  <c r="N32" i="48"/>
  <c r="H35" i="26"/>
  <c r="L35" i="26"/>
  <c r="I35" i="26"/>
  <c r="J35" i="26"/>
  <c r="K35" i="26"/>
  <c r="N33" i="48"/>
  <c r="H36" i="26"/>
  <c r="L36" i="26"/>
  <c r="I36" i="26"/>
  <c r="J36" i="26"/>
  <c r="K36" i="26"/>
  <c r="N34" i="48"/>
  <c r="H37" i="26"/>
  <c r="L37" i="26"/>
  <c r="I37" i="26"/>
  <c r="J37" i="26"/>
  <c r="K37" i="26"/>
  <c r="N35" i="48"/>
  <c r="H38" i="26"/>
  <c r="L38" i="26"/>
  <c r="I38" i="26"/>
  <c r="J38" i="26"/>
  <c r="K38" i="26"/>
  <c r="N36" i="48"/>
  <c r="H39" i="26"/>
  <c r="L39" i="26"/>
  <c r="I39" i="26"/>
  <c r="J39" i="26"/>
  <c r="K39" i="26"/>
  <c r="N37" i="48"/>
  <c r="H40" i="26"/>
  <c r="L40" i="26"/>
  <c r="I40" i="26"/>
  <c r="J40" i="26"/>
  <c r="K40" i="26"/>
  <c r="N38" i="48"/>
  <c r="H41" i="26"/>
  <c r="L41" i="26"/>
  <c r="I41" i="26"/>
  <c r="J41" i="26"/>
  <c r="K41" i="26"/>
  <c r="I12" i="26"/>
  <c r="J12" i="26"/>
  <c r="K12" i="26"/>
  <c r="H12" i="26"/>
  <c r="L12" i="26"/>
  <c r="N10" i="48"/>
  <c r="K42" i="26"/>
  <c r="C18" i="38"/>
  <c r="D18" i="38"/>
  <c r="E18" i="38"/>
  <c r="F11" i="38"/>
  <c r="F12" i="38"/>
  <c r="F13" i="38"/>
  <c r="F14" i="38"/>
  <c r="F15" i="38"/>
  <c r="F16" i="38"/>
  <c r="F17" i="38"/>
  <c r="F9" i="38"/>
  <c r="F10" i="38"/>
  <c r="F18" i="38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J42" i="26"/>
  <c r="I42" i="26"/>
  <c r="C51" i="28"/>
  <c r="B2" i="23"/>
  <c r="AB4" i="23"/>
  <c r="W4" i="23"/>
  <c r="L42" i="26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8" i="48"/>
  <c r="H38" i="48"/>
  <c r="B37" i="48"/>
  <c r="H37" i="48"/>
  <c r="B36" i="48"/>
  <c r="H36" i="48"/>
  <c r="B35" i="48"/>
  <c r="B34" i="48"/>
  <c r="H34" i="48"/>
  <c r="B33" i="48"/>
  <c r="H33" i="48"/>
  <c r="B32" i="48"/>
  <c r="H32" i="48"/>
  <c r="B31" i="48"/>
  <c r="B30" i="48"/>
  <c r="B29" i="48"/>
  <c r="H29" i="48"/>
  <c r="B28" i="48"/>
  <c r="H28" i="48"/>
  <c r="B27" i="48"/>
  <c r="B26" i="48"/>
  <c r="H26" i="48"/>
  <c r="B25" i="48"/>
  <c r="H25" i="48"/>
  <c r="B24" i="48"/>
  <c r="H24" i="48"/>
  <c r="B23" i="48"/>
  <c r="H23" i="48"/>
  <c r="B22" i="48"/>
  <c r="H22" i="48"/>
  <c r="B21" i="48"/>
  <c r="H21" i="48"/>
  <c r="B20" i="48"/>
  <c r="B19" i="48"/>
  <c r="B18" i="48"/>
  <c r="B17" i="48"/>
  <c r="B16" i="48"/>
  <c r="B15" i="48"/>
  <c r="B14" i="48"/>
  <c r="B13" i="48"/>
  <c r="B12" i="48"/>
  <c r="B11" i="48"/>
  <c r="B10" i="48"/>
  <c r="C8" i="48"/>
  <c r="B8" i="48"/>
  <c r="I6" i="48"/>
  <c r="E6" i="48"/>
  <c r="B6" i="48"/>
  <c r="B2" i="48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E8" i="4"/>
  <c r="H41" i="4"/>
  <c r="G8" i="4"/>
  <c r="H42" i="4"/>
  <c r="I8" i="4"/>
  <c r="H43" i="4"/>
  <c r="K8" i="4"/>
  <c r="T8" i="4"/>
  <c r="E9" i="4"/>
  <c r="G9" i="4"/>
  <c r="I9" i="4"/>
  <c r="K9" i="4"/>
  <c r="R10" i="23"/>
  <c r="S10" i="23"/>
  <c r="E10" i="4"/>
  <c r="G10" i="4"/>
  <c r="P10" i="4"/>
  <c r="I10" i="4"/>
  <c r="K10" i="4"/>
  <c r="R11" i="23"/>
  <c r="S11" i="23"/>
  <c r="E11" i="4"/>
  <c r="G11" i="4"/>
  <c r="I11" i="4"/>
  <c r="K11" i="4"/>
  <c r="E12" i="4"/>
  <c r="G12" i="4"/>
  <c r="H13" i="23"/>
  <c r="I12" i="4"/>
  <c r="M13" i="23"/>
  <c r="N13" i="23"/>
  <c r="K12" i="4"/>
  <c r="E13" i="4"/>
  <c r="G13" i="4"/>
  <c r="P13" i="4"/>
  <c r="I13" i="4"/>
  <c r="K13" i="4"/>
  <c r="T13" i="4"/>
  <c r="E14" i="4"/>
  <c r="G14" i="4"/>
  <c r="H15" i="23"/>
  <c r="I14" i="4"/>
  <c r="K14" i="4"/>
  <c r="U14" i="4"/>
  <c r="E15" i="4"/>
  <c r="G15" i="4"/>
  <c r="I15" i="4"/>
  <c r="M16" i="23"/>
  <c r="N16" i="23"/>
  <c r="K15" i="4"/>
  <c r="R16" i="23"/>
  <c r="S16" i="23"/>
  <c r="E16" i="4"/>
  <c r="G16" i="4"/>
  <c r="P16" i="4"/>
  <c r="I16" i="4"/>
  <c r="K16" i="4"/>
  <c r="E17" i="4"/>
  <c r="G17" i="4"/>
  <c r="I17" i="4"/>
  <c r="K17" i="4"/>
  <c r="R18" i="23"/>
  <c r="S18" i="23"/>
  <c r="E18" i="4"/>
  <c r="G18" i="4"/>
  <c r="I18" i="4"/>
  <c r="K18" i="4"/>
  <c r="U18" i="4"/>
  <c r="E19" i="4"/>
  <c r="G19" i="4"/>
  <c r="H20" i="23"/>
  <c r="I20" i="23"/>
  <c r="I19" i="4"/>
  <c r="K19" i="4"/>
  <c r="T19" i="4"/>
  <c r="E20" i="4"/>
  <c r="G20" i="4"/>
  <c r="I20" i="4"/>
  <c r="J20" i="4"/>
  <c r="K20" i="4"/>
  <c r="E21" i="4"/>
  <c r="G21" i="4"/>
  <c r="P21" i="4"/>
  <c r="I21" i="4"/>
  <c r="M22" i="23"/>
  <c r="N22" i="23"/>
  <c r="P22" i="23"/>
  <c r="K21" i="4"/>
  <c r="E22" i="4"/>
  <c r="G22" i="4"/>
  <c r="Q22" i="4"/>
  <c r="I22" i="4"/>
  <c r="S22" i="4"/>
  <c r="K22" i="4"/>
  <c r="E23" i="4"/>
  <c r="G23" i="4"/>
  <c r="P23" i="4"/>
  <c r="I23" i="4"/>
  <c r="M24" i="23"/>
  <c r="K23" i="4"/>
  <c r="R24" i="23"/>
  <c r="S24" i="23"/>
  <c r="E24" i="4"/>
  <c r="G24" i="4"/>
  <c r="P24" i="4"/>
  <c r="I24" i="4"/>
  <c r="R24" i="4"/>
  <c r="K24" i="4"/>
  <c r="U24" i="4"/>
  <c r="E25" i="4"/>
  <c r="G25" i="4"/>
  <c r="I25" i="4"/>
  <c r="K25" i="4"/>
  <c r="E26" i="4"/>
  <c r="G26" i="4"/>
  <c r="Q26" i="4"/>
  <c r="I26" i="4"/>
  <c r="S26" i="4"/>
  <c r="K26" i="4"/>
  <c r="E27" i="4"/>
  <c r="G27" i="4"/>
  <c r="I27" i="4"/>
  <c r="R27" i="4"/>
  <c r="K27" i="4"/>
  <c r="T27" i="4"/>
  <c r="E28" i="4"/>
  <c r="G28" i="4"/>
  <c r="I28" i="4"/>
  <c r="S28" i="4"/>
  <c r="K28" i="4"/>
  <c r="E29" i="4"/>
  <c r="G29" i="4"/>
  <c r="P29" i="4"/>
  <c r="I29" i="4"/>
  <c r="K29" i="4"/>
  <c r="T29" i="4"/>
  <c r="E30" i="4"/>
  <c r="G30" i="4"/>
  <c r="I30" i="4"/>
  <c r="K30" i="4"/>
  <c r="T30" i="4"/>
  <c r="E31" i="4"/>
  <c r="G31" i="4"/>
  <c r="P31" i="4"/>
  <c r="I31" i="4"/>
  <c r="R31" i="4"/>
  <c r="K31" i="4"/>
  <c r="E32" i="4"/>
  <c r="G32" i="4"/>
  <c r="I32" i="4"/>
  <c r="S32" i="4"/>
  <c r="K32" i="4"/>
  <c r="E33" i="4"/>
  <c r="G33" i="4"/>
  <c r="P33" i="4"/>
  <c r="I33" i="4"/>
  <c r="S33" i="4"/>
  <c r="K33" i="4"/>
  <c r="T33" i="4"/>
  <c r="E34" i="4"/>
  <c r="G34" i="4"/>
  <c r="H35" i="23"/>
  <c r="I35" i="23"/>
  <c r="I34" i="4"/>
  <c r="S34" i="4"/>
  <c r="K34" i="4"/>
  <c r="E35" i="4"/>
  <c r="G35" i="4"/>
  <c r="H36" i="23"/>
  <c r="I36" i="23"/>
  <c r="I35" i="4"/>
  <c r="M36" i="23"/>
  <c r="N36" i="23"/>
  <c r="K35" i="4"/>
  <c r="R36" i="23"/>
  <c r="S36" i="23"/>
  <c r="T36" i="23"/>
  <c r="E36" i="4"/>
  <c r="G36" i="4"/>
  <c r="H37" i="23"/>
  <c r="I37" i="23"/>
  <c r="I36" i="4"/>
  <c r="M37" i="23"/>
  <c r="N37" i="23"/>
  <c r="P37" i="23"/>
  <c r="K36" i="4"/>
  <c r="E7" i="4"/>
  <c r="G7" i="4"/>
  <c r="I7" i="4"/>
  <c r="R7" i="4"/>
  <c r="K7" i="4"/>
  <c r="C8" i="45"/>
  <c r="H42" i="26"/>
  <c r="C13" i="26"/>
  <c r="C14" i="26"/>
  <c r="C15" i="26"/>
  <c r="D15" i="26"/>
  <c r="E15" i="26"/>
  <c r="C16" i="26"/>
  <c r="C17" i="26"/>
  <c r="D17" i="26"/>
  <c r="E17" i="26"/>
  <c r="C18" i="26"/>
  <c r="D18" i="26"/>
  <c r="E18" i="26"/>
  <c r="C19" i="26"/>
  <c r="C20" i="26"/>
  <c r="D20" i="26"/>
  <c r="E20" i="26"/>
  <c r="C21" i="26"/>
  <c r="C22" i="26"/>
  <c r="C23" i="26"/>
  <c r="C24" i="26"/>
  <c r="C25" i="26"/>
  <c r="D25" i="26"/>
  <c r="E25" i="26"/>
  <c r="C26" i="26"/>
  <c r="C27" i="26"/>
  <c r="D27" i="26"/>
  <c r="C28" i="26"/>
  <c r="D28" i="26"/>
  <c r="C29" i="26"/>
  <c r="D29" i="26"/>
  <c r="C30" i="26"/>
  <c r="D30" i="26"/>
  <c r="C31" i="26"/>
  <c r="D31" i="26"/>
  <c r="C32" i="26"/>
  <c r="D32" i="26"/>
  <c r="C33" i="26"/>
  <c r="D33" i="26"/>
  <c r="C34" i="26"/>
  <c r="D34" i="26"/>
  <c r="C35" i="26"/>
  <c r="D35" i="26"/>
  <c r="C36" i="26"/>
  <c r="D36" i="26"/>
  <c r="C37" i="26"/>
  <c r="D37" i="26"/>
  <c r="C38" i="26"/>
  <c r="D38" i="26"/>
  <c r="C39" i="26"/>
  <c r="D39" i="26"/>
  <c r="C40" i="26"/>
  <c r="D40" i="26"/>
  <c r="C41" i="26"/>
  <c r="D41" i="26"/>
  <c r="E41" i="26"/>
  <c r="C12" i="26"/>
  <c r="E51" i="42"/>
  <c r="E52" i="26"/>
  <c r="B11" i="26"/>
  <c r="J9" i="1"/>
  <c r="I17" i="42"/>
  <c r="J10" i="1"/>
  <c r="I18" i="42"/>
  <c r="J8" i="1"/>
  <c r="I16" i="42"/>
  <c r="G4" i="1"/>
  <c r="L6" i="36"/>
  <c r="X4" i="4"/>
  <c r="H44" i="4"/>
  <c r="B38" i="45"/>
  <c r="B37" i="45"/>
  <c r="B36" i="45"/>
  <c r="B35" i="45"/>
  <c r="B34" i="45"/>
  <c r="B33" i="45"/>
  <c r="M33" i="45"/>
  <c r="B32" i="45"/>
  <c r="B31" i="45"/>
  <c r="B30" i="45"/>
  <c r="B29" i="45"/>
  <c r="M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15" i="45"/>
  <c r="B14" i="45"/>
  <c r="B13" i="45"/>
  <c r="B12" i="45"/>
  <c r="B11" i="45"/>
  <c r="B10" i="45"/>
  <c r="B8" i="45"/>
  <c r="B2" i="45"/>
  <c r="N6" i="45"/>
  <c r="E4" i="1"/>
  <c r="E5" i="28"/>
  <c r="G6" i="45"/>
  <c r="C4" i="1"/>
  <c r="C6" i="36"/>
  <c r="B6" i="45"/>
  <c r="O4" i="4"/>
  <c r="S13" i="44"/>
  <c r="S14" i="44"/>
  <c r="S15" i="44"/>
  <c r="S16" i="44"/>
  <c r="S17" i="44"/>
  <c r="S19" i="44"/>
  <c r="S20" i="44"/>
  <c r="S21" i="44"/>
  <c r="S22" i="44"/>
  <c r="S23" i="44"/>
  <c r="S24" i="44"/>
  <c r="S25" i="44"/>
  <c r="S26" i="44"/>
  <c r="S27" i="44"/>
  <c r="S28" i="44"/>
  <c r="S30" i="44"/>
  <c r="S31" i="44"/>
  <c r="B2" i="36"/>
  <c r="B1" i="43"/>
  <c r="D46" i="42"/>
  <c r="C46" i="42"/>
  <c r="B2" i="42"/>
  <c r="B10" i="42"/>
  <c r="B8" i="42"/>
  <c r="B6" i="42"/>
  <c r="F42" i="26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U23" i="21"/>
  <c r="B22" i="21"/>
  <c r="U22" i="21"/>
  <c r="B21" i="21"/>
  <c r="U21" i="21"/>
  <c r="B20" i="21"/>
  <c r="U20" i="21"/>
  <c r="B19" i="21"/>
  <c r="U19" i="21"/>
  <c r="B18" i="21"/>
  <c r="U18" i="21"/>
  <c r="B17" i="21"/>
  <c r="B16" i="21"/>
  <c r="B15" i="21"/>
  <c r="B14" i="21"/>
  <c r="B13" i="21"/>
  <c r="B12" i="21"/>
  <c r="B11" i="21"/>
  <c r="B10" i="21"/>
  <c r="B9" i="21"/>
  <c r="B8" i="21"/>
  <c r="U8" i="21"/>
  <c r="Y38" i="21"/>
  <c r="B9" i="43"/>
  <c r="B7" i="43"/>
  <c r="B5" i="43"/>
  <c r="X38" i="21"/>
  <c r="P48" i="21"/>
  <c r="Z38" i="21"/>
  <c r="B46" i="28"/>
  <c r="I43" i="36"/>
  <c r="E56" i="26"/>
  <c r="B51" i="28"/>
  <c r="I44" i="36"/>
  <c r="I45" i="36"/>
  <c r="I46" i="36"/>
  <c r="I47" i="36"/>
  <c r="L11" i="36"/>
  <c r="M11" i="36"/>
  <c r="M14" i="36"/>
  <c r="M16" i="36"/>
  <c r="M18" i="36"/>
  <c r="M19" i="36"/>
  <c r="M20" i="36"/>
  <c r="M21" i="36"/>
  <c r="M22" i="36"/>
  <c r="M23" i="36"/>
  <c r="M24" i="36"/>
  <c r="M25" i="36"/>
  <c r="M26" i="36"/>
  <c r="M27" i="36"/>
  <c r="M28" i="36"/>
  <c r="M29" i="36"/>
  <c r="M30" i="36"/>
  <c r="M31" i="36"/>
  <c r="M32" i="36"/>
  <c r="M33" i="36"/>
  <c r="M34" i="36"/>
  <c r="M35" i="36"/>
  <c r="M36" i="36"/>
  <c r="M37" i="36"/>
  <c r="M38" i="36"/>
  <c r="M39" i="36"/>
  <c r="M40" i="36"/>
  <c r="M38" i="22"/>
  <c r="C34" i="28"/>
  <c r="R14" i="23"/>
  <c r="S14" i="23"/>
  <c r="T14" i="23"/>
  <c r="S6" i="22"/>
  <c r="R6" i="22"/>
  <c r="Q6" i="22"/>
  <c r="P6" i="22"/>
  <c r="O6" i="22"/>
  <c r="M6" i="22"/>
  <c r="L6" i="22"/>
  <c r="K6" i="22"/>
  <c r="A5" i="32"/>
  <c r="J5" i="32"/>
  <c r="F5" i="32"/>
  <c r="A1" i="32"/>
  <c r="A1" i="38"/>
  <c r="A1" i="28"/>
  <c r="D7" i="28"/>
  <c r="D5" i="28"/>
  <c r="H5" i="38"/>
  <c r="D5" i="38"/>
  <c r="U5" i="39"/>
  <c r="J5" i="39"/>
  <c r="B6" i="26"/>
  <c r="D8" i="26"/>
  <c r="E6" i="26"/>
  <c r="K6" i="36"/>
  <c r="G6" i="36"/>
  <c r="N4" i="22"/>
  <c r="I4" i="22"/>
  <c r="M4" i="23"/>
  <c r="H4" i="23"/>
  <c r="P4" i="21"/>
  <c r="J4" i="21"/>
  <c r="F4" i="4"/>
  <c r="B6" i="36"/>
  <c r="B4" i="23"/>
  <c r="B9" i="36"/>
  <c r="B5" i="22"/>
  <c r="B5" i="23"/>
  <c r="B7" i="21"/>
  <c r="Q8" i="22"/>
  <c r="Q9" i="22"/>
  <c r="Q10" i="22"/>
  <c r="Q11" i="22"/>
  <c r="Q12" i="22"/>
  <c r="Q13" i="22"/>
  <c r="Q14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0" i="22"/>
  <c r="Q31" i="22"/>
  <c r="Q32" i="22"/>
  <c r="Q33" i="22"/>
  <c r="Q34" i="22"/>
  <c r="Q35" i="22"/>
  <c r="Q36" i="22"/>
  <c r="Q37" i="22"/>
  <c r="Q15" i="22"/>
  <c r="P37" i="22"/>
  <c r="P36" i="22"/>
  <c r="P35" i="22"/>
  <c r="P34" i="22"/>
  <c r="P33" i="22"/>
  <c r="P32" i="22"/>
  <c r="P31" i="22"/>
  <c r="P30" i="22"/>
  <c r="P29" i="22"/>
  <c r="P28" i="22"/>
  <c r="P27" i="22"/>
  <c r="P26" i="22"/>
  <c r="P25" i="22"/>
  <c r="P24" i="22"/>
  <c r="P23" i="22"/>
  <c r="P22" i="22"/>
  <c r="P21" i="22"/>
  <c r="P20" i="22"/>
  <c r="P19" i="22"/>
  <c r="P18" i="22"/>
  <c r="P17" i="22"/>
  <c r="P16" i="22"/>
  <c r="P15" i="22"/>
  <c r="P14" i="22"/>
  <c r="P13" i="22"/>
  <c r="P12" i="22"/>
  <c r="P11" i="22"/>
  <c r="P10" i="22"/>
  <c r="P9" i="22"/>
  <c r="J11" i="1"/>
  <c r="I19" i="42"/>
  <c r="AE10" i="4"/>
  <c r="I13" i="45"/>
  <c r="J12" i="1"/>
  <c r="I20" i="42"/>
  <c r="AE11" i="4"/>
  <c r="I14" i="45"/>
  <c r="I22" i="42"/>
  <c r="I23" i="42"/>
  <c r="I24" i="42"/>
  <c r="I25" i="42"/>
  <c r="AE16" i="4"/>
  <c r="I19" i="45"/>
  <c r="I27" i="42"/>
  <c r="I28" i="42"/>
  <c r="AE19" i="4"/>
  <c r="I22" i="45"/>
  <c r="I29" i="42"/>
  <c r="J22" i="1"/>
  <c r="I30" i="4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A5" i="38"/>
  <c r="C5" i="39"/>
  <c r="C1" i="39"/>
  <c r="M48" i="36"/>
  <c r="B12" i="36"/>
  <c r="L47" i="36"/>
  <c r="L12" i="36"/>
  <c r="M12" i="36"/>
  <c r="B13" i="36"/>
  <c r="L13" i="36"/>
  <c r="M13" i="36"/>
  <c r="B14" i="36"/>
  <c r="L14" i="36"/>
  <c r="B15" i="36"/>
  <c r="L15" i="36"/>
  <c r="M15" i="36"/>
  <c r="B16" i="36"/>
  <c r="L16" i="36"/>
  <c r="B17" i="36"/>
  <c r="L17" i="36"/>
  <c r="M17" i="36"/>
  <c r="B18" i="36"/>
  <c r="L18" i="36"/>
  <c r="B19" i="36"/>
  <c r="L19" i="36"/>
  <c r="B20" i="36"/>
  <c r="L20" i="36"/>
  <c r="B21" i="36"/>
  <c r="L21" i="36"/>
  <c r="B22" i="36"/>
  <c r="L22" i="36"/>
  <c r="B23" i="36"/>
  <c r="L23" i="36"/>
  <c r="B24" i="36"/>
  <c r="L24" i="36"/>
  <c r="B25" i="36"/>
  <c r="L25" i="36"/>
  <c r="B26" i="36"/>
  <c r="L26" i="36"/>
  <c r="B27" i="36"/>
  <c r="L27" i="36"/>
  <c r="B28" i="36"/>
  <c r="L28" i="36"/>
  <c r="B29" i="36"/>
  <c r="L29" i="36"/>
  <c r="B30" i="36"/>
  <c r="L30" i="36"/>
  <c r="B31" i="36"/>
  <c r="L31" i="36"/>
  <c r="B32" i="36"/>
  <c r="L32" i="36"/>
  <c r="B33" i="36"/>
  <c r="L33" i="36"/>
  <c r="B34" i="36"/>
  <c r="L34" i="36"/>
  <c r="B35" i="36"/>
  <c r="L35" i="36"/>
  <c r="B36" i="36"/>
  <c r="L36" i="36"/>
  <c r="B37" i="36"/>
  <c r="L37" i="36"/>
  <c r="B38" i="36"/>
  <c r="L38" i="36"/>
  <c r="B39" i="36"/>
  <c r="L39" i="36"/>
  <c r="B40" i="36"/>
  <c r="L40" i="36"/>
  <c r="B11" i="36"/>
  <c r="L46" i="36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B2" i="4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O38" i="22"/>
  <c r="C35" i="28"/>
  <c r="N38" i="22"/>
  <c r="L38" i="22"/>
  <c r="C33" i="28"/>
  <c r="K38" i="22"/>
  <c r="C32" i="28"/>
  <c r="G38" i="22"/>
  <c r="B32" i="28"/>
  <c r="H38" i="22"/>
  <c r="B33" i="28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7" i="4"/>
  <c r="B9" i="23"/>
  <c r="P8" i="22"/>
  <c r="I7" i="21"/>
  <c r="L7" i="21"/>
  <c r="O7" i="21"/>
  <c r="R7" i="21"/>
  <c r="H7" i="21"/>
  <c r="K7" i="21"/>
  <c r="N7" i="21"/>
  <c r="Q7" i="21"/>
  <c r="G7" i="21"/>
  <c r="J7" i="21"/>
  <c r="M7" i="21"/>
  <c r="P7" i="21"/>
  <c r="B12" i="26"/>
  <c r="B8" i="22"/>
  <c r="B4" i="22"/>
  <c r="B2" i="22"/>
  <c r="C6" i="4"/>
  <c r="B6" i="4"/>
  <c r="B4" i="4"/>
  <c r="B2" i="21"/>
  <c r="B4" i="21"/>
  <c r="D53" i="28"/>
  <c r="A5" i="28"/>
  <c r="I38" i="1"/>
  <c r="F38" i="1"/>
  <c r="G38" i="1"/>
  <c r="H38" i="1"/>
  <c r="B2" i="26"/>
  <c r="B8" i="23"/>
  <c r="U19" i="4"/>
  <c r="D4" i="21"/>
  <c r="U10" i="21"/>
  <c r="D32" i="28"/>
  <c r="R31" i="23"/>
  <c r="S31" i="23"/>
  <c r="T31" i="23"/>
  <c r="D33" i="28"/>
  <c r="I48" i="36"/>
  <c r="L34" i="4"/>
  <c r="F35" i="22"/>
  <c r="T31" i="21"/>
  <c r="U31" i="21"/>
  <c r="T24" i="21"/>
  <c r="U24" i="21"/>
  <c r="T28" i="21"/>
  <c r="U28" i="21"/>
  <c r="T32" i="21"/>
  <c r="U32" i="21"/>
  <c r="T36" i="21"/>
  <c r="U36" i="21"/>
  <c r="C9" i="23"/>
  <c r="D9" i="23"/>
  <c r="F8" i="4"/>
  <c r="C9" i="21"/>
  <c r="L30" i="48"/>
  <c r="H30" i="48"/>
  <c r="T27" i="21"/>
  <c r="U27" i="21"/>
  <c r="T35" i="21"/>
  <c r="U35" i="21"/>
  <c r="T25" i="21"/>
  <c r="U25" i="21"/>
  <c r="T29" i="21"/>
  <c r="U29" i="21"/>
  <c r="T33" i="21"/>
  <c r="U33" i="21"/>
  <c r="T37" i="21"/>
  <c r="U37" i="21"/>
  <c r="F7" i="4"/>
  <c r="O36" i="4"/>
  <c r="F36" i="4"/>
  <c r="N35" i="4"/>
  <c r="F35" i="4"/>
  <c r="N34" i="4"/>
  <c r="F34" i="4"/>
  <c r="N33" i="4"/>
  <c r="F33" i="4"/>
  <c r="C34" i="21"/>
  <c r="N32" i="4"/>
  <c r="F32" i="4"/>
  <c r="C33" i="22"/>
  <c r="F31" i="4"/>
  <c r="C32" i="22"/>
  <c r="F30" i="4"/>
  <c r="C30" i="23"/>
  <c r="D30" i="23"/>
  <c r="E30" i="23"/>
  <c r="F29" i="4"/>
  <c r="F28" i="4"/>
  <c r="C29" i="22"/>
  <c r="N27" i="4"/>
  <c r="F27" i="4"/>
  <c r="C28" i="21"/>
  <c r="F26" i="4"/>
  <c r="N25" i="4"/>
  <c r="F25" i="4"/>
  <c r="O24" i="4"/>
  <c r="F24" i="4"/>
  <c r="N23" i="4"/>
  <c r="F23" i="4"/>
  <c r="N22" i="4"/>
  <c r="F22" i="4"/>
  <c r="F21" i="4"/>
  <c r="F20" i="4"/>
  <c r="C21" i="22"/>
  <c r="N19" i="4"/>
  <c r="F19" i="4"/>
  <c r="C19" i="23"/>
  <c r="D19" i="23"/>
  <c r="E19" i="23"/>
  <c r="F18" i="4"/>
  <c r="C18" i="23"/>
  <c r="D18" i="23"/>
  <c r="E18" i="23"/>
  <c r="F17" i="4"/>
  <c r="C18" i="21"/>
  <c r="C17" i="23"/>
  <c r="D17" i="23"/>
  <c r="F17" i="23"/>
  <c r="F16" i="4"/>
  <c r="F15" i="4"/>
  <c r="C15" i="23"/>
  <c r="D15" i="23"/>
  <c r="F15" i="23"/>
  <c r="F14" i="4"/>
  <c r="F13" i="4"/>
  <c r="C14" i="21"/>
  <c r="F12" i="4"/>
  <c r="C13" i="22"/>
  <c r="F11" i="4"/>
  <c r="C11" i="23"/>
  <c r="D11" i="23"/>
  <c r="E11" i="23"/>
  <c r="F10" i="4"/>
  <c r="F9" i="4"/>
  <c r="C10" i="22"/>
  <c r="L27" i="48"/>
  <c r="H27" i="48"/>
  <c r="L31" i="48"/>
  <c r="H31" i="48"/>
  <c r="J35" i="48"/>
  <c r="H35" i="48"/>
  <c r="U14" i="21"/>
  <c r="T26" i="21"/>
  <c r="U26" i="21"/>
  <c r="T30" i="21"/>
  <c r="U30" i="21"/>
  <c r="T34" i="21"/>
  <c r="U34" i="21"/>
  <c r="H12" i="48"/>
  <c r="H16" i="48"/>
  <c r="U15" i="21"/>
  <c r="H17" i="48"/>
  <c r="U12" i="21"/>
  <c r="U16" i="21"/>
  <c r="H10" i="48"/>
  <c r="H14" i="48"/>
  <c r="H18" i="48"/>
  <c r="U11" i="21"/>
  <c r="H13" i="48"/>
  <c r="U9" i="21"/>
  <c r="U13" i="21"/>
  <c r="U17" i="21"/>
  <c r="H11" i="48"/>
  <c r="H15" i="48"/>
  <c r="H19" i="48"/>
  <c r="N11" i="4"/>
  <c r="O11" i="4"/>
  <c r="T16" i="4"/>
  <c r="U16" i="4"/>
  <c r="T23" i="21"/>
  <c r="S17" i="4"/>
  <c r="L19" i="4"/>
  <c r="F20" i="22"/>
  <c r="H28" i="4"/>
  <c r="G29" i="21"/>
  <c r="H27" i="4"/>
  <c r="G28" i="21"/>
  <c r="H28" i="21"/>
  <c r="L25" i="4"/>
  <c r="M26" i="21"/>
  <c r="O26" i="21"/>
  <c r="H20" i="4"/>
  <c r="D21" i="22"/>
  <c r="H18" i="4"/>
  <c r="D19" i="22"/>
  <c r="H9" i="4"/>
  <c r="G10" i="21"/>
  <c r="G4" i="4"/>
  <c r="H28" i="23"/>
  <c r="I28" i="23"/>
  <c r="J28" i="23"/>
  <c r="Q35" i="4"/>
  <c r="H21" i="23"/>
  <c r="I21" i="23"/>
  <c r="J21" i="23"/>
  <c r="N24" i="4"/>
  <c r="O27" i="4"/>
  <c r="O33" i="4"/>
  <c r="T18" i="4"/>
  <c r="H27" i="42"/>
  <c r="R26" i="23"/>
  <c r="S26" i="23"/>
  <c r="U26" i="23"/>
  <c r="U23" i="4"/>
  <c r="L15" i="4"/>
  <c r="M16" i="21"/>
  <c r="N16" i="21"/>
  <c r="L30" i="4"/>
  <c r="M31" i="21"/>
  <c r="O31" i="21"/>
  <c r="S35" i="4"/>
  <c r="H23" i="4"/>
  <c r="D24" i="22"/>
  <c r="Q36" i="4"/>
  <c r="H27" i="23"/>
  <c r="I27" i="23"/>
  <c r="K27" i="23"/>
  <c r="P26" i="4"/>
  <c r="F35" i="42"/>
  <c r="H29" i="23"/>
  <c r="I29" i="23"/>
  <c r="J29" i="23"/>
  <c r="C24" i="23"/>
  <c r="D24" i="23"/>
  <c r="F24" i="23"/>
  <c r="O23" i="4"/>
  <c r="H26" i="4"/>
  <c r="D27" i="22"/>
  <c r="R35" i="4"/>
  <c r="B5" i="32"/>
  <c r="M35" i="23"/>
  <c r="N35" i="23"/>
  <c r="P35" i="23"/>
  <c r="M32" i="23"/>
  <c r="N32" i="23"/>
  <c r="O32" i="23"/>
  <c r="S23" i="4"/>
  <c r="J27" i="48"/>
  <c r="K35" i="23"/>
  <c r="J35" i="23"/>
  <c r="P35" i="4"/>
  <c r="P36" i="4"/>
  <c r="X36" i="4"/>
  <c r="L33" i="4"/>
  <c r="M34" i="21"/>
  <c r="N34" i="21"/>
  <c r="P34" i="4"/>
  <c r="N14" i="4"/>
  <c r="M29" i="23"/>
  <c r="N29" i="23"/>
  <c r="P29" i="23"/>
  <c r="S36" i="4"/>
  <c r="U33" i="4"/>
  <c r="Z33" i="4"/>
  <c r="O25" i="4"/>
  <c r="Q34" i="4"/>
  <c r="C25" i="23"/>
  <c r="D25" i="23"/>
  <c r="E25" i="23"/>
  <c r="I6" i="45"/>
  <c r="C4" i="23"/>
  <c r="B5" i="28"/>
  <c r="D4" i="22"/>
  <c r="D5" i="39"/>
  <c r="H24" i="23"/>
  <c r="I24" i="23"/>
  <c r="J24" i="23"/>
  <c r="H12" i="4"/>
  <c r="G13" i="21"/>
  <c r="I13" i="21"/>
  <c r="B5" i="38"/>
  <c r="C5" i="43"/>
  <c r="Q23" i="4"/>
  <c r="X23" i="4"/>
  <c r="C4" i="4"/>
  <c r="Q4" i="21"/>
  <c r="B38" i="21"/>
  <c r="U30" i="4"/>
  <c r="H39" i="42"/>
  <c r="N29" i="4"/>
  <c r="C29" i="4"/>
  <c r="I38" i="42"/>
  <c r="AE29" i="4"/>
  <c r="I32" i="45"/>
  <c r="C25" i="4"/>
  <c r="I34" i="42"/>
  <c r="AE25" i="4"/>
  <c r="I28" i="45"/>
  <c r="G32" i="48"/>
  <c r="F32" i="48"/>
  <c r="I32" i="48"/>
  <c r="T23" i="4"/>
  <c r="T15" i="4"/>
  <c r="L23" i="4"/>
  <c r="F24" i="22"/>
  <c r="C36" i="4"/>
  <c r="AB36" i="4"/>
  <c r="I45" i="42"/>
  <c r="AE36" i="4"/>
  <c r="C28" i="4"/>
  <c r="I37" i="42"/>
  <c r="AE28" i="4"/>
  <c r="I31" i="45"/>
  <c r="C9" i="43"/>
  <c r="J28" i="4"/>
  <c r="E29" i="22"/>
  <c r="F29" i="48"/>
  <c r="G29" i="48"/>
  <c r="I29" i="48"/>
  <c r="M37" i="48"/>
  <c r="F37" i="48"/>
  <c r="G37" i="48"/>
  <c r="I37" i="48"/>
  <c r="U27" i="4"/>
  <c r="H36" i="42"/>
  <c r="U15" i="4"/>
  <c r="L27" i="4"/>
  <c r="I4" i="23"/>
  <c r="K5" i="39"/>
  <c r="R17" i="4"/>
  <c r="U29" i="4"/>
  <c r="H38" i="42"/>
  <c r="R19" i="23"/>
  <c r="S19" i="23"/>
  <c r="U19" i="23"/>
  <c r="C35" i="4"/>
  <c r="I44" i="42"/>
  <c r="AE35" i="4"/>
  <c r="I38" i="45"/>
  <c r="C31" i="4"/>
  <c r="I40" i="42"/>
  <c r="AE31" i="4"/>
  <c r="I34" i="45"/>
  <c r="C27" i="4"/>
  <c r="I36" i="42"/>
  <c r="AE27" i="4"/>
  <c r="I30" i="45"/>
  <c r="C23" i="4"/>
  <c r="I32" i="42"/>
  <c r="AE23" i="4"/>
  <c r="I26" i="45"/>
  <c r="H34" i="23"/>
  <c r="I34" i="23"/>
  <c r="K34" i="23"/>
  <c r="R30" i="23"/>
  <c r="S30" i="23"/>
  <c r="R28" i="23"/>
  <c r="S28" i="23"/>
  <c r="C26" i="23"/>
  <c r="D26" i="23"/>
  <c r="F26" i="23"/>
  <c r="R17" i="23"/>
  <c r="S17" i="23"/>
  <c r="T17" i="23"/>
  <c r="P47" i="21"/>
  <c r="B43" i="28"/>
  <c r="D43" i="28"/>
  <c r="L16" i="4"/>
  <c r="M17" i="21"/>
  <c r="N17" i="21"/>
  <c r="M26" i="48"/>
  <c r="F26" i="48"/>
  <c r="G26" i="48"/>
  <c r="I26" i="48"/>
  <c r="M30" i="48"/>
  <c r="G30" i="48"/>
  <c r="F30" i="48"/>
  <c r="I30" i="48"/>
  <c r="M34" i="48"/>
  <c r="F34" i="48"/>
  <c r="G34" i="48"/>
  <c r="I34" i="48"/>
  <c r="M38" i="48"/>
  <c r="G38" i="48"/>
  <c r="F38" i="48"/>
  <c r="I38" i="48"/>
  <c r="C33" i="4"/>
  <c r="I42" i="42"/>
  <c r="AE33" i="4"/>
  <c r="I36" i="45"/>
  <c r="G28" i="48"/>
  <c r="F28" i="48"/>
  <c r="I28" i="48"/>
  <c r="G36" i="48"/>
  <c r="F36" i="48"/>
  <c r="I36" i="48"/>
  <c r="S24" i="4"/>
  <c r="Y24" i="4"/>
  <c r="C32" i="4"/>
  <c r="I41" i="42"/>
  <c r="AE32" i="4"/>
  <c r="I35" i="45"/>
  <c r="C24" i="4"/>
  <c r="I33" i="42"/>
  <c r="AE24" i="4"/>
  <c r="I27" i="45"/>
  <c r="I5" i="38"/>
  <c r="A18" i="38"/>
  <c r="O4" i="22"/>
  <c r="B38" i="22"/>
  <c r="M33" i="48"/>
  <c r="F33" i="48"/>
  <c r="G33" i="48"/>
  <c r="I33" i="48"/>
  <c r="U8" i="4"/>
  <c r="H17" i="42"/>
  <c r="S31" i="4"/>
  <c r="Y31" i="4"/>
  <c r="E5" i="38"/>
  <c r="R34" i="4"/>
  <c r="Y34" i="4"/>
  <c r="L18" i="4"/>
  <c r="M19" i="21"/>
  <c r="O19" i="21"/>
  <c r="C34" i="4"/>
  <c r="I43" i="42"/>
  <c r="AE34" i="4"/>
  <c r="I37" i="45"/>
  <c r="C30" i="4"/>
  <c r="I39" i="42"/>
  <c r="AE30" i="4"/>
  <c r="I33" i="45"/>
  <c r="C26" i="4"/>
  <c r="I35" i="42"/>
  <c r="AE26" i="4"/>
  <c r="I29" i="45"/>
  <c r="C22" i="4"/>
  <c r="AB22" i="4"/>
  <c r="I31" i="42"/>
  <c r="AE22" i="4"/>
  <c r="I25" i="45"/>
  <c r="C34" i="23"/>
  <c r="D34" i="23"/>
  <c r="M25" i="23"/>
  <c r="N25" i="23"/>
  <c r="M21" i="23"/>
  <c r="N21" i="23"/>
  <c r="P21" i="23"/>
  <c r="J24" i="4"/>
  <c r="E25" i="22"/>
  <c r="Q33" i="4"/>
  <c r="R32" i="4"/>
  <c r="G41" i="42"/>
  <c r="R28" i="4"/>
  <c r="G37" i="42"/>
  <c r="H36" i="4"/>
  <c r="G37" i="21"/>
  <c r="H37" i="21"/>
  <c r="F27" i="48"/>
  <c r="G27" i="48"/>
  <c r="I27" i="48"/>
  <c r="G31" i="48"/>
  <c r="F31" i="48"/>
  <c r="I31" i="48"/>
  <c r="F35" i="48"/>
  <c r="G35" i="48"/>
  <c r="I35" i="48"/>
  <c r="L26" i="48"/>
  <c r="L35" i="48"/>
  <c r="U26" i="4"/>
  <c r="Z26" i="4"/>
  <c r="R27" i="23"/>
  <c r="S27" i="23"/>
  <c r="T26" i="4"/>
  <c r="L26" i="4"/>
  <c r="M27" i="21"/>
  <c r="O27" i="21"/>
  <c r="K36" i="23"/>
  <c r="J36" i="23"/>
  <c r="N28" i="4"/>
  <c r="C29" i="23"/>
  <c r="D29" i="23"/>
  <c r="E29" i="23"/>
  <c r="L31" i="4"/>
  <c r="M32" i="21"/>
  <c r="R32" i="23"/>
  <c r="S32" i="23"/>
  <c r="T32" i="23"/>
  <c r="P25" i="4"/>
  <c r="H25" i="4"/>
  <c r="G26" i="21"/>
  <c r="R22" i="4"/>
  <c r="Y22" i="4"/>
  <c r="R23" i="4"/>
  <c r="P22" i="4"/>
  <c r="X22" i="4"/>
  <c r="M33" i="23"/>
  <c r="N33" i="23"/>
  <c r="M23" i="23"/>
  <c r="N23" i="23"/>
  <c r="P23" i="23"/>
  <c r="H10" i="4"/>
  <c r="G11" i="21"/>
  <c r="H11" i="21"/>
  <c r="H33" i="4"/>
  <c r="G34" i="21"/>
  <c r="H28" i="42"/>
  <c r="L35" i="4"/>
  <c r="F36" i="22"/>
  <c r="T35" i="4"/>
  <c r="O37" i="23"/>
  <c r="Q37" i="23"/>
  <c r="Q10" i="4"/>
  <c r="X10" i="4"/>
  <c r="R34" i="23"/>
  <c r="S34" i="23"/>
  <c r="U34" i="23"/>
  <c r="R25" i="23"/>
  <c r="S25" i="23"/>
  <c r="U25" i="23"/>
  <c r="H23" i="23"/>
  <c r="I23" i="23"/>
  <c r="K23" i="23"/>
  <c r="C12" i="23"/>
  <c r="D12" i="23"/>
  <c r="F12" i="23"/>
  <c r="L24" i="4"/>
  <c r="F25" i="22"/>
  <c r="L29" i="4"/>
  <c r="T24" i="4"/>
  <c r="H33" i="42"/>
  <c r="J31" i="4"/>
  <c r="J35" i="4"/>
  <c r="E36" i="22"/>
  <c r="J32" i="4"/>
  <c r="J33" i="21"/>
  <c r="J23" i="4"/>
  <c r="E24" i="22"/>
  <c r="J22" i="4"/>
  <c r="E23" i="22"/>
  <c r="F6" i="48"/>
  <c r="X4" i="23"/>
  <c r="B37" i="4"/>
  <c r="AC4" i="23"/>
  <c r="G5" i="32"/>
  <c r="H6" i="36"/>
  <c r="C7" i="43"/>
  <c r="V5" i="39"/>
  <c r="O6" i="45"/>
  <c r="B39" i="45"/>
  <c r="H35" i="4"/>
  <c r="J4" i="22"/>
  <c r="K4" i="21"/>
  <c r="F6" i="26"/>
  <c r="C8" i="42"/>
  <c r="H14" i="4"/>
  <c r="D15" i="22"/>
  <c r="E7" i="28"/>
  <c r="K5" i="32"/>
  <c r="H22" i="4"/>
  <c r="H34" i="4"/>
  <c r="D35" i="22"/>
  <c r="B38" i="1"/>
  <c r="L28" i="4"/>
  <c r="L21" i="4"/>
  <c r="M22" i="21"/>
  <c r="L9" i="4"/>
  <c r="F10" i="22"/>
  <c r="I26" i="42"/>
  <c r="AE17" i="4"/>
  <c r="I20" i="45"/>
  <c r="C15" i="4"/>
  <c r="I21" i="42"/>
  <c r="AE12" i="4"/>
  <c r="I15" i="45"/>
  <c r="G12" i="48"/>
  <c r="F12" i="48"/>
  <c r="G16" i="48"/>
  <c r="F16" i="48"/>
  <c r="F20" i="48"/>
  <c r="G20" i="48"/>
  <c r="G24" i="48"/>
  <c r="F24" i="48"/>
  <c r="F17" i="48"/>
  <c r="G17" i="48"/>
  <c r="M25" i="48"/>
  <c r="F25" i="48"/>
  <c r="G25" i="48"/>
  <c r="G10" i="48"/>
  <c r="F10" i="48"/>
  <c r="G14" i="48"/>
  <c r="F14" i="48"/>
  <c r="G18" i="48"/>
  <c r="F18" i="48"/>
  <c r="G22" i="48"/>
  <c r="F22" i="48"/>
  <c r="G13" i="48"/>
  <c r="F13" i="48"/>
  <c r="G21" i="48"/>
  <c r="F21" i="48"/>
  <c r="F11" i="48"/>
  <c r="G11" i="48"/>
  <c r="F15" i="48"/>
  <c r="G15" i="48"/>
  <c r="F19" i="48"/>
  <c r="G19" i="48"/>
  <c r="F23" i="48"/>
  <c r="G23" i="48"/>
  <c r="D16" i="48"/>
  <c r="E39" i="26"/>
  <c r="D37" i="48"/>
  <c r="E31" i="26"/>
  <c r="D29" i="48"/>
  <c r="D13" i="26"/>
  <c r="E13" i="26"/>
  <c r="D12" i="26"/>
  <c r="E12" i="26"/>
  <c r="E38" i="26"/>
  <c r="D36" i="48"/>
  <c r="E34" i="26"/>
  <c r="D32" i="48"/>
  <c r="E30" i="26"/>
  <c r="D28" i="48"/>
  <c r="D26" i="26"/>
  <c r="E26" i="26"/>
  <c r="D22" i="26"/>
  <c r="E22" i="26"/>
  <c r="D19" i="26"/>
  <c r="E19" i="26"/>
  <c r="D16" i="26"/>
  <c r="E16" i="26"/>
  <c r="E33" i="26"/>
  <c r="D31" i="48"/>
  <c r="E29" i="26"/>
  <c r="D27" i="48"/>
  <c r="D21" i="26"/>
  <c r="E21" i="26"/>
  <c r="E35" i="26"/>
  <c r="D33" i="48"/>
  <c r="E27" i="26"/>
  <c r="D25" i="48"/>
  <c r="D23" i="26"/>
  <c r="E23" i="26"/>
  <c r="E37" i="26"/>
  <c r="D35" i="48"/>
  <c r="E40" i="26"/>
  <c r="D38" i="48"/>
  <c r="E36" i="26"/>
  <c r="D34" i="48"/>
  <c r="E32" i="26"/>
  <c r="D30" i="48"/>
  <c r="E28" i="26"/>
  <c r="D26" i="48"/>
  <c r="D24" i="26"/>
  <c r="E24" i="26"/>
  <c r="D18" i="48"/>
  <c r="D14" i="26"/>
  <c r="E14" i="26"/>
  <c r="R12" i="4"/>
  <c r="S12" i="4"/>
  <c r="O22" i="23"/>
  <c r="Q22" i="23"/>
  <c r="P8" i="4"/>
  <c r="D13" i="48"/>
  <c r="D15" i="48"/>
  <c r="T21" i="21"/>
  <c r="I23" i="48"/>
  <c r="T17" i="21"/>
  <c r="I19" i="48"/>
  <c r="T9" i="21"/>
  <c r="I11" i="48"/>
  <c r="J19" i="48"/>
  <c r="C16" i="4"/>
  <c r="P19" i="4"/>
  <c r="T20" i="21"/>
  <c r="I22" i="48"/>
  <c r="T16" i="21"/>
  <c r="I18" i="48"/>
  <c r="T12" i="21"/>
  <c r="I14" i="48"/>
  <c r="P12" i="4"/>
  <c r="Q12" i="4"/>
  <c r="AE8" i="4"/>
  <c r="I11" i="45"/>
  <c r="AE15" i="4"/>
  <c r="I18" i="45"/>
  <c r="AE20" i="4"/>
  <c r="I23" i="45"/>
  <c r="C18" i="4"/>
  <c r="T19" i="21"/>
  <c r="I21" i="48"/>
  <c r="T15" i="21"/>
  <c r="I17" i="48"/>
  <c r="T11" i="21"/>
  <c r="I13" i="48"/>
  <c r="H11" i="23"/>
  <c r="I11" i="23"/>
  <c r="H13" i="4"/>
  <c r="G14" i="21"/>
  <c r="H14" i="21"/>
  <c r="H19" i="4"/>
  <c r="G20" i="21"/>
  <c r="C7" i="4"/>
  <c r="T8" i="22"/>
  <c r="T8" i="21"/>
  <c r="T13" i="21"/>
  <c r="I15" i="48"/>
  <c r="H10" i="23"/>
  <c r="I10" i="23"/>
  <c r="J10" i="23"/>
  <c r="C8" i="4"/>
  <c r="C19" i="4"/>
  <c r="C12" i="4"/>
  <c r="C20" i="4"/>
  <c r="AE21" i="4"/>
  <c r="I24" i="45"/>
  <c r="T22" i="21"/>
  <c r="I24" i="48"/>
  <c r="T18" i="21"/>
  <c r="I20" i="48"/>
  <c r="T14" i="21"/>
  <c r="I16" i="48"/>
  <c r="H14" i="23"/>
  <c r="I14" i="23"/>
  <c r="K14" i="23"/>
  <c r="T10" i="21"/>
  <c r="I12" i="48"/>
  <c r="L20" i="48"/>
  <c r="K11" i="48"/>
  <c r="E49" i="42"/>
  <c r="B52" i="28"/>
  <c r="E48" i="42"/>
  <c r="C52" i="28"/>
  <c r="D51" i="28"/>
  <c r="O31" i="4"/>
  <c r="N31" i="4"/>
  <c r="C32" i="23"/>
  <c r="J30" i="4"/>
  <c r="J31" i="21"/>
  <c r="M31" i="23"/>
  <c r="N31" i="23"/>
  <c r="R30" i="4"/>
  <c r="U36" i="4"/>
  <c r="R37" i="23"/>
  <c r="T36" i="4"/>
  <c r="L36" i="4"/>
  <c r="C37" i="23"/>
  <c r="D37" i="23"/>
  <c r="F37" i="23"/>
  <c r="N36" i="4"/>
  <c r="O34" i="4"/>
  <c r="C35" i="23"/>
  <c r="T31" i="4"/>
  <c r="S30" i="4"/>
  <c r="R29" i="23"/>
  <c r="S29" i="23"/>
  <c r="N24" i="23"/>
  <c r="O22" i="4"/>
  <c r="C23" i="23"/>
  <c r="D23" i="23"/>
  <c r="N20" i="4"/>
  <c r="C21" i="23"/>
  <c r="D21" i="23"/>
  <c r="F21" i="23"/>
  <c r="N17" i="4"/>
  <c r="N15" i="4"/>
  <c r="O15" i="4"/>
  <c r="C16" i="23"/>
  <c r="D16" i="23"/>
  <c r="N13" i="4"/>
  <c r="R29" i="4"/>
  <c r="S29" i="4"/>
  <c r="M30" i="23"/>
  <c r="N30" i="23"/>
  <c r="O30" i="23"/>
  <c r="J29" i="4"/>
  <c r="O35" i="4"/>
  <c r="C36" i="23"/>
  <c r="U31" i="4"/>
  <c r="L7" i="4"/>
  <c r="F8" i="22"/>
  <c r="Q30" i="4"/>
  <c r="H31" i="23"/>
  <c r="I31" i="23"/>
  <c r="H30" i="4"/>
  <c r="G31" i="21"/>
  <c r="H29" i="4"/>
  <c r="G30" i="21"/>
  <c r="H30" i="23"/>
  <c r="S27" i="4"/>
  <c r="J27" i="4"/>
  <c r="M28" i="23"/>
  <c r="N28" i="23"/>
  <c r="T11" i="4"/>
  <c r="U11" i="4"/>
  <c r="R12" i="23"/>
  <c r="S12" i="23"/>
  <c r="U12" i="23"/>
  <c r="L8" i="4"/>
  <c r="M9" i="21"/>
  <c r="R9" i="23"/>
  <c r="S9" i="23"/>
  <c r="U9" i="23"/>
  <c r="L11" i="4"/>
  <c r="M12" i="21"/>
  <c r="K37" i="23"/>
  <c r="J37" i="23"/>
  <c r="H26" i="23"/>
  <c r="I26" i="23"/>
  <c r="Q25" i="4"/>
  <c r="Q24" i="4"/>
  <c r="F33" i="42"/>
  <c r="H25" i="23"/>
  <c r="H24" i="4"/>
  <c r="R20" i="4"/>
  <c r="J34" i="4"/>
  <c r="J12" i="4"/>
  <c r="E13" i="22"/>
  <c r="T34" i="4"/>
  <c r="U34" i="4"/>
  <c r="Z34" i="4"/>
  <c r="T20" i="4"/>
  <c r="R21" i="23"/>
  <c r="S21" i="23"/>
  <c r="L20" i="4"/>
  <c r="T10" i="4"/>
  <c r="U10" i="4"/>
  <c r="L10" i="4"/>
  <c r="F11" i="22"/>
  <c r="H9" i="23"/>
  <c r="I9" i="23"/>
  <c r="J9" i="23"/>
  <c r="H8" i="4"/>
  <c r="D9" i="22"/>
  <c r="P30" i="4"/>
  <c r="Q29" i="4"/>
  <c r="X29" i="4"/>
  <c r="U35" i="4"/>
  <c r="U20" i="4"/>
  <c r="R35" i="23"/>
  <c r="S35" i="23"/>
  <c r="J33" i="4"/>
  <c r="R33" i="4"/>
  <c r="G42" i="42"/>
  <c r="M34" i="23"/>
  <c r="N34" i="23"/>
  <c r="C33" i="23"/>
  <c r="D33" i="23"/>
  <c r="O32" i="4"/>
  <c r="H31" i="4"/>
  <c r="H32" i="23"/>
  <c r="I32" i="23"/>
  <c r="K32" i="23"/>
  <c r="Q31" i="4"/>
  <c r="F40" i="42"/>
  <c r="C28" i="23"/>
  <c r="R26" i="4"/>
  <c r="J26" i="4"/>
  <c r="E27" i="22"/>
  <c r="M27" i="23"/>
  <c r="N27" i="23"/>
  <c r="P27" i="23"/>
  <c r="D15" i="4"/>
  <c r="C18" i="48"/>
  <c r="O18" i="48"/>
  <c r="J19" i="4"/>
  <c r="E20" i="22"/>
  <c r="R15" i="4"/>
  <c r="R14" i="4"/>
  <c r="J13" i="4"/>
  <c r="J14" i="21"/>
  <c r="N10" i="4"/>
  <c r="L17" i="4"/>
  <c r="J8" i="4"/>
  <c r="J9" i="21"/>
  <c r="J7" i="4"/>
  <c r="AE7" i="4"/>
  <c r="I10" i="45"/>
  <c r="I10" i="48"/>
  <c r="M28" i="48"/>
  <c r="M32" i="48"/>
  <c r="M36" i="48"/>
  <c r="J32" i="48"/>
  <c r="J29" i="48"/>
  <c r="M29" i="48"/>
  <c r="K28" i="48"/>
  <c r="L36" i="48"/>
  <c r="L17" i="48"/>
  <c r="K32" i="48"/>
  <c r="J28" i="48"/>
  <c r="J36" i="48"/>
  <c r="L28" i="48"/>
  <c r="L32" i="48"/>
  <c r="L37" i="48"/>
  <c r="M20" i="48"/>
  <c r="M16" i="48"/>
  <c r="K27" i="48"/>
  <c r="M27" i="48"/>
  <c r="K31" i="48"/>
  <c r="M31" i="48"/>
  <c r="K35" i="48"/>
  <c r="M35" i="48"/>
  <c r="K36" i="48"/>
  <c r="J31" i="48"/>
  <c r="L29" i="48"/>
  <c r="L34" i="48"/>
  <c r="L38" i="48"/>
  <c r="K20" i="23"/>
  <c r="J20" i="23"/>
  <c r="Q13" i="4"/>
  <c r="F22" i="42"/>
  <c r="C14" i="4"/>
  <c r="R19" i="4"/>
  <c r="S19" i="4"/>
  <c r="Z19" i="4"/>
  <c r="M17" i="23"/>
  <c r="N17" i="23"/>
  <c r="C13" i="23"/>
  <c r="D13" i="23"/>
  <c r="E13" i="23"/>
  <c r="J14" i="4"/>
  <c r="J17" i="4"/>
  <c r="J18" i="21"/>
  <c r="L16" i="48"/>
  <c r="R8" i="4"/>
  <c r="R16" i="4"/>
  <c r="N12" i="4"/>
  <c r="AE13" i="4"/>
  <c r="I16" i="45"/>
  <c r="C17" i="4"/>
  <c r="P14" i="4"/>
  <c r="T7" i="4"/>
  <c r="R8" i="23"/>
  <c r="S8" i="23"/>
  <c r="M18" i="23"/>
  <c r="N18" i="23"/>
  <c r="M15" i="23"/>
  <c r="N15" i="23"/>
  <c r="P15" i="23"/>
  <c r="C14" i="23"/>
  <c r="D14" i="23"/>
  <c r="M9" i="23"/>
  <c r="N9" i="23"/>
  <c r="L13" i="4"/>
  <c r="J16" i="4"/>
  <c r="E17" i="22"/>
  <c r="L13" i="48"/>
  <c r="L21" i="48"/>
  <c r="P20" i="4"/>
  <c r="C13" i="4"/>
  <c r="S7" i="4"/>
  <c r="N8" i="4"/>
  <c r="M20" i="23"/>
  <c r="N20" i="23"/>
  <c r="U14" i="23"/>
  <c r="V14" i="23"/>
  <c r="M8" i="23"/>
  <c r="N8" i="23"/>
  <c r="P8" i="23"/>
  <c r="H19" i="23"/>
  <c r="I19" i="23"/>
  <c r="J15" i="4"/>
  <c r="J16" i="21"/>
  <c r="L16" i="21"/>
  <c r="D20" i="4"/>
  <c r="C23" i="48"/>
  <c r="O23" i="48"/>
  <c r="U13" i="4"/>
  <c r="H22" i="42"/>
  <c r="T21" i="22"/>
  <c r="K15" i="48"/>
  <c r="L25" i="48"/>
  <c r="T10" i="23"/>
  <c r="U10" i="23"/>
  <c r="R11" i="4"/>
  <c r="S11" i="4"/>
  <c r="J11" i="4"/>
  <c r="J12" i="21"/>
  <c r="M12" i="23"/>
  <c r="N12" i="23"/>
  <c r="D11" i="4"/>
  <c r="C14" i="45"/>
  <c r="R10" i="4"/>
  <c r="I37" i="4"/>
  <c r="J10" i="4"/>
  <c r="M11" i="23"/>
  <c r="N11" i="23"/>
  <c r="D10" i="4"/>
  <c r="C13" i="48"/>
  <c r="E13" i="48"/>
  <c r="E21" i="22"/>
  <c r="J21" i="21"/>
  <c r="K21" i="21"/>
  <c r="P17" i="4"/>
  <c r="H18" i="23"/>
  <c r="I18" i="23"/>
  <c r="H17" i="4"/>
  <c r="H17" i="23"/>
  <c r="I17" i="23"/>
  <c r="K17" i="23"/>
  <c r="H16" i="4"/>
  <c r="Q16" i="4"/>
  <c r="X16" i="4"/>
  <c r="H16" i="23"/>
  <c r="P15" i="4"/>
  <c r="H15" i="4"/>
  <c r="M12" i="48"/>
  <c r="H7" i="4"/>
  <c r="H8" i="23"/>
  <c r="I8" i="23"/>
  <c r="N18" i="4"/>
  <c r="D18" i="4"/>
  <c r="C21" i="48"/>
  <c r="O21" i="48"/>
  <c r="D17" i="4"/>
  <c r="C20" i="48"/>
  <c r="E20" i="48"/>
  <c r="D16" i="4"/>
  <c r="M14" i="23"/>
  <c r="N14" i="23"/>
  <c r="D13" i="4"/>
  <c r="C16" i="45"/>
  <c r="L12" i="4"/>
  <c r="R13" i="23"/>
  <c r="S13" i="23"/>
  <c r="P11" i="4"/>
  <c r="H12" i="23"/>
  <c r="I12" i="23"/>
  <c r="T12" i="4"/>
  <c r="P7" i="4"/>
  <c r="M22" i="48"/>
  <c r="L22" i="48"/>
  <c r="M18" i="48"/>
  <c r="L18" i="48"/>
  <c r="M14" i="48"/>
  <c r="L14" i="48"/>
  <c r="C11" i="4"/>
  <c r="H11" i="4"/>
  <c r="M11" i="48"/>
  <c r="L11" i="48"/>
  <c r="J11" i="48"/>
  <c r="D7" i="4"/>
  <c r="C10" i="48"/>
  <c r="E10" i="48"/>
  <c r="D14" i="4"/>
  <c r="C17" i="48"/>
  <c r="O17" i="48"/>
  <c r="C10" i="23"/>
  <c r="D10" i="23"/>
  <c r="D9" i="4"/>
  <c r="N9" i="4"/>
  <c r="N16" i="4"/>
  <c r="O19" i="4"/>
  <c r="C9" i="4"/>
  <c r="R13" i="4"/>
  <c r="M21" i="48"/>
  <c r="AE18" i="4"/>
  <c r="I21" i="45"/>
  <c r="M17" i="48"/>
  <c r="AE14" i="4"/>
  <c r="I17" i="45"/>
  <c r="M13" i="48"/>
  <c r="C10" i="4"/>
  <c r="I13" i="23"/>
  <c r="T14" i="4"/>
  <c r="H23" i="42"/>
  <c r="L14" i="4"/>
  <c r="R15" i="23"/>
  <c r="S15" i="23"/>
  <c r="U15" i="23"/>
  <c r="T9" i="4"/>
  <c r="U9" i="4"/>
  <c r="L12" i="48"/>
  <c r="T9" i="22"/>
  <c r="L24" i="48"/>
  <c r="M24" i="48"/>
  <c r="J23" i="48"/>
  <c r="M23" i="48"/>
  <c r="K19" i="48"/>
  <c r="M19" i="48"/>
  <c r="J15" i="48"/>
  <c r="M15" i="48"/>
  <c r="M10" i="48"/>
  <c r="L10" i="48"/>
  <c r="T13" i="22"/>
  <c r="K23" i="48"/>
  <c r="L15" i="48"/>
  <c r="L19" i="48"/>
  <c r="L23" i="48"/>
  <c r="S15" i="45"/>
  <c r="Q15" i="45"/>
  <c r="R15" i="45"/>
  <c r="S19" i="45"/>
  <c r="Q19" i="45"/>
  <c r="R19" i="45"/>
  <c r="S23" i="45"/>
  <c r="R23" i="45"/>
  <c r="Q23" i="45"/>
  <c r="S27" i="45"/>
  <c r="Q27" i="45"/>
  <c r="R27" i="45"/>
  <c r="S31" i="45"/>
  <c r="R31" i="45"/>
  <c r="Q31" i="45"/>
  <c r="Q35" i="45"/>
  <c r="R35" i="45"/>
  <c r="S35" i="45"/>
  <c r="Q12" i="45"/>
  <c r="R12" i="45"/>
  <c r="S12" i="45"/>
  <c r="Q20" i="45"/>
  <c r="R20" i="45"/>
  <c r="S20" i="45"/>
  <c r="Q28" i="45"/>
  <c r="R28" i="45"/>
  <c r="S28" i="45"/>
  <c r="S36" i="45"/>
  <c r="Q36" i="45"/>
  <c r="R36" i="45"/>
  <c r="M31" i="45"/>
  <c r="S13" i="45"/>
  <c r="R13" i="45"/>
  <c r="Q13" i="45"/>
  <c r="Q17" i="45"/>
  <c r="S17" i="45"/>
  <c r="R17" i="45"/>
  <c r="S21" i="45"/>
  <c r="R21" i="45"/>
  <c r="Q21" i="45"/>
  <c r="Q25" i="45"/>
  <c r="S25" i="45"/>
  <c r="R25" i="45"/>
  <c r="S29" i="45"/>
  <c r="R29" i="45"/>
  <c r="Q29" i="45"/>
  <c r="Q37" i="45"/>
  <c r="R37" i="45"/>
  <c r="S37" i="45"/>
  <c r="M25" i="45"/>
  <c r="M35" i="45"/>
  <c r="S11" i="45"/>
  <c r="R11" i="45"/>
  <c r="Q11" i="45"/>
  <c r="Q16" i="45"/>
  <c r="R16" i="45"/>
  <c r="S16" i="45"/>
  <c r="Q24" i="45"/>
  <c r="R24" i="45"/>
  <c r="S24" i="45"/>
  <c r="Q32" i="45"/>
  <c r="R32" i="45"/>
  <c r="S32" i="45"/>
  <c r="Q10" i="45"/>
  <c r="S10" i="45"/>
  <c r="Q14" i="45"/>
  <c r="R14" i="45"/>
  <c r="S14" i="45"/>
  <c r="Q18" i="45"/>
  <c r="R18" i="45"/>
  <c r="S18" i="45"/>
  <c r="Q22" i="45"/>
  <c r="R22" i="45"/>
  <c r="S22" i="45"/>
  <c r="M26" i="45"/>
  <c r="Q26" i="45"/>
  <c r="R26" i="45"/>
  <c r="S26" i="45"/>
  <c r="M30" i="45"/>
  <c r="Q30" i="45"/>
  <c r="R30" i="45"/>
  <c r="S30" i="45"/>
  <c r="M34" i="45"/>
  <c r="Q34" i="45"/>
  <c r="S34" i="45"/>
  <c r="R34" i="45"/>
  <c r="M38" i="45"/>
  <c r="S38" i="45"/>
  <c r="R38" i="45"/>
  <c r="Q38" i="45"/>
  <c r="M27" i="45"/>
  <c r="M37" i="45"/>
  <c r="AF37" i="4"/>
  <c r="L39" i="45"/>
  <c r="L33" i="48"/>
  <c r="Q33" i="45"/>
  <c r="R33" i="45"/>
  <c r="S33" i="45"/>
  <c r="R10" i="45"/>
  <c r="M28" i="45"/>
  <c r="M32" i="45"/>
  <c r="M36" i="45"/>
  <c r="L41" i="36"/>
  <c r="P38" i="22"/>
  <c r="C21" i="4"/>
  <c r="H22" i="23"/>
  <c r="I22" i="23"/>
  <c r="H21" i="4"/>
  <c r="G22" i="21"/>
  <c r="I22" i="21"/>
  <c r="D23" i="48"/>
  <c r="C42" i="26"/>
  <c r="T32" i="4"/>
  <c r="L32" i="4"/>
  <c r="R33" i="23"/>
  <c r="S33" i="23"/>
  <c r="U32" i="4"/>
  <c r="O16" i="23"/>
  <c r="P16" i="23"/>
  <c r="O13" i="23"/>
  <c r="P13" i="23"/>
  <c r="U36" i="23"/>
  <c r="V36" i="23"/>
  <c r="T11" i="23"/>
  <c r="U11" i="23"/>
  <c r="AE9" i="4"/>
  <c r="I15" i="23"/>
  <c r="P49" i="21"/>
  <c r="D46" i="28"/>
  <c r="U16" i="23"/>
  <c r="T16" i="23"/>
  <c r="K37" i="4"/>
  <c r="R20" i="23"/>
  <c r="C20" i="23"/>
  <c r="D19" i="4"/>
  <c r="T22" i="22"/>
  <c r="K24" i="48"/>
  <c r="J24" i="48"/>
  <c r="T18" i="22"/>
  <c r="J20" i="48"/>
  <c r="K20" i="48"/>
  <c r="T14" i="22"/>
  <c r="K16" i="48"/>
  <c r="J16" i="48"/>
  <c r="Q38" i="22"/>
  <c r="U24" i="23"/>
  <c r="T24" i="23"/>
  <c r="C8" i="23"/>
  <c r="E37" i="4"/>
  <c r="N7" i="4"/>
  <c r="P32" i="4"/>
  <c r="H32" i="4"/>
  <c r="Q32" i="4"/>
  <c r="H33" i="23"/>
  <c r="D26" i="4"/>
  <c r="C29" i="48"/>
  <c r="C27" i="23"/>
  <c r="O26" i="4"/>
  <c r="N26" i="4"/>
  <c r="L22" i="4"/>
  <c r="R23" i="23"/>
  <c r="T22" i="4"/>
  <c r="U22" i="4"/>
  <c r="O36" i="23"/>
  <c r="P36" i="23"/>
  <c r="T21" i="4"/>
  <c r="U21" i="4"/>
  <c r="R22" i="23"/>
  <c r="S22" i="23"/>
  <c r="D21" i="4"/>
  <c r="C22" i="23"/>
  <c r="N21" i="4"/>
  <c r="R18" i="4"/>
  <c r="M19" i="23"/>
  <c r="J18" i="4"/>
  <c r="R9" i="4"/>
  <c r="S9" i="4"/>
  <c r="J9" i="4"/>
  <c r="M10" i="23"/>
  <c r="T20" i="22"/>
  <c r="T16" i="22"/>
  <c r="T12" i="22"/>
  <c r="U31" i="23"/>
  <c r="T18" i="23"/>
  <c r="U18" i="23"/>
  <c r="D30" i="4"/>
  <c r="C33" i="45"/>
  <c r="O30" i="4"/>
  <c r="N30" i="4"/>
  <c r="C31" i="23"/>
  <c r="R25" i="4"/>
  <c r="S25" i="4"/>
  <c r="J25" i="4"/>
  <c r="M26" i="23"/>
  <c r="N26" i="23"/>
  <c r="G37" i="4"/>
  <c r="T19" i="22"/>
  <c r="T15" i="22"/>
  <c r="T11" i="22"/>
  <c r="T10" i="22"/>
  <c r="J12" i="48"/>
  <c r="K12" i="48"/>
  <c r="D36" i="4"/>
  <c r="D35" i="4"/>
  <c r="C38" i="45"/>
  <c r="D34" i="4"/>
  <c r="C37" i="48"/>
  <c r="S21" i="4"/>
  <c r="R21" i="4"/>
  <c r="J21" i="4"/>
  <c r="P18" i="4"/>
  <c r="P9" i="4"/>
  <c r="Q9" i="4"/>
  <c r="T17" i="22"/>
  <c r="M41" i="36"/>
  <c r="I49" i="36"/>
  <c r="C6" i="48"/>
  <c r="C6" i="26"/>
  <c r="C6" i="45"/>
  <c r="C6" i="42"/>
  <c r="J6" i="48"/>
  <c r="B39" i="48"/>
  <c r="E8" i="26"/>
  <c r="B42" i="26"/>
  <c r="Y4" i="4"/>
  <c r="P4" i="4"/>
  <c r="N4" i="23"/>
  <c r="B38" i="23"/>
  <c r="C10" i="42"/>
  <c r="B46" i="42"/>
  <c r="R36" i="4"/>
  <c r="J36" i="4"/>
  <c r="U28" i="4"/>
  <c r="Z28" i="4"/>
  <c r="T28" i="4"/>
  <c r="Q28" i="4"/>
  <c r="P28" i="4"/>
  <c r="Q27" i="4"/>
  <c r="P27" i="4"/>
  <c r="T25" i="4"/>
  <c r="U25" i="4"/>
  <c r="T17" i="4"/>
  <c r="U17" i="4"/>
  <c r="J10" i="48"/>
  <c r="K10" i="48"/>
  <c r="J14" i="48"/>
  <c r="K14" i="48"/>
  <c r="J18" i="48"/>
  <c r="K18" i="48"/>
  <c r="J22" i="48"/>
  <c r="K22" i="48"/>
  <c r="J26" i="48"/>
  <c r="K26" i="48"/>
  <c r="J30" i="48"/>
  <c r="K30" i="48"/>
  <c r="J34" i="48"/>
  <c r="K34" i="48"/>
  <c r="J38" i="48"/>
  <c r="K38" i="48"/>
  <c r="D32" i="4"/>
  <c r="C35" i="48"/>
  <c r="D29" i="4"/>
  <c r="C32" i="45"/>
  <c r="D28" i="4"/>
  <c r="O28" i="4"/>
  <c r="D25" i="4"/>
  <c r="C28" i="45"/>
  <c r="J13" i="48"/>
  <c r="K13" i="48"/>
  <c r="J17" i="48"/>
  <c r="K17" i="48"/>
  <c r="J21" i="48"/>
  <c r="K21" i="48"/>
  <c r="J25" i="48"/>
  <c r="J33" i="48"/>
  <c r="J37" i="48"/>
  <c r="K29" i="48"/>
  <c r="K37" i="48"/>
  <c r="J38" i="1"/>
  <c r="C65" i="28"/>
  <c r="D33" i="4"/>
  <c r="C36" i="48"/>
  <c r="D31" i="4"/>
  <c r="C34" i="48"/>
  <c r="O29" i="4"/>
  <c r="D27" i="4"/>
  <c r="C30" i="45"/>
  <c r="D22" i="4"/>
  <c r="C25" i="45"/>
  <c r="Q21" i="4"/>
  <c r="F30" i="42"/>
  <c r="K33" i="48"/>
  <c r="D24" i="4"/>
  <c r="C27" i="45"/>
  <c r="D23" i="4"/>
  <c r="K25" i="48"/>
  <c r="D12" i="4"/>
  <c r="C15" i="48"/>
  <c r="E15" i="48"/>
  <c r="D8" i="4"/>
  <c r="C11" i="48"/>
  <c r="E11" i="48"/>
  <c r="F11" i="23"/>
  <c r="G11" i="23"/>
  <c r="F19" i="23"/>
  <c r="I50" i="36"/>
  <c r="M35" i="21"/>
  <c r="O35" i="21"/>
  <c r="E15" i="23"/>
  <c r="F25" i="23"/>
  <c r="G25" i="23"/>
  <c r="X35" i="4"/>
  <c r="M20" i="21"/>
  <c r="N20" i="21"/>
  <c r="AB18" i="4"/>
  <c r="G21" i="45"/>
  <c r="AB24" i="4"/>
  <c r="G27" i="45"/>
  <c r="AB25" i="4"/>
  <c r="G28" i="45"/>
  <c r="AB26" i="4"/>
  <c r="G29" i="45"/>
  <c r="AB33" i="4"/>
  <c r="G36" i="45"/>
  <c r="AB27" i="4"/>
  <c r="G30" i="45"/>
  <c r="AB35" i="4"/>
  <c r="G38" i="45"/>
  <c r="AB20" i="4"/>
  <c r="G23" i="45"/>
  <c r="AB30" i="4"/>
  <c r="G33" i="45"/>
  <c r="AB23" i="4"/>
  <c r="G26" i="45"/>
  <c r="AB31" i="4"/>
  <c r="G34" i="45"/>
  <c r="U38" i="21"/>
  <c r="H20" i="48"/>
  <c r="H39" i="48"/>
  <c r="AB21" i="4"/>
  <c r="G24" i="45"/>
  <c r="AB19" i="4"/>
  <c r="G22" i="45"/>
  <c r="AB34" i="4"/>
  <c r="G37" i="45"/>
  <c r="F30" i="23"/>
  <c r="G30" i="23"/>
  <c r="AB32" i="4"/>
  <c r="G35" i="45"/>
  <c r="AB28" i="4"/>
  <c r="G31" i="45"/>
  <c r="AB29" i="4"/>
  <c r="G32" i="45"/>
  <c r="AI36" i="4"/>
  <c r="H25" i="42"/>
  <c r="AH30" i="4"/>
  <c r="O33" i="45"/>
  <c r="AB10" i="4"/>
  <c r="G13" i="45"/>
  <c r="AB13" i="4"/>
  <c r="G16" i="45"/>
  <c r="AB9" i="4"/>
  <c r="G12" i="45"/>
  <c r="AB17" i="4"/>
  <c r="G20" i="45"/>
  <c r="AB8" i="4"/>
  <c r="G11" i="45"/>
  <c r="AB16" i="4"/>
  <c r="G19" i="45"/>
  <c r="AB15" i="4"/>
  <c r="G18" i="45"/>
  <c r="AB11" i="4"/>
  <c r="G14" i="45"/>
  <c r="AB12" i="4"/>
  <c r="G15" i="45"/>
  <c r="AB14" i="4"/>
  <c r="G17" i="45"/>
  <c r="AH25" i="4"/>
  <c r="O28" i="45"/>
  <c r="AB7" i="4"/>
  <c r="G10" i="45"/>
  <c r="D10" i="22"/>
  <c r="I28" i="21"/>
  <c r="AH28" i="4"/>
  <c r="O31" i="45"/>
  <c r="AH29" i="4"/>
  <c r="O32" i="45"/>
  <c r="E34" i="42"/>
  <c r="AG25" i="4"/>
  <c r="N28" i="45"/>
  <c r="AI25" i="4"/>
  <c r="P28" i="45"/>
  <c r="E42" i="42"/>
  <c r="AG33" i="4"/>
  <c r="N36" i="45"/>
  <c r="AI33" i="4"/>
  <c r="P36" i="45"/>
  <c r="AH34" i="4"/>
  <c r="O37" i="45"/>
  <c r="D29" i="22"/>
  <c r="W32" i="4"/>
  <c r="AI32" i="4"/>
  <c r="P35" i="45"/>
  <c r="AG32" i="4"/>
  <c r="N35" i="45"/>
  <c r="E43" i="42"/>
  <c r="AG34" i="4"/>
  <c r="N37" i="45"/>
  <c r="AI34" i="4"/>
  <c r="P37" i="45"/>
  <c r="AH31" i="4"/>
  <c r="O34" i="45"/>
  <c r="K29" i="23"/>
  <c r="L29" i="23"/>
  <c r="W27" i="4"/>
  <c r="AI27" i="4"/>
  <c r="P30" i="45"/>
  <c r="AG27" i="4"/>
  <c r="N30" i="45"/>
  <c r="AH27" i="4"/>
  <c r="O30" i="45"/>
  <c r="AH35" i="4"/>
  <c r="O38" i="45"/>
  <c r="AG29" i="4"/>
  <c r="N32" i="45"/>
  <c r="AI29" i="4"/>
  <c r="P32" i="45"/>
  <c r="AG30" i="4"/>
  <c r="N33" i="45"/>
  <c r="AI30" i="4"/>
  <c r="P33" i="45"/>
  <c r="AG26" i="4"/>
  <c r="N29" i="45"/>
  <c r="AI26" i="4"/>
  <c r="P29" i="45"/>
  <c r="G21" i="21"/>
  <c r="H21" i="21"/>
  <c r="AH36" i="4"/>
  <c r="AI31" i="4"/>
  <c r="P34" i="45"/>
  <c r="AG31" i="4"/>
  <c r="N34" i="45"/>
  <c r="AH32" i="4"/>
  <c r="O35" i="45"/>
  <c r="AG36" i="4"/>
  <c r="AI28" i="4"/>
  <c r="P31" i="45"/>
  <c r="AG28" i="4"/>
  <c r="N31" i="45"/>
  <c r="AH26" i="4"/>
  <c r="O29" i="45"/>
  <c r="G19" i="21"/>
  <c r="I19" i="21"/>
  <c r="W35" i="4"/>
  <c r="AI35" i="4"/>
  <c r="P38" i="45"/>
  <c r="AG35" i="4"/>
  <c r="N38" i="45"/>
  <c r="AH23" i="4"/>
  <c r="O26" i="45"/>
  <c r="AH33" i="4"/>
  <c r="O36" i="45"/>
  <c r="AG24" i="4"/>
  <c r="N27" i="45"/>
  <c r="E32" i="42"/>
  <c r="AI23" i="4"/>
  <c r="P26" i="45"/>
  <c r="AG23" i="4"/>
  <c r="N26" i="45"/>
  <c r="W24" i="4"/>
  <c r="AH24" i="4"/>
  <c r="O27" i="45"/>
  <c r="AI24" i="4"/>
  <c r="P27" i="45"/>
  <c r="W11" i="4"/>
  <c r="E31" i="42"/>
  <c r="AG22" i="4"/>
  <c r="N25" i="45"/>
  <c r="AI22" i="4"/>
  <c r="P25" i="45"/>
  <c r="AH22" i="4"/>
  <c r="O25" i="45"/>
  <c r="E28" i="42"/>
  <c r="O14" i="4"/>
  <c r="E23" i="42"/>
  <c r="Z17" i="4"/>
  <c r="Y17" i="4"/>
  <c r="N26" i="21"/>
  <c r="O35" i="23"/>
  <c r="Q35" i="23"/>
  <c r="D28" i="22"/>
  <c r="F26" i="22"/>
  <c r="J27" i="23"/>
  <c r="L27" i="23"/>
  <c r="P32" i="23"/>
  <c r="Q32" i="23"/>
  <c r="K28" i="23"/>
  <c r="L28" i="23"/>
  <c r="E36" i="42"/>
  <c r="C35" i="45"/>
  <c r="E33" i="42"/>
  <c r="E12" i="23"/>
  <c r="G12" i="23"/>
  <c r="K21" i="23"/>
  <c r="L21" i="23"/>
  <c r="O29" i="23"/>
  <c r="Q29" i="23"/>
  <c r="G24" i="21"/>
  <c r="H24" i="21"/>
  <c r="F34" i="21"/>
  <c r="S34" i="21"/>
  <c r="N31" i="21"/>
  <c r="T26" i="23"/>
  <c r="V26" i="23"/>
  <c r="F31" i="22"/>
  <c r="Z35" i="4"/>
  <c r="Y35" i="4"/>
  <c r="H32" i="42"/>
  <c r="Z23" i="4"/>
  <c r="W33" i="4"/>
  <c r="O16" i="21"/>
  <c r="T9" i="23"/>
  <c r="V9" i="23"/>
  <c r="W24" i="23"/>
  <c r="AB24" i="23"/>
  <c r="E26" i="23"/>
  <c r="G26" i="23"/>
  <c r="E24" i="23"/>
  <c r="G24" i="23"/>
  <c r="U12" i="4"/>
  <c r="H21" i="42"/>
  <c r="U7" i="4"/>
  <c r="Z7" i="4"/>
  <c r="Y23" i="4"/>
  <c r="G44" i="42"/>
  <c r="O17" i="21"/>
  <c r="J29" i="21"/>
  <c r="L29" i="21"/>
  <c r="F16" i="22"/>
  <c r="Z31" i="4"/>
  <c r="F17" i="22"/>
  <c r="W23" i="4"/>
  <c r="G27" i="21"/>
  <c r="I27" i="21"/>
  <c r="C34" i="22"/>
  <c r="X29" i="23"/>
  <c r="F19" i="22"/>
  <c r="X34" i="4"/>
  <c r="O23" i="23"/>
  <c r="Q23" i="23"/>
  <c r="Z24" i="4"/>
  <c r="C36" i="45"/>
  <c r="X26" i="4"/>
  <c r="O27" i="23"/>
  <c r="Q27" i="23"/>
  <c r="H42" i="42"/>
  <c r="L36" i="23"/>
  <c r="C38" i="48"/>
  <c r="E38" i="48"/>
  <c r="C25" i="48"/>
  <c r="E25" i="48"/>
  <c r="E33" i="22"/>
  <c r="J27" i="21"/>
  <c r="L27" i="21"/>
  <c r="F37" i="42"/>
  <c r="D36" i="45"/>
  <c r="J36" i="21"/>
  <c r="L36" i="21"/>
  <c r="M25" i="21"/>
  <c r="N25" i="21"/>
  <c r="M24" i="21"/>
  <c r="N24" i="21"/>
  <c r="F43" i="42"/>
  <c r="C21" i="21"/>
  <c r="Z27" i="4"/>
  <c r="X33" i="4"/>
  <c r="W25" i="4"/>
  <c r="F34" i="22"/>
  <c r="AA33" i="4"/>
  <c r="K36" i="45"/>
  <c r="F42" i="42"/>
  <c r="O34" i="21"/>
  <c r="AA23" i="4"/>
  <c r="K26" i="45"/>
  <c r="J25" i="21"/>
  <c r="K25" i="21"/>
  <c r="Z30" i="4"/>
  <c r="F44" i="42"/>
  <c r="D37" i="22"/>
  <c r="E38" i="42"/>
  <c r="AD21" i="23"/>
  <c r="F45" i="42"/>
  <c r="G33" i="42"/>
  <c r="C29" i="21"/>
  <c r="Z29" i="4"/>
  <c r="F32" i="42"/>
  <c r="AD24" i="23"/>
  <c r="H24" i="42"/>
  <c r="L35" i="23"/>
  <c r="D26" i="22"/>
  <c r="D20" i="22"/>
  <c r="I29" i="22"/>
  <c r="R29" i="22"/>
  <c r="U32" i="23"/>
  <c r="V32" i="23"/>
  <c r="N19" i="21"/>
  <c r="O21" i="23"/>
  <c r="Q21" i="23"/>
  <c r="G31" i="42"/>
  <c r="G26" i="42"/>
  <c r="D26" i="45"/>
  <c r="F32" i="22"/>
  <c r="K24" i="23"/>
  <c r="L24" i="23"/>
  <c r="H13" i="21"/>
  <c r="G43" i="42"/>
  <c r="M10" i="21"/>
  <c r="O10" i="21"/>
  <c r="Y28" i="4"/>
  <c r="D13" i="22"/>
  <c r="I13" i="22"/>
  <c r="J13" i="22"/>
  <c r="S13" i="22"/>
  <c r="AD29" i="23"/>
  <c r="F31" i="42"/>
  <c r="W34" i="23"/>
  <c r="AB34" i="23"/>
  <c r="C34" i="45"/>
  <c r="D31" i="22"/>
  <c r="T34" i="23"/>
  <c r="V34" i="23"/>
  <c r="T25" i="23"/>
  <c r="V25" i="23"/>
  <c r="U17" i="23"/>
  <c r="V17" i="23"/>
  <c r="T19" i="23"/>
  <c r="V19" i="23"/>
  <c r="AC24" i="23"/>
  <c r="H29" i="42"/>
  <c r="G40" i="42"/>
  <c r="T30" i="23"/>
  <c r="U30" i="23"/>
  <c r="M28" i="21"/>
  <c r="F28" i="22"/>
  <c r="P25" i="23"/>
  <c r="O25" i="23"/>
  <c r="P30" i="23"/>
  <c r="Q30" i="23"/>
  <c r="J34" i="23"/>
  <c r="L34" i="23"/>
  <c r="C28" i="48"/>
  <c r="E28" i="48"/>
  <c r="Z11" i="4"/>
  <c r="J24" i="21"/>
  <c r="L24" i="21"/>
  <c r="F34" i="42"/>
  <c r="Y32" i="4"/>
  <c r="E50" i="42"/>
  <c r="O20" i="48"/>
  <c r="T28" i="23"/>
  <c r="U28" i="23"/>
  <c r="C13" i="21"/>
  <c r="Z21" i="4"/>
  <c r="E31" i="22"/>
  <c r="C9" i="22"/>
  <c r="W22" i="4"/>
  <c r="X31" i="4"/>
  <c r="D11" i="22"/>
  <c r="AC31" i="23"/>
  <c r="G32" i="42"/>
  <c r="E37" i="42"/>
  <c r="G34" i="42"/>
  <c r="E35" i="42"/>
  <c r="F29" i="22"/>
  <c r="F38" i="42"/>
  <c r="F19" i="42"/>
  <c r="M36" i="21"/>
  <c r="N36" i="21"/>
  <c r="M30" i="21"/>
  <c r="F30" i="22"/>
  <c r="C30" i="48"/>
  <c r="O30" i="48"/>
  <c r="F22" i="22"/>
  <c r="N27" i="21"/>
  <c r="J23" i="21"/>
  <c r="L23" i="21"/>
  <c r="D30" i="22"/>
  <c r="D34" i="22"/>
  <c r="C14" i="48"/>
  <c r="O14" i="48"/>
  <c r="C32" i="21"/>
  <c r="F29" i="23"/>
  <c r="G29" i="23"/>
  <c r="H41" i="42"/>
  <c r="C10" i="21"/>
  <c r="I11" i="21"/>
  <c r="J23" i="23"/>
  <c r="L23" i="23"/>
  <c r="G35" i="21"/>
  <c r="I35" i="21"/>
  <c r="F27" i="22"/>
  <c r="U27" i="23"/>
  <c r="T27" i="23"/>
  <c r="J32" i="23"/>
  <c r="L32" i="23"/>
  <c r="J20" i="21"/>
  <c r="L20" i="21"/>
  <c r="C32" i="48"/>
  <c r="O32" i="48"/>
  <c r="F36" i="42"/>
  <c r="H37" i="42"/>
  <c r="G30" i="42"/>
  <c r="T12" i="23"/>
  <c r="V12" i="23"/>
  <c r="AD34" i="23"/>
  <c r="W29" i="23"/>
  <c r="AB29" i="23"/>
  <c r="Y27" i="4"/>
  <c r="O11" i="48"/>
  <c r="P33" i="23"/>
  <c r="O33" i="23"/>
  <c r="H35" i="42"/>
  <c r="AA31" i="4"/>
  <c r="K34" i="45"/>
  <c r="D23" i="22"/>
  <c r="G23" i="21"/>
  <c r="C31" i="21"/>
  <c r="C31" i="22"/>
  <c r="H26" i="42"/>
  <c r="F12" i="22"/>
  <c r="H18" i="42"/>
  <c r="H43" i="42"/>
  <c r="C24" i="21"/>
  <c r="C24" i="22"/>
  <c r="I24" i="22"/>
  <c r="H44" i="42"/>
  <c r="E34" i="48"/>
  <c r="O34" i="48"/>
  <c r="E37" i="48"/>
  <c r="O37" i="48"/>
  <c r="F9" i="22"/>
  <c r="AC10" i="23"/>
  <c r="H30" i="42"/>
  <c r="H31" i="42"/>
  <c r="F41" i="42"/>
  <c r="AA36" i="4"/>
  <c r="C18" i="22"/>
  <c r="H19" i="42"/>
  <c r="AC29" i="23"/>
  <c r="Z36" i="4"/>
  <c r="M29" i="21"/>
  <c r="O29" i="21"/>
  <c r="E23" i="48"/>
  <c r="P23" i="48"/>
  <c r="O13" i="48"/>
  <c r="P13" i="48"/>
  <c r="I46" i="42"/>
  <c r="D36" i="22"/>
  <c r="G36" i="21"/>
  <c r="E44" i="42"/>
  <c r="D34" i="21"/>
  <c r="E34" i="21"/>
  <c r="O36" i="48"/>
  <c r="E36" i="48"/>
  <c r="X24" i="4"/>
  <c r="E35" i="48"/>
  <c r="O35" i="48"/>
  <c r="H34" i="42"/>
  <c r="Y36" i="4"/>
  <c r="G45" i="42"/>
  <c r="E39" i="42"/>
  <c r="AA34" i="4"/>
  <c r="K37" i="45"/>
  <c r="D38" i="45"/>
  <c r="D34" i="45"/>
  <c r="M11" i="21"/>
  <c r="M8" i="21"/>
  <c r="N8" i="21"/>
  <c r="Y26" i="4"/>
  <c r="G35" i="42"/>
  <c r="F39" i="42"/>
  <c r="AC34" i="23"/>
  <c r="AD31" i="23"/>
  <c r="I37" i="21"/>
  <c r="H20" i="42"/>
  <c r="E24" i="42"/>
  <c r="H40" i="42"/>
  <c r="W36" i="4"/>
  <c r="E45" i="42"/>
  <c r="H45" i="42"/>
  <c r="G39" i="42"/>
  <c r="E40" i="42"/>
  <c r="E21" i="48"/>
  <c r="E18" i="48"/>
  <c r="P18" i="48"/>
  <c r="E17" i="48"/>
  <c r="G36" i="42"/>
  <c r="E41" i="42"/>
  <c r="N32" i="21"/>
  <c r="O32" i="21"/>
  <c r="F18" i="42"/>
  <c r="E29" i="48"/>
  <c r="O29" i="48"/>
  <c r="G15" i="21"/>
  <c r="H15" i="21"/>
  <c r="G38" i="42"/>
  <c r="J32" i="21"/>
  <c r="E32" i="22"/>
  <c r="O18" i="4"/>
  <c r="S16" i="4"/>
  <c r="Z16" i="4"/>
  <c r="Q19" i="4"/>
  <c r="F28" i="42"/>
  <c r="O15" i="48"/>
  <c r="P15" i="48"/>
  <c r="S18" i="4"/>
  <c r="Z18" i="4"/>
  <c r="S10" i="4"/>
  <c r="Z10" i="4"/>
  <c r="S8" i="4"/>
  <c r="Y8" i="4"/>
  <c r="I14" i="21"/>
  <c r="O10" i="48"/>
  <c r="G16" i="42"/>
  <c r="G18" i="42"/>
  <c r="O9" i="4"/>
  <c r="AH9" i="4"/>
  <c r="O12" i="45"/>
  <c r="Q7" i="4"/>
  <c r="F16" i="42"/>
  <c r="Q11" i="4"/>
  <c r="X11" i="4"/>
  <c r="W9" i="23"/>
  <c r="AB9" i="23"/>
  <c r="Q17" i="4"/>
  <c r="F26" i="42"/>
  <c r="G20" i="42"/>
  <c r="J13" i="21"/>
  <c r="K13" i="21"/>
  <c r="D14" i="22"/>
  <c r="S20" i="4"/>
  <c r="Z20" i="4"/>
  <c r="O13" i="4"/>
  <c r="G21" i="42"/>
  <c r="D22" i="48"/>
  <c r="D21" i="48"/>
  <c r="E20" i="42"/>
  <c r="Q18" i="4"/>
  <c r="F27" i="42"/>
  <c r="O10" i="4"/>
  <c r="Q8" i="4"/>
  <c r="F17" i="42"/>
  <c r="G15" i="23"/>
  <c r="O20" i="4"/>
  <c r="F21" i="42"/>
  <c r="C16" i="48"/>
  <c r="W10" i="23"/>
  <c r="AB10" i="23"/>
  <c r="W21" i="23"/>
  <c r="AB21" i="23"/>
  <c r="W19" i="4"/>
  <c r="E14" i="22"/>
  <c r="O8" i="4"/>
  <c r="O12" i="4"/>
  <c r="Y19" i="4"/>
  <c r="G28" i="42"/>
  <c r="S15" i="4"/>
  <c r="Y15" i="4"/>
  <c r="O17" i="4"/>
  <c r="F25" i="42"/>
  <c r="D12" i="48"/>
  <c r="D11" i="48"/>
  <c r="D20" i="48"/>
  <c r="D14" i="48"/>
  <c r="D19" i="48"/>
  <c r="D17" i="48"/>
  <c r="D24" i="48"/>
  <c r="D10" i="48"/>
  <c r="K10" i="23"/>
  <c r="L10" i="23"/>
  <c r="W14" i="23"/>
  <c r="AB14" i="23"/>
  <c r="J14" i="23"/>
  <c r="L14" i="23"/>
  <c r="X12" i="4"/>
  <c r="O15" i="23"/>
  <c r="Q15" i="23"/>
  <c r="D42" i="26"/>
  <c r="T38" i="21"/>
  <c r="B45" i="28"/>
  <c r="D45" i="28"/>
  <c r="AD10" i="23"/>
  <c r="B12" i="28"/>
  <c r="F13" i="23"/>
  <c r="G13" i="23"/>
  <c r="W13" i="23"/>
  <c r="AB13" i="23"/>
  <c r="C20" i="45"/>
  <c r="E21" i="23"/>
  <c r="E16" i="22"/>
  <c r="J17" i="21"/>
  <c r="K17" i="21"/>
  <c r="J11" i="23"/>
  <c r="K11" i="23"/>
  <c r="C15" i="45"/>
  <c r="W11" i="23"/>
  <c r="AB11" i="23"/>
  <c r="O8" i="23"/>
  <c r="Q8" i="23"/>
  <c r="AC8" i="23"/>
  <c r="L21" i="21"/>
  <c r="W15" i="23"/>
  <c r="AB15" i="23"/>
  <c r="D22" i="22"/>
  <c r="I21" i="22"/>
  <c r="R21" i="22"/>
  <c r="W15" i="4"/>
  <c r="D52" i="28"/>
  <c r="C31" i="48"/>
  <c r="C31" i="45"/>
  <c r="C26" i="45"/>
  <c r="C26" i="48"/>
  <c r="L37" i="4"/>
  <c r="B17" i="28"/>
  <c r="AD13" i="23"/>
  <c r="AC33" i="23"/>
  <c r="AD33" i="23"/>
  <c r="T35" i="23"/>
  <c r="U35" i="23"/>
  <c r="P28" i="23"/>
  <c r="O28" i="23"/>
  <c r="J31" i="23"/>
  <c r="K31" i="23"/>
  <c r="D36" i="23"/>
  <c r="W36" i="23"/>
  <c r="AB36" i="23"/>
  <c r="AC16" i="23"/>
  <c r="AD16" i="23"/>
  <c r="C16" i="22"/>
  <c r="C16" i="21"/>
  <c r="P24" i="23"/>
  <c r="O24" i="23"/>
  <c r="Y30" i="4"/>
  <c r="W31" i="4"/>
  <c r="AD27" i="23"/>
  <c r="AC27" i="23"/>
  <c r="G32" i="21"/>
  <c r="D32" i="22"/>
  <c r="X30" i="4"/>
  <c r="M21" i="21"/>
  <c r="F21" i="22"/>
  <c r="AC12" i="23"/>
  <c r="AD12" i="23"/>
  <c r="C12" i="21"/>
  <c r="C12" i="22"/>
  <c r="L37" i="23"/>
  <c r="E28" i="22"/>
  <c r="J28" i="21"/>
  <c r="E23" i="23"/>
  <c r="F23" i="23"/>
  <c r="AD35" i="23"/>
  <c r="AC35" i="23"/>
  <c r="C35" i="21"/>
  <c r="C35" i="22"/>
  <c r="O31" i="23"/>
  <c r="P31" i="23"/>
  <c r="C37" i="45"/>
  <c r="G9" i="21"/>
  <c r="W9" i="21"/>
  <c r="E37" i="23"/>
  <c r="G37" i="23"/>
  <c r="C18" i="45"/>
  <c r="K9" i="23"/>
  <c r="L9" i="23"/>
  <c r="E9" i="22"/>
  <c r="AC9" i="23"/>
  <c r="AD9" i="23"/>
  <c r="L20" i="23"/>
  <c r="F18" i="22"/>
  <c r="M18" i="21"/>
  <c r="S14" i="4"/>
  <c r="Y14" i="4"/>
  <c r="D28" i="23"/>
  <c r="W28" i="23"/>
  <c r="AB28" i="23"/>
  <c r="Y33" i="4"/>
  <c r="AD30" i="23"/>
  <c r="AC30" i="23"/>
  <c r="C30" i="21"/>
  <c r="C30" i="22"/>
  <c r="I25" i="23"/>
  <c r="W25" i="23"/>
  <c r="AB25" i="23"/>
  <c r="AC36" i="23"/>
  <c r="AD36" i="23"/>
  <c r="C36" i="21"/>
  <c r="C36" i="22"/>
  <c r="J30" i="21"/>
  <c r="E30" i="22"/>
  <c r="Y29" i="4"/>
  <c r="C14" i="22"/>
  <c r="AD14" i="23"/>
  <c r="AC14" i="23"/>
  <c r="F16" i="23"/>
  <c r="E16" i="23"/>
  <c r="L33" i="21"/>
  <c r="K33" i="21"/>
  <c r="U29" i="23"/>
  <c r="T29" i="23"/>
  <c r="D35" i="23"/>
  <c r="W35" i="23"/>
  <c r="AB35" i="23"/>
  <c r="C37" i="21"/>
  <c r="AD37" i="23"/>
  <c r="AC37" i="23"/>
  <c r="C37" i="22"/>
  <c r="I26" i="21"/>
  <c r="H26" i="21"/>
  <c r="AD26" i="23"/>
  <c r="AC26" i="23"/>
  <c r="C26" i="21"/>
  <c r="C26" i="22"/>
  <c r="AC20" i="23"/>
  <c r="AD20" i="23"/>
  <c r="C33" i="21"/>
  <c r="AC15" i="23"/>
  <c r="AD15" i="23"/>
  <c r="AC28" i="23"/>
  <c r="AD28" i="23"/>
  <c r="O34" i="23"/>
  <c r="P34" i="23"/>
  <c r="AC25" i="23"/>
  <c r="AD25" i="23"/>
  <c r="C25" i="22"/>
  <c r="C25" i="21"/>
  <c r="G25" i="21"/>
  <c r="D25" i="22"/>
  <c r="I30" i="23"/>
  <c r="W30" i="23"/>
  <c r="AB30" i="23"/>
  <c r="AD18" i="23"/>
  <c r="AC18" i="23"/>
  <c r="W37" i="23"/>
  <c r="AB37" i="23"/>
  <c r="S37" i="23"/>
  <c r="C28" i="22"/>
  <c r="AD22" i="23"/>
  <c r="AC22" i="23"/>
  <c r="V24" i="23"/>
  <c r="C23" i="45"/>
  <c r="X24" i="23"/>
  <c r="AA35" i="4"/>
  <c r="K38" i="45"/>
  <c r="F18" i="23"/>
  <c r="G18" i="23"/>
  <c r="AC17" i="23"/>
  <c r="AD17" i="23"/>
  <c r="AD19" i="23"/>
  <c r="AC19" i="23"/>
  <c r="X12" i="23"/>
  <c r="F33" i="23"/>
  <c r="E33" i="23"/>
  <c r="E34" i="22"/>
  <c r="J34" i="21"/>
  <c r="P34" i="21"/>
  <c r="V34" i="21"/>
  <c r="C11" i="22"/>
  <c r="AD11" i="23"/>
  <c r="AC11" i="23"/>
  <c r="C11" i="21"/>
  <c r="J35" i="21"/>
  <c r="E35" i="22"/>
  <c r="AA24" i="4"/>
  <c r="D27" i="45"/>
  <c r="AC32" i="23"/>
  <c r="AD32" i="23"/>
  <c r="AC13" i="23"/>
  <c r="C23" i="21"/>
  <c r="AC23" i="23"/>
  <c r="AD23" i="23"/>
  <c r="C23" i="22"/>
  <c r="AC21" i="23"/>
  <c r="W34" i="4"/>
  <c r="D37" i="45"/>
  <c r="F37" i="22"/>
  <c r="M37" i="21"/>
  <c r="X25" i="4"/>
  <c r="D32" i="23"/>
  <c r="W32" i="23"/>
  <c r="AB32" i="23"/>
  <c r="K16" i="21"/>
  <c r="C10" i="45"/>
  <c r="AD8" i="23"/>
  <c r="J8" i="21"/>
  <c r="E8" i="22"/>
  <c r="Q20" i="4"/>
  <c r="P18" i="23"/>
  <c r="O18" i="23"/>
  <c r="K18" i="21"/>
  <c r="L18" i="21"/>
  <c r="E11" i="22"/>
  <c r="C17" i="45"/>
  <c r="E18" i="22"/>
  <c r="K19" i="23"/>
  <c r="J19" i="23"/>
  <c r="T8" i="23"/>
  <c r="U8" i="23"/>
  <c r="E15" i="22"/>
  <c r="J15" i="21"/>
  <c r="J11" i="21"/>
  <c r="X18" i="23"/>
  <c r="E17" i="23"/>
  <c r="J17" i="23"/>
  <c r="L17" i="23"/>
  <c r="F14" i="23"/>
  <c r="E14" i="23"/>
  <c r="Y7" i="4"/>
  <c r="X13" i="4"/>
  <c r="O20" i="23"/>
  <c r="P20" i="23"/>
  <c r="M14" i="21"/>
  <c r="W14" i="21"/>
  <c r="F14" i="22"/>
  <c r="Q14" i="4"/>
  <c r="P9" i="23"/>
  <c r="O9" i="23"/>
  <c r="C37" i="4"/>
  <c r="C13" i="45"/>
  <c r="W12" i="23"/>
  <c r="AB12" i="23"/>
  <c r="X17" i="23"/>
  <c r="T15" i="23"/>
  <c r="V15" i="23"/>
  <c r="H22" i="21"/>
  <c r="P17" i="23"/>
  <c r="O17" i="23"/>
  <c r="L39" i="48"/>
  <c r="M39" i="48"/>
  <c r="H20" i="21"/>
  <c r="I20" i="21"/>
  <c r="J13" i="23"/>
  <c r="K13" i="23"/>
  <c r="S13" i="4"/>
  <c r="G22" i="42"/>
  <c r="D8" i="22"/>
  <c r="G8" i="21"/>
  <c r="K9" i="21"/>
  <c r="L9" i="21"/>
  <c r="J18" i="23"/>
  <c r="K18" i="23"/>
  <c r="P11" i="23"/>
  <c r="O11" i="23"/>
  <c r="X11" i="23"/>
  <c r="Y11" i="4"/>
  <c r="L14" i="21"/>
  <c r="K14" i="21"/>
  <c r="V16" i="23"/>
  <c r="E12" i="22"/>
  <c r="X13" i="23"/>
  <c r="M15" i="21"/>
  <c r="F15" i="22"/>
  <c r="U13" i="23"/>
  <c r="T13" i="23"/>
  <c r="C17" i="21"/>
  <c r="C17" i="22"/>
  <c r="C19" i="22"/>
  <c r="C19" i="21"/>
  <c r="W18" i="23"/>
  <c r="AB18" i="23"/>
  <c r="G16" i="21"/>
  <c r="D16" i="22"/>
  <c r="G17" i="21"/>
  <c r="D17" i="22"/>
  <c r="O12" i="23"/>
  <c r="P12" i="23"/>
  <c r="V10" i="23"/>
  <c r="F14" i="21"/>
  <c r="S14" i="21"/>
  <c r="E14" i="21"/>
  <c r="D14" i="21"/>
  <c r="O16" i="4"/>
  <c r="C12" i="48"/>
  <c r="C12" i="45"/>
  <c r="C15" i="21"/>
  <c r="C15" i="22"/>
  <c r="M13" i="21"/>
  <c r="F13" i="22"/>
  <c r="C19" i="48"/>
  <c r="C19" i="45"/>
  <c r="Q15" i="4"/>
  <c r="F24" i="42"/>
  <c r="W17" i="23"/>
  <c r="AB17" i="23"/>
  <c r="G39" i="48"/>
  <c r="C21" i="45"/>
  <c r="E10" i="23"/>
  <c r="F10" i="23"/>
  <c r="G12" i="21"/>
  <c r="D12" i="22"/>
  <c r="J12" i="23"/>
  <c r="K12" i="23"/>
  <c r="K8" i="23"/>
  <c r="J8" i="23"/>
  <c r="X9" i="23"/>
  <c r="E9" i="23"/>
  <c r="F9" i="23"/>
  <c r="W16" i="23"/>
  <c r="AB16" i="23"/>
  <c r="I16" i="23"/>
  <c r="G18" i="21"/>
  <c r="D18" i="22"/>
  <c r="Q39" i="45"/>
  <c r="S39" i="45"/>
  <c r="F39" i="48"/>
  <c r="R39" i="45"/>
  <c r="J22" i="23"/>
  <c r="K22" i="23"/>
  <c r="D37" i="4"/>
  <c r="B13" i="28"/>
  <c r="Z25" i="4"/>
  <c r="AA25" i="4"/>
  <c r="K28" i="45"/>
  <c r="O22" i="21"/>
  <c r="N22" i="21"/>
  <c r="AA22" i="4"/>
  <c r="K25" i="45"/>
  <c r="D25" i="45"/>
  <c r="Z22" i="4"/>
  <c r="I33" i="23"/>
  <c r="W33" i="23"/>
  <c r="AB33" i="23"/>
  <c r="U21" i="23"/>
  <c r="T21" i="23"/>
  <c r="C22" i="48"/>
  <c r="C22" i="45"/>
  <c r="K12" i="21"/>
  <c r="L12" i="21"/>
  <c r="X34" i="23"/>
  <c r="E34" i="23"/>
  <c r="F34" i="23"/>
  <c r="C29" i="45"/>
  <c r="H29" i="21"/>
  <c r="I29" i="21"/>
  <c r="C8" i="21"/>
  <c r="F37" i="4"/>
  <c r="B14" i="28"/>
  <c r="C8" i="22"/>
  <c r="K26" i="23"/>
  <c r="X26" i="23"/>
  <c r="J26" i="23"/>
  <c r="T38" i="22"/>
  <c r="I10" i="21"/>
  <c r="H10" i="21"/>
  <c r="Q13" i="23"/>
  <c r="Z32" i="4"/>
  <c r="E44" i="26"/>
  <c r="C27" i="48"/>
  <c r="C33" i="48"/>
  <c r="J39" i="48"/>
  <c r="C58" i="28"/>
  <c r="D30" i="45"/>
  <c r="AA27" i="4"/>
  <c r="K30" i="45"/>
  <c r="P26" i="23"/>
  <c r="O26" i="23"/>
  <c r="O9" i="21"/>
  <c r="N9" i="21"/>
  <c r="V31" i="23"/>
  <c r="Y9" i="4"/>
  <c r="C22" i="22"/>
  <c r="C22" i="21"/>
  <c r="T22" i="23"/>
  <c r="U22" i="23"/>
  <c r="H31" i="21"/>
  <c r="I31" i="21"/>
  <c r="Q36" i="23"/>
  <c r="S23" i="23"/>
  <c r="W23" i="23"/>
  <c r="AB23" i="23"/>
  <c r="C27" i="21"/>
  <c r="C27" i="22"/>
  <c r="I27" i="22"/>
  <c r="D33" i="22"/>
  <c r="G33" i="21"/>
  <c r="H37" i="4"/>
  <c r="B15" i="28"/>
  <c r="W26" i="23"/>
  <c r="AB26" i="23"/>
  <c r="D20" i="23"/>
  <c r="W20" i="23"/>
  <c r="AB20" i="23"/>
  <c r="I34" i="21"/>
  <c r="H34" i="21"/>
  <c r="J15" i="23"/>
  <c r="X15" i="23"/>
  <c r="K15" i="23"/>
  <c r="Z15" i="23"/>
  <c r="V11" i="23"/>
  <c r="P14" i="23"/>
  <c r="X14" i="23"/>
  <c r="O14" i="23"/>
  <c r="U33" i="23"/>
  <c r="T33" i="23"/>
  <c r="E42" i="26"/>
  <c r="C64" i="28"/>
  <c r="D64" i="28"/>
  <c r="B16" i="38"/>
  <c r="Y12" i="4"/>
  <c r="Y21" i="4"/>
  <c r="E10" i="22"/>
  <c r="J10" i="21"/>
  <c r="J37" i="4"/>
  <c r="B16" i="28"/>
  <c r="N19" i="23"/>
  <c r="W19" i="23"/>
  <c r="AB19" i="23"/>
  <c r="W22" i="23"/>
  <c r="AB22" i="23"/>
  <c r="D22" i="23"/>
  <c r="O7" i="4"/>
  <c r="H30" i="21"/>
  <c r="I30" i="21"/>
  <c r="F9" i="21"/>
  <c r="S9" i="21"/>
  <c r="D9" i="21"/>
  <c r="E9" i="21"/>
  <c r="G19" i="23"/>
  <c r="AA29" i="4"/>
  <c r="K32" i="45"/>
  <c r="W29" i="4"/>
  <c r="D32" i="45"/>
  <c r="W28" i="4"/>
  <c r="D31" i="45"/>
  <c r="AA28" i="4"/>
  <c r="K31" i="45"/>
  <c r="X27" i="4"/>
  <c r="Y25" i="4"/>
  <c r="D31" i="23"/>
  <c r="W31" i="23"/>
  <c r="AB31" i="23"/>
  <c r="Z9" i="4"/>
  <c r="C24" i="48"/>
  <c r="C24" i="45"/>
  <c r="AA26" i="4"/>
  <c r="K29" i="45"/>
  <c r="D29" i="45"/>
  <c r="W26" i="4"/>
  <c r="AA32" i="4"/>
  <c r="K35" i="45"/>
  <c r="D35" i="45"/>
  <c r="X21" i="23"/>
  <c r="C20" i="22"/>
  <c r="C20" i="21"/>
  <c r="X21" i="4"/>
  <c r="C11" i="45"/>
  <c r="K39" i="48"/>
  <c r="D28" i="45"/>
  <c r="X28" i="4"/>
  <c r="J37" i="21"/>
  <c r="E37" i="22"/>
  <c r="X9" i="4"/>
  <c r="E22" i="22"/>
  <c r="J22" i="21"/>
  <c r="E26" i="22"/>
  <c r="J26" i="21"/>
  <c r="E28" i="21"/>
  <c r="F28" i="21"/>
  <c r="S28" i="21"/>
  <c r="D28" i="21"/>
  <c r="AA30" i="4"/>
  <c r="K33" i="45"/>
  <c r="W30" i="4"/>
  <c r="D33" i="45"/>
  <c r="V18" i="23"/>
  <c r="N10" i="23"/>
  <c r="M38" i="23"/>
  <c r="E19" i="22"/>
  <c r="J19" i="21"/>
  <c r="O21" i="4"/>
  <c r="AH21" i="4"/>
  <c r="O24" i="45"/>
  <c r="M23" i="21"/>
  <c r="F23" i="22"/>
  <c r="D27" i="23"/>
  <c r="W27" i="23"/>
  <c r="AB27" i="23"/>
  <c r="X32" i="4"/>
  <c r="D8" i="23"/>
  <c r="C38" i="23"/>
  <c r="W8" i="23"/>
  <c r="AB8" i="23"/>
  <c r="S20" i="23"/>
  <c r="R38" i="23"/>
  <c r="K31" i="21"/>
  <c r="L31" i="21"/>
  <c r="I12" i="45"/>
  <c r="I39" i="45"/>
  <c r="AE37" i="4"/>
  <c r="F18" i="21"/>
  <c r="S18" i="21"/>
  <c r="D18" i="21"/>
  <c r="E18" i="21"/>
  <c r="N12" i="21"/>
  <c r="O12" i="21"/>
  <c r="Q16" i="23"/>
  <c r="M33" i="21"/>
  <c r="F33" i="22"/>
  <c r="H38" i="23"/>
  <c r="G25" i="45"/>
  <c r="N35" i="21"/>
  <c r="H19" i="21"/>
  <c r="O20" i="21"/>
  <c r="AH16" i="4"/>
  <c r="O19" i="45"/>
  <c r="AH10" i="4"/>
  <c r="O13" i="45"/>
  <c r="J42" i="42"/>
  <c r="K42" i="42"/>
  <c r="J36" i="45"/>
  <c r="AC33" i="4"/>
  <c r="H36" i="45"/>
  <c r="AB37" i="4"/>
  <c r="I24" i="21"/>
  <c r="I21" i="21"/>
  <c r="G39" i="45"/>
  <c r="W14" i="4"/>
  <c r="AI11" i="4"/>
  <c r="P14" i="45"/>
  <c r="AH20" i="4"/>
  <c r="O23" i="45"/>
  <c r="E16" i="42"/>
  <c r="AG7" i="4"/>
  <c r="N10" i="45"/>
  <c r="AI7" i="4"/>
  <c r="AH11" i="4"/>
  <c r="O14" i="45"/>
  <c r="W8" i="4"/>
  <c r="AG8" i="4"/>
  <c r="N11" i="45"/>
  <c r="AI8" i="4"/>
  <c r="P11" i="45"/>
  <c r="AH7" i="4"/>
  <c r="E18" i="42"/>
  <c r="AI9" i="4"/>
  <c r="P12" i="45"/>
  <c r="AG9" i="4"/>
  <c r="N12" i="45"/>
  <c r="AH15" i="4"/>
  <c r="O18" i="45"/>
  <c r="AG11" i="4"/>
  <c r="N14" i="45"/>
  <c r="W10" i="4"/>
  <c r="AI10" i="4"/>
  <c r="P13" i="45"/>
  <c r="AG10" i="4"/>
  <c r="N13" i="45"/>
  <c r="AG15" i="4"/>
  <c r="N18" i="45"/>
  <c r="AH8" i="4"/>
  <c r="O11" i="45"/>
  <c r="E30" i="42"/>
  <c r="AG21" i="4"/>
  <c r="N24" i="45"/>
  <c r="AI21" i="4"/>
  <c r="P24" i="45"/>
  <c r="AI12" i="4"/>
  <c r="P15" i="45"/>
  <c r="AG12" i="4"/>
  <c r="N15" i="45"/>
  <c r="E25" i="42"/>
  <c r="AG16" i="4"/>
  <c r="N19" i="45"/>
  <c r="AI16" i="4"/>
  <c r="P19" i="45"/>
  <c r="AI14" i="4"/>
  <c r="P17" i="45"/>
  <c r="AG14" i="4"/>
  <c r="N17" i="45"/>
  <c r="AI19" i="4"/>
  <c r="P22" i="45"/>
  <c r="AH14" i="4"/>
  <c r="O17" i="45"/>
  <c r="AH12" i="4"/>
  <c r="O15" i="45"/>
  <c r="W17" i="4"/>
  <c r="AG17" i="4"/>
  <c r="N20" i="45"/>
  <c r="AI17" i="4"/>
  <c r="P20" i="45"/>
  <c r="W20" i="4"/>
  <c r="AG20" i="4"/>
  <c r="N23" i="45"/>
  <c r="AI20" i="4"/>
  <c r="P23" i="45"/>
  <c r="AH19" i="4"/>
  <c r="O22" i="45"/>
  <c r="AH17" i="4"/>
  <c r="O20" i="45"/>
  <c r="W13" i="4"/>
  <c r="AG13" i="4"/>
  <c r="N16" i="45"/>
  <c r="AI13" i="4"/>
  <c r="P16" i="45"/>
  <c r="W18" i="4"/>
  <c r="AG18" i="4"/>
  <c r="N21" i="45"/>
  <c r="AI18" i="4"/>
  <c r="P21" i="45"/>
  <c r="AH18" i="4"/>
  <c r="O21" i="45"/>
  <c r="AG19" i="4"/>
  <c r="N22" i="45"/>
  <c r="AH13" i="4"/>
  <c r="O16" i="45"/>
  <c r="AI15" i="4"/>
  <c r="P18" i="45"/>
  <c r="K36" i="21"/>
  <c r="X7" i="4"/>
  <c r="Y29" i="23"/>
  <c r="E38" i="45"/>
  <c r="P20" i="21"/>
  <c r="V20" i="21"/>
  <c r="P27" i="21"/>
  <c r="V27" i="21"/>
  <c r="P18" i="21"/>
  <c r="V18" i="21"/>
  <c r="P28" i="21"/>
  <c r="V28" i="21"/>
  <c r="Z21" i="23"/>
  <c r="I23" i="22"/>
  <c r="R23" i="22"/>
  <c r="P16" i="21"/>
  <c r="V16" i="21"/>
  <c r="P22" i="21"/>
  <c r="V22" i="21"/>
  <c r="P15" i="21"/>
  <c r="V15" i="21"/>
  <c r="P35" i="21"/>
  <c r="V35" i="21"/>
  <c r="P24" i="21"/>
  <c r="V24" i="21"/>
  <c r="P26" i="21"/>
  <c r="V26" i="21"/>
  <c r="P30" i="21"/>
  <c r="V30" i="21"/>
  <c r="W31" i="21"/>
  <c r="P31" i="21"/>
  <c r="V31" i="21"/>
  <c r="E32" i="21"/>
  <c r="P32" i="21"/>
  <c r="V32" i="21"/>
  <c r="F13" i="21"/>
  <c r="S13" i="21"/>
  <c r="P13" i="21"/>
  <c r="V13" i="21"/>
  <c r="P37" i="21"/>
  <c r="V37" i="21"/>
  <c r="E10" i="21"/>
  <c r="P10" i="21"/>
  <c r="V10" i="21"/>
  <c r="F21" i="21"/>
  <c r="S21" i="21"/>
  <c r="P21" i="21"/>
  <c r="V21" i="21"/>
  <c r="P17" i="21"/>
  <c r="V17" i="21"/>
  <c r="P11" i="21"/>
  <c r="V11" i="21"/>
  <c r="P19" i="21"/>
  <c r="V19" i="21"/>
  <c r="F33" i="21"/>
  <c r="S33" i="21"/>
  <c r="P33" i="21"/>
  <c r="V33" i="21"/>
  <c r="P14" i="21"/>
  <c r="V14" i="21"/>
  <c r="P8" i="21"/>
  <c r="V8" i="21"/>
  <c r="P23" i="21"/>
  <c r="V23" i="21"/>
  <c r="P25" i="21"/>
  <c r="V25" i="21"/>
  <c r="P36" i="21"/>
  <c r="V36" i="21"/>
  <c r="P12" i="21"/>
  <c r="V12" i="21"/>
  <c r="E29" i="21"/>
  <c r="R29" i="21"/>
  <c r="P29" i="21"/>
  <c r="V29" i="21"/>
  <c r="P9" i="21"/>
  <c r="V9" i="21"/>
  <c r="Y24" i="23"/>
  <c r="E26" i="45"/>
  <c r="P21" i="48"/>
  <c r="E27" i="45"/>
  <c r="E30" i="48"/>
  <c r="P30" i="48"/>
  <c r="Z17" i="23"/>
  <c r="U37" i="4"/>
  <c r="O25" i="48"/>
  <c r="Z12" i="4"/>
  <c r="H16" i="42"/>
  <c r="H46" i="42"/>
  <c r="K29" i="21"/>
  <c r="D21" i="21"/>
  <c r="H27" i="21"/>
  <c r="K24" i="21"/>
  <c r="D13" i="21"/>
  <c r="O25" i="21"/>
  <c r="I37" i="22"/>
  <c r="R37" i="22"/>
  <c r="I20" i="22"/>
  <c r="J20" i="22"/>
  <c r="S20" i="22"/>
  <c r="P20" i="48"/>
  <c r="O24" i="21"/>
  <c r="I33" i="22"/>
  <c r="J33" i="22"/>
  <c r="S33" i="22"/>
  <c r="E21" i="21"/>
  <c r="O38" i="48"/>
  <c r="P38" i="48"/>
  <c r="K27" i="21"/>
  <c r="G33" i="23"/>
  <c r="L25" i="21"/>
  <c r="N10" i="21"/>
  <c r="I32" i="22"/>
  <c r="R32" i="22"/>
  <c r="D29" i="21"/>
  <c r="F10" i="21"/>
  <c r="S10" i="21"/>
  <c r="AD31" i="4"/>
  <c r="F34" i="45"/>
  <c r="O36" i="21"/>
  <c r="AD33" i="4"/>
  <c r="F36" i="45"/>
  <c r="F29" i="21"/>
  <c r="S29" i="21"/>
  <c r="E33" i="21"/>
  <c r="E13" i="21"/>
  <c r="N29" i="21"/>
  <c r="W25" i="21"/>
  <c r="D33" i="21"/>
  <c r="I34" i="22"/>
  <c r="R34" i="22"/>
  <c r="AD34" i="4"/>
  <c r="F37" i="45"/>
  <c r="I15" i="21"/>
  <c r="I25" i="22"/>
  <c r="J25" i="22"/>
  <c r="S25" i="22"/>
  <c r="V30" i="23"/>
  <c r="Z34" i="23"/>
  <c r="R13" i="22"/>
  <c r="I9" i="22"/>
  <c r="J9" i="22"/>
  <c r="S9" i="22"/>
  <c r="E34" i="45"/>
  <c r="D22" i="45"/>
  <c r="E17" i="42"/>
  <c r="G17" i="42"/>
  <c r="E32" i="48"/>
  <c r="P32" i="48"/>
  <c r="Z24" i="23"/>
  <c r="Y20" i="4"/>
  <c r="P11" i="48"/>
  <c r="J29" i="22"/>
  <c r="S29" i="22"/>
  <c r="Z26" i="23"/>
  <c r="X17" i="4"/>
  <c r="AA18" i="4"/>
  <c r="K21" i="45"/>
  <c r="V28" i="23"/>
  <c r="I26" i="22"/>
  <c r="J26" i="22"/>
  <c r="S26" i="22"/>
  <c r="E30" i="45"/>
  <c r="L44" i="4"/>
  <c r="W18" i="21"/>
  <c r="Q31" i="23"/>
  <c r="O28" i="48"/>
  <c r="P28" i="48"/>
  <c r="W32" i="21"/>
  <c r="O28" i="21"/>
  <c r="N28" i="21"/>
  <c r="P37" i="48"/>
  <c r="E35" i="45"/>
  <c r="Z29" i="23"/>
  <c r="AD35" i="4"/>
  <c r="G29" i="42"/>
  <c r="P36" i="48"/>
  <c r="Q25" i="23"/>
  <c r="W12" i="4"/>
  <c r="I31" i="22"/>
  <c r="J31" i="22"/>
  <c r="S31" i="22"/>
  <c r="AD23" i="4"/>
  <c r="I14" i="22"/>
  <c r="R14" i="22"/>
  <c r="AA19" i="4"/>
  <c r="K22" i="45"/>
  <c r="X19" i="4"/>
  <c r="E22" i="45"/>
  <c r="E27" i="42"/>
  <c r="Z8" i="4"/>
  <c r="D32" i="21"/>
  <c r="D14" i="45"/>
  <c r="Y13" i="23"/>
  <c r="K20" i="21"/>
  <c r="O8" i="21"/>
  <c r="J21" i="22"/>
  <c r="S21" i="22"/>
  <c r="V29" i="23"/>
  <c r="AA29" i="23"/>
  <c r="I36" i="22"/>
  <c r="R36" i="22"/>
  <c r="D13" i="45"/>
  <c r="AA10" i="4"/>
  <c r="K13" i="45"/>
  <c r="Q24" i="23"/>
  <c r="AA24" i="23"/>
  <c r="Y18" i="4"/>
  <c r="F20" i="42"/>
  <c r="AD11" i="4"/>
  <c r="E14" i="48"/>
  <c r="P14" i="48"/>
  <c r="Q33" i="23"/>
  <c r="K23" i="21"/>
  <c r="F32" i="21"/>
  <c r="S32" i="21"/>
  <c r="D10" i="21"/>
  <c r="Y21" i="23"/>
  <c r="P29" i="48"/>
  <c r="AA17" i="4"/>
  <c r="K20" i="45"/>
  <c r="Q26" i="23"/>
  <c r="V8" i="23"/>
  <c r="H35" i="21"/>
  <c r="P35" i="48"/>
  <c r="P34" i="48"/>
  <c r="V27" i="23"/>
  <c r="O30" i="21"/>
  <c r="N30" i="21"/>
  <c r="E26" i="48"/>
  <c r="O26" i="48"/>
  <c r="N11" i="21"/>
  <c r="O11" i="21"/>
  <c r="D12" i="45"/>
  <c r="E33" i="48"/>
  <c r="O33" i="48"/>
  <c r="W29" i="21"/>
  <c r="D24" i="21"/>
  <c r="F24" i="21"/>
  <c r="S24" i="21"/>
  <c r="E24" i="21"/>
  <c r="D15" i="45"/>
  <c r="W24" i="21"/>
  <c r="AA12" i="4"/>
  <c r="K15" i="45"/>
  <c r="AA9" i="4"/>
  <c r="K12" i="45"/>
  <c r="AD22" i="4"/>
  <c r="F25" i="45"/>
  <c r="L17" i="21"/>
  <c r="W9" i="4"/>
  <c r="E12" i="45"/>
  <c r="E14" i="45"/>
  <c r="D17" i="45"/>
  <c r="W11" i="21"/>
  <c r="E31" i="48"/>
  <c r="O31" i="48"/>
  <c r="P17" i="48"/>
  <c r="G24" i="42"/>
  <c r="E21" i="42"/>
  <c r="D21" i="45"/>
  <c r="L32" i="21"/>
  <c r="K32" i="21"/>
  <c r="J24" i="22"/>
  <c r="S24" i="22"/>
  <c r="R24" i="22"/>
  <c r="Z15" i="4"/>
  <c r="Y10" i="4"/>
  <c r="H23" i="21"/>
  <c r="I23" i="21"/>
  <c r="H9" i="21"/>
  <c r="Q9" i="21"/>
  <c r="E27" i="48"/>
  <c r="O27" i="48"/>
  <c r="I15" i="22"/>
  <c r="R15" i="22"/>
  <c r="AA11" i="4"/>
  <c r="K14" i="45"/>
  <c r="AA8" i="4"/>
  <c r="K11" i="45"/>
  <c r="I30" i="22"/>
  <c r="J30" i="22"/>
  <c r="S30" i="22"/>
  <c r="D11" i="45"/>
  <c r="H36" i="21"/>
  <c r="I36" i="21"/>
  <c r="D31" i="21"/>
  <c r="Q31" i="21"/>
  <c r="F31" i="21"/>
  <c r="S31" i="21"/>
  <c r="E31" i="21"/>
  <c r="R31" i="21"/>
  <c r="O24" i="48"/>
  <c r="E24" i="48"/>
  <c r="X8" i="4"/>
  <c r="D20" i="45"/>
  <c r="O12" i="48"/>
  <c r="E12" i="48"/>
  <c r="L13" i="21"/>
  <c r="E19" i="42"/>
  <c r="E22" i="42"/>
  <c r="G23" i="42"/>
  <c r="G19" i="42"/>
  <c r="G27" i="42"/>
  <c r="O22" i="48"/>
  <c r="E22" i="48"/>
  <c r="E19" i="48"/>
  <c r="O19" i="48"/>
  <c r="F29" i="42"/>
  <c r="E16" i="48"/>
  <c r="O16" i="48"/>
  <c r="X18" i="4"/>
  <c r="Y16" i="4"/>
  <c r="X14" i="4"/>
  <c r="Q20" i="23"/>
  <c r="E26" i="42"/>
  <c r="F23" i="42"/>
  <c r="E29" i="42"/>
  <c r="G25" i="42"/>
  <c r="H16" i="38"/>
  <c r="G16" i="38"/>
  <c r="P46" i="21"/>
  <c r="Y17" i="23"/>
  <c r="G21" i="23"/>
  <c r="B42" i="28"/>
  <c r="D42" i="28"/>
  <c r="K11" i="21"/>
  <c r="I18" i="22"/>
  <c r="R18" i="22"/>
  <c r="L11" i="21"/>
  <c r="I11" i="22"/>
  <c r="R11" i="22"/>
  <c r="Q18" i="23"/>
  <c r="C61" i="28"/>
  <c r="D65" i="28"/>
  <c r="B17" i="38"/>
  <c r="L11" i="23"/>
  <c r="G17" i="23"/>
  <c r="Z12" i="23"/>
  <c r="Y11" i="23"/>
  <c r="Z9" i="23"/>
  <c r="Y12" i="23"/>
  <c r="I16" i="22"/>
  <c r="R16" i="22"/>
  <c r="Z11" i="23"/>
  <c r="G16" i="23"/>
  <c r="K34" i="21"/>
  <c r="Q34" i="21"/>
  <c r="L34" i="21"/>
  <c r="R34" i="21"/>
  <c r="X28" i="23"/>
  <c r="F28" i="23"/>
  <c r="Z28" i="23"/>
  <c r="E28" i="23"/>
  <c r="E12" i="21"/>
  <c r="D12" i="21"/>
  <c r="F12" i="21"/>
  <c r="S12" i="21"/>
  <c r="N21" i="21"/>
  <c r="O21" i="21"/>
  <c r="I32" i="21"/>
  <c r="H32" i="21"/>
  <c r="E36" i="23"/>
  <c r="F36" i="23"/>
  <c r="Z36" i="23"/>
  <c r="X36" i="23"/>
  <c r="Q34" i="23"/>
  <c r="S37" i="4"/>
  <c r="AD28" i="4"/>
  <c r="F31" i="45"/>
  <c r="Z14" i="23"/>
  <c r="AD19" i="4"/>
  <c r="F22" i="45"/>
  <c r="Q37" i="4"/>
  <c r="W12" i="21"/>
  <c r="Z18" i="23"/>
  <c r="E37" i="45"/>
  <c r="K35" i="21"/>
  <c r="L35" i="21"/>
  <c r="E37" i="21"/>
  <c r="D37" i="21"/>
  <c r="F37" i="21"/>
  <c r="S37" i="21"/>
  <c r="D30" i="21"/>
  <c r="F30" i="21"/>
  <c r="S30" i="21"/>
  <c r="E30" i="21"/>
  <c r="D35" i="21"/>
  <c r="F35" i="21"/>
  <c r="S35" i="21"/>
  <c r="E35" i="21"/>
  <c r="W35" i="21"/>
  <c r="G23" i="23"/>
  <c r="L31" i="23"/>
  <c r="V35" i="23"/>
  <c r="AD24" i="4"/>
  <c r="F27" i="45"/>
  <c r="E36" i="45"/>
  <c r="Z13" i="23"/>
  <c r="F23" i="21"/>
  <c r="S23" i="21"/>
  <c r="E23" i="21"/>
  <c r="D23" i="21"/>
  <c r="K27" i="45"/>
  <c r="E25" i="21"/>
  <c r="F25" i="21"/>
  <c r="S25" i="21"/>
  <c r="D25" i="21"/>
  <c r="F35" i="23"/>
  <c r="Z35" i="23"/>
  <c r="E35" i="23"/>
  <c r="X35" i="23"/>
  <c r="X25" i="23"/>
  <c r="J25" i="23"/>
  <c r="K25" i="23"/>
  <c r="Z25" i="23"/>
  <c r="L28" i="21"/>
  <c r="K28" i="21"/>
  <c r="I9" i="21"/>
  <c r="R9" i="21"/>
  <c r="K30" i="23"/>
  <c r="Z30" i="23"/>
  <c r="J30" i="23"/>
  <c r="X30" i="23"/>
  <c r="L30" i="21"/>
  <c r="K30" i="21"/>
  <c r="Z14" i="4"/>
  <c r="I35" i="22"/>
  <c r="W23" i="21"/>
  <c r="W28" i="21"/>
  <c r="W30" i="21"/>
  <c r="W34" i="21"/>
  <c r="I38" i="23"/>
  <c r="G14" i="23"/>
  <c r="W21" i="21"/>
  <c r="E32" i="23"/>
  <c r="F32" i="23"/>
  <c r="Z32" i="23"/>
  <c r="X32" i="23"/>
  <c r="O37" i="21"/>
  <c r="N37" i="21"/>
  <c r="D11" i="21"/>
  <c r="E11" i="21"/>
  <c r="F11" i="21"/>
  <c r="S11" i="21"/>
  <c r="I28" i="22"/>
  <c r="U37" i="23"/>
  <c r="Z37" i="23"/>
  <c r="T37" i="23"/>
  <c r="X37" i="23"/>
  <c r="H25" i="21"/>
  <c r="I25" i="21"/>
  <c r="D26" i="21"/>
  <c r="E26" i="21"/>
  <c r="F26" i="21"/>
  <c r="S26" i="21"/>
  <c r="D36" i="21"/>
  <c r="F36" i="21"/>
  <c r="S36" i="21"/>
  <c r="E36" i="21"/>
  <c r="W36" i="21"/>
  <c r="O18" i="21"/>
  <c r="N18" i="21"/>
  <c r="E16" i="21"/>
  <c r="D16" i="21"/>
  <c r="F16" i="21"/>
  <c r="S16" i="21"/>
  <c r="Q28" i="23"/>
  <c r="W33" i="21"/>
  <c r="K8" i="21"/>
  <c r="L8" i="21"/>
  <c r="I25" i="48"/>
  <c r="O14" i="21"/>
  <c r="R14" i="21"/>
  <c r="N14" i="21"/>
  <c r="Q14" i="21"/>
  <c r="D23" i="45"/>
  <c r="X15" i="4"/>
  <c r="AA14" i="4"/>
  <c r="K17" i="45"/>
  <c r="AA20" i="4"/>
  <c r="K23" i="45"/>
  <c r="I19" i="22"/>
  <c r="J19" i="22"/>
  <c r="S19" i="22"/>
  <c r="Y18" i="23"/>
  <c r="Q17" i="23"/>
  <c r="Q9" i="23"/>
  <c r="K15" i="21"/>
  <c r="L15" i="21"/>
  <c r="L19" i="23"/>
  <c r="X20" i="4"/>
  <c r="W16" i="4"/>
  <c r="AA16" i="4"/>
  <c r="K19" i="45"/>
  <c r="D19" i="45"/>
  <c r="H8" i="21"/>
  <c r="I8" i="21"/>
  <c r="L13" i="23"/>
  <c r="L22" i="23"/>
  <c r="L12" i="23"/>
  <c r="G10" i="23"/>
  <c r="Q12" i="23"/>
  <c r="E17" i="21"/>
  <c r="F17" i="21"/>
  <c r="S17" i="21"/>
  <c r="W17" i="21"/>
  <c r="D17" i="21"/>
  <c r="L18" i="23"/>
  <c r="J16" i="23"/>
  <c r="K16" i="23"/>
  <c r="Z16" i="23"/>
  <c r="X16" i="23"/>
  <c r="H12" i="21"/>
  <c r="I12" i="21"/>
  <c r="I17" i="21"/>
  <c r="H17" i="21"/>
  <c r="D18" i="45"/>
  <c r="AA15" i="4"/>
  <c r="K18" i="45"/>
  <c r="N13" i="21"/>
  <c r="O13" i="21"/>
  <c r="W13" i="21"/>
  <c r="F19" i="21"/>
  <c r="S19" i="21"/>
  <c r="D19" i="21"/>
  <c r="E19" i="21"/>
  <c r="AB38" i="23"/>
  <c r="B26" i="28"/>
  <c r="F38" i="22"/>
  <c r="C39" i="48"/>
  <c r="AD38" i="23"/>
  <c r="B28" i="28"/>
  <c r="H18" i="21"/>
  <c r="I18" i="21"/>
  <c r="Y9" i="23"/>
  <c r="G9" i="23"/>
  <c r="L8" i="23"/>
  <c r="E15" i="21"/>
  <c r="W15" i="21"/>
  <c r="F15" i="21"/>
  <c r="S15" i="21"/>
  <c r="D15" i="21"/>
  <c r="I16" i="21"/>
  <c r="H16" i="21"/>
  <c r="W16" i="21"/>
  <c r="I17" i="22"/>
  <c r="V13" i="23"/>
  <c r="O15" i="21"/>
  <c r="N15" i="21"/>
  <c r="I12" i="22"/>
  <c r="Q11" i="23"/>
  <c r="Z13" i="4"/>
  <c r="D16" i="45"/>
  <c r="AA13" i="4"/>
  <c r="K16" i="45"/>
  <c r="Y13" i="4"/>
  <c r="C39" i="45"/>
  <c r="F8" i="23"/>
  <c r="D38" i="23"/>
  <c r="E8" i="23"/>
  <c r="X8" i="23"/>
  <c r="E28" i="45"/>
  <c r="P19" i="23"/>
  <c r="O19" i="23"/>
  <c r="Y19" i="23"/>
  <c r="X19" i="23"/>
  <c r="E45" i="26"/>
  <c r="E46" i="26"/>
  <c r="U20" i="23"/>
  <c r="T20" i="23"/>
  <c r="S38" i="23"/>
  <c r="F27" i="23"/>
  <c r="Z27" i="23"/>
  <c r="E27" i="23"/>
  <c r="X27" i="23"/>
  <c r="K22" i="21"/>
  <c r="L22" i="21"/>
  <c r="E31" i="23"/>
  <c r="F31" i="23"/>
  <c r="Z31" i="23"/>
  <c r="X31" i="23"/>
  <c r="AD26" i="4"/>
  <c r="F29" i="45"/>
  <c r="X22" i="23"/>
  <c r="F22" i="23"/>
  <c r="Z22" i="23"/>
  <c r="E22" i="23"/>
  <c r="D38" i="22"/>
  <c r="AD36" i="4"/>
  <c r="N33" i="21"/>
  <c r="O33" i="21"/>
  <c r="K19" i="21"/>
  <c r="L19" i="21"/>
  <c r="W19" i="21"/>
  <c r="E33" i="45"/>
  <c r="L37" i="21"/>
  <c r="K37" i="21"/>
  <c r="W37" i="21"/>
  <c r="E31" i="45"/>
  <c r="E32" i="45"/>
  <c r="AA7" i="4"/>
  <c r="W7" i="4"/>
  <c r="O37" i="4"/>
  <c r="D10" i="45"/>
  <c r="V33" i="23"/>
  <c r="F20" i="23"/>
  <c r="E20" i="23"/>
  <c r="X20" i="23"/>
  <c r="R27" i="22"/>
  <c r="J27" i="22"/>
  <c r="S27" i="22"/>
  <c r="E22" i="21"/>
  <c r="F22" i="21"/>
  <c r="S22" i="21"/>
  <c r="D22" i="21"/>
  <c r="W22" i="21"/>
  <c r="Y26" i="23"/>
  <c r="L26" i="23"/>
  <c r="L10" i="21"/>
  <c r="K10" i="21"/>
  <c r="J38" i="21"/>
  <c r="H33" i="21"/>
  <c r="I33" i="21"/>
  <c r="L41" i="4"/>
  <c r="O23" i="21"/>
  <c r="N23" i="21"/>
  <c r="O10" i="23"/>
  <c r="P10" i="23"/>
  <c r="N38" i="23"/>
  <c r="X10" i="23"/>
  <c r="F20" i="21"/>
  <c r="S20" i="21"/>
  <c r="E20" i="21"/>
  <c r="D20" i="21"/>
  <c r="W20" i="21"/>
  <c r="E29" i="45"/>
  <c r="AD29" i="4"/>
  <c r="F32" i="45"/>
  <c r="E38" i="22"/>
  <c r="I10" i="22"/>
  <c r="Q14" i="23"/>
  <c r="Y14" i="23"/>
  <c r="E27" i="21"/>
  <c r="R27" i="21"/>
  <c r="W27" i="21"/>
  <c r="F27" i="21"/>
  <c r="S27" i="21"/>
  <c r="D27" i="21"/>
  <c r="V22" i="23"/>
  <c r="M38" i="21"/>
  <c r="AD30" i="4"/>
  <c r="F33" i="45"/>
  <c r="G38" i="21"/>
  <c r="W10" i="21"/>
  <c r="AC38" i="23"/>
  <c r="B27" i="28"/>
  <c r="F8" i="21"/>
  <c r="S8" i="21"/>
  <c r="W8" i="21"/>
  <c r="C38" i="21"/>
  <c r="D8" i="21"/>
  <c r="E8" i="21"/>
  <c r="E25" i="45"/>
  <c r="W38" i="23"/>
  <c r="AD32" i="4"/>
  <c r="D24" i="45"/>
  <c r="W21" i="4"/>
  <c r="AA21" i="4"/>
  <c r="K24" i="45"/>
  <c r="K26" i="21"/>
  <c r="L26" i="21"/>
  <c r="W26" i="21"/>
  <c r="AD25" i="4"/>
  <c r="F28" i="45"/>
  <c r="AD27" i="4"/>
  <c r="F30" i="45"/>
  <c r="L43" i="4"/>
  <c r="L15" i="23"/>
  <c r="Y15" i="23"/>
  <c r="C18" i="36"/>
  <c r="D18" i="36"/>
  <c r="L42" i="4"/>
  <c r="T23" i="23"/>
  <c r="U23" i="23"/>
  <c r="Z23" i="23"/>
  <c r="X23" i="23"/>
  <c r="I22" i="22"/>
  <c r="I8" i="22"/>
  <c r="C38" i="22"/>
  <c r="G34" i="23"/>
  <c r="Y34" i="23"/>
  <c r="V21" i="23"/>
  <c r="X33" i="23"/>
  <c r="K33" i="23"/>
  <c r="Z33" i="23"/>
  <c r="J33" i="23"/>
  <c r="D39" i="48"/>
  <c r="R20" i="21"/>
  <c r="J20" i="42"/>
  <c r="K20" i="42"/>
  <c r="H14" i="45"/>
  <c r="J14" i="45"/>
  <c r="AC11" i="4"/>
  <c r="AJ11" i="4"/>
  <c r="J10" i="45"/>
  <c r="H10" i="45"/>
  <c r="AC7" i="4"/>
  <c r="J27" i="42"/>
  <c r="K27" i="42"/>
  <c r="H21" i="45"/>
  <c r="AC18" i="4"/>
  <c r="J21" i="45"/>
  <c r="J21" i="42"/>
  <c r="K21" i="42"/>
  <c r="J15" i="45"/>
  <c r="H15" i="45"/>
  <c r="AC12" i="4"/>
  <c r="J39" i="42"/>
  <c r="K39" i="42"/>
  <c r="H33" i="45"/>
  <c r="AC30" i="4"/>
  <c r="AJ30" i="4"/>
  <c r="J33" i="45"/>
  <c r="J32" i="42"/>
  <c r="K32" i="42"/>
  <c r="J26" i="45"/>
  <c r="AC23" i="4"/>
  <c r="AJ23" i="4"/>
  <c r="H26" i="45"/>
  <c r="J24" i="42"/>
  <c r="K24" i="42"/>
  <c r="J18" i="45"/>
  <c r="AC15" i="4"/>
  <c r="H18" i="45"/>
  <c r="J26" i="42"/>
  <c r="K26" i="42"/>
  <c r="J20" i="45"/>
  <c r="AC17" i="4"/>
  <c r="H20" i="45"/>
  <c r="J17" i="42"/>
  <c r="K17" i="42"/>
  <c r="J11" i="45"/>
  <c r="H11" i="45"/>
  <c r="AC8" i="4"/>
  <c r="J44" i="42"/>
  <c r="K44" i="42"/>
  <c r="H38" i="45"/>
  <c r="J38" i="45"/>
  <c r="AC35" i="4"/>
  <c r="AJ35" i="4"/>
  <c r="J22" i="42"/>
  <c r="K22" i="42"/>
  <c r="H16" i="45"/>
  <c r="J16" i="45"/>
  <c r="AC13" i="4"/>
  <c r="J19" i="42"/>
  <c r="K19" i="42"/>
  <c r="H13" i="45"/>
  <c r="AC10" i="4"/>
  <c r="J13" i="45"/>
  <c r="J18" i="42"/>
  <c r="K18" i="42"/>
  <c r="J12" i="45"/>
  <c r="AC9" i="4"/>
  <c r="H12" i="45"/>
  <c r="J43" i="42"/>
  <c r="K43" i="42"/>
  <c r="H37" i="45"/>
  <c r="AC34" i="4"/>
  <c r="AJ34" i="4"/>
  <c r="J37" i="45"/>
  <c r="J35" i="42"/>
  <c r="K35" i="42"/>
  <c r="H29" i="45"/>
  <c r="AC26" i="4"/>
  <c r="AJ26" i="4"/>
  <c r="J29" i="45"/>
  <c r="J37" i="42"/>
  <c r="K37" i="42"/>
  <c r="J31" i="45"/>
  <c r="H31" i="45"/>
  <c r="AC28" i="4"/>
  <c r="AJ28" i="4"/>
  <c r="J33" i="42"/>
  <c r="K33" i="42"/>
  <c r="J27" i="45"/>
  <c r="H27" i="45"/>
  <c r="AC24" i="4"/>
  <c r="AJ24" i="4"/>
  <c r="J41" i="42"/>
  <c r="K41" i="42"/>
  <c r="J35" i="45"/>
  <c r="H35" i="45"/>
  <c r="AC32" i="4"/>
  <c r="AJ32" i="4"/>
  <c r="J25" i="42"/>
  <c r="K25" i="42"/>
  <c r="J19" i="45"/>
  <c r="H19" i="45"/>
  <c r="AC16" i="4"/>
  <c r="J40" i="42"/>
  <c r="K40" i="42"/>
  <c r="J34" i="45"/>
  <c r="AC31" i="4"/>
  <c r="AJ31" i="4"/>
  <c r="H34" i="45"/>
  <c r="J38" i="42"/>
  <c r="K38" i="42"/>
  <c r="H32" i="45"/>
  <c r="J32" i="45"/>
  <c r="AC29" i="4"/>
  <c r="AJ29" i="4"/>
  <c r="J23" i="42"/>
  <c r="K23" i="42"/>
  <c r="H17" i="45"/>
  <c r="AC14" i="4"/>
  <c r="J17" i="45"/>
  <c r="J28" i="42"/>
  <c r="K28" i="42"/>
  <c r="H22" i="45"/>
  <c r="J22" i="45"/>
  <c r="AC19" i="4"/>
  <c r="AJ19" i="4"/>
  <c r="J31" i="42"/>
  <c r="K31" i="42"/>
  <c r="H25" i="45"/>
  <c r="AC22" i="4"/>
  <c r="AJ22" i="4"/>
  <c r="J25" i="45"/>
  <c r="J29" i="42"/>
  <c r="K29" i="42"/>
  <c r="J23" i="45"/>
  <c r="H23" i="45"/>
  <c r="AC20" i="4"/>
  <c r="J45" i="42"/>
  <c r="K45" i="42"/>
  <c r="AC36" i="4"/>
  <c r="AJ36" i="4"/>
  <c r="J34" i="42"/>
  <c r="K34" i="42"/>
  <c r="J28" i="45"/>
  <c r="AC25" i="4"/>
  <c r="AJ25" i="4"/>
  <c r="H28" i="45"/>
  <c r="J30" i="42"/>
  <c r="K30" i="42"/>
  <c r="H24" i="45"/>
  <c r="J24" i="45"/>
  <c r="AC21" i="4"/>
  <c r="J36" i="42"/>
  <c r="K36" i="42"/>
  <c r="H30" i="45"/>
  <c r="J30" i="45"/>
  <c r="AC27" i="4"/>
  <c r="AJ27" i="4"/>
  <c r="Q18" i="21"/>
  <c r="E13" i="45"/>
  <c r="AD21" i="4"/>
  <c r="F24" i="45"/>
  <c r="AD12" i="4"/>
  <c r="F15" i="45"/>
  <c r="J16" i="42"/>
  <c r="V38" i="21"/>
  <c r="AD9" i="4"/>
  <c r="F12" i="45"/>
  <c r="R35" i="21"/>
  <c r="E20" i="45"/>
  <c r="N39" i="45"/>
  <c r="C32" i="36"/>
  <c r="D32" i="36"/>
  <c r="F32" i="36"/>
  <c r="Q28" i="21"/>
  <c r="Q35" i="21"/>
  <c r="R18" i="21"/>
  <c r="Q15" i="21"/>
  <c r="R25" i="21"/>
  <c r="Q12" i="21"/>
  <c r="J23" i="22"/>
  <c r="S23" i="22"/>
  <c r="Q22" i="21"/>
  <c r="C24" i="36"/>
  <c r="D24" i="36"/>
  <c r="F24" i="36"/>
  <c r="C27" i="36"/>
  <c r="D27" i="36"/>
  <c r="F27" i="36"/>
  <c r="Q36" i="21"/>
  <c r="R28" i="21"/>
  <c r="S38" i="21"/>
  <c r="R37" i="21"/>
  <c r="Q24" i="21"/>
  <c r="Q32" i="21"/>
  <c r="R19" i="21"/>
  <c r="R17" i="21"/>
  <c r="Q13" i="21"/>
  <c r="Q21" i="21"/>
  <c r="R8" i="21"/>
  <c r="R11" i="21"/>
  <c r="Q30" i="21"/>
  <c r="R12" i="21"/>
  <c r="Q27" i="21"/>
  <c r="R15" i="21"/>
  <c r="R16" i="21"/>
  <c r="R36" i="21"/>
  <c r="R26" i="21"/>
  <c r="R23" i="21"/>
  <c r="R30" i="21"/>
  <c r="Q37" i="21"/>
  <c r="Q10" i="21"/>
  <c r="R33" i="21"/>
  <c r="P38" i="21"/>
  <c r="Q26" i="21"/>
  <c r="R10" i="21"/>
  <c r="Q8" i="21"/>
  <c r="Q11" i="21"/>
  <c r="R21" i="21"/>
  <c r="Q20" i="21"/>
  <c r="R22" i="21"/>
  <c r="Q19" i="21"/>
  <c r="Q17" i="21"/>
  <c r="Q16" i="21"/>
  <c r="Q25" i="21"/>
  <c r="Q23" i="21"/>
  <c r="R24" i="21"/>
  <c r="Q33" i="21"/>
  <c r="R13" i="21"/>
  <c r="Q29" i="21"/>
  <c r="R32" i="21"/>
  <c r="R33" i="22"/>
  <c r="J37" i="22"/>
  <c r="S37" i="22"/>
  <c r="C20" i="36"/>
  <c r="D20" i="36"/>
  <c r="F20" i="36"/>
  <c r="E15" i="45"/>
  <c r="J32" i="22"/>
  <c r="S32" i="22"/>
  <c r="C37" i="36"/>
  <c r="D37" i="36"/>
  <c r="F37" i="36"/>
  <c r="R20" i="22"/>
  <c r="AJ33" i="4"/>
  <c r="AD8" i="4"/>
  <c r="F11" i="45"/>
  <c r="AA34" i="23"/>
  <c r="R9" i="22"/>
  <c r="J36" i="22"/>
  <c r="S36" i="22"/>
  <c r="T36" i="45"/>
  <c r="J34" i="22"/>
  <c r="S34" i="22"/>
  <c r="R30" i="22"/>
  <c r="R25" i="22"/>
  <c r="R26" i="22"/>
  <c r="J15" i="22"/>
  <c r="S15" i="22"/>
  <c r="R31" i="22"/>
  <c r="C14" i="36"/>
  <c r="D14" i="36"/>
  <c r="E14" i="36"/>
  <c r="AA21" i="23"/>
  <c r="P26" i="48"/>
  <c r="AA26" i="23"/>
  <c r="AD17" i="4"/>
  <c r="F20" i="45"/>
  <c r="E23" i="45"/>
  <c r="E21" i="45"/>
  <c r="C29" i="36"/>
  <c r="D29" i="36"/>
  <c r="E29" i="36"/>
  <c r="AA9" i="23"/>
  <c r="AD16" i="4"/>
  <c r="F19" i="45"/>
  <c r="E11" i="45"/>
  <c r="C16" i="36"/>
  <c r="D16" i="36"/>
  <c r="M15" i="45"/>
  <c r="C15" i="36"/>
  <c r="D15" i="36"/>
  <c r="E15" i="36"/>
  <c r="J14" i="22"/>
  <c r="S14" i="22"/>
  <c r="AD10" i="4"/>
  <c r="F13" i="45"/>
  <c r="P12" i="48"/>
  <c r="P24" i="48"/>
  <c r="P27" i="48"/>
  <c r="P31" i="48"/>
  <c r="P19" i="48"/>
  <c r="P33" i="48"/>
  <c r="E39" i="48"/>
  <c r="C57" i="28"/>
  <c r="F26" i="45"/>
  <c r="F46" i="42"/>
  <c r="AA18" i="23"/>
  <c r="AA17" i="23"/>
  <c r="AD20" i="4"/>
  <c r="F23" i="45"/>
  <c r="E46" i="42"/>
  <c r="R19" i="22"/>
  <c r="AD18" i="4"/>
  <c r="P22" i="48"/>
  <c r="J16" i="22"/>
  <c r="S16" i="22"/>
  <c r="P16" i="48"/>
  <c r="G46" i="42"/>
  <c r="J18" i="22"/>
  <c r="S18" i="22"/>
  <c r="E17" i="45"/>
  <c r="H17" i="38"/>
  <c r="G17" i="38"/>
  <c r="AA14" i="23"/>
  <c r="AD13" i="4"/>
  <c r="F16" i="45"/>
  <c r="J11" i="22"/>
  <c r="S11" i="22"/>
  <c r="C17" i="36"/>
  <c r="D17" i="36"/>
  <c r="M16" i="45"/>
  <c r="AA11" i="23"/>
  <c r="Z37" i="4"/>
  <c r="C21" i="36"/>
  <c r="D21" i="36"/>
  <c r="F21" i="36"/>
  <c r="C12" i="36"/>
  <c r="D12" i="36"/>
  <c r="M11" i="45"/>
  <c r="X37" i="4"/>
  <c r="L30" i="23"/>
  <c r="AA30" i="23"/>
  <c r="Y30" i="23"/>
  <c r="C33" i="36"/>
  <c r="D33" i="36"/>
  <c r="L25" i="23"/>
  <c r="AA25" i="23"/>
  <c r="Y25" i="23"/>
  <c r="C28" i="36"/>
  <c r="D28" i="36"/>
  <c r="E28" i="36"/>
  <c r="E18" i="45"/>
  <c r="G36" i="23"/>
  <c r="AA36" i="23"/>
  <c r="Y36" i="23"/>
  <c r="C39" i="36"/>
  <c r="D39" i="36"/>
  <c r="G28" i="23"/>
  <c r="AA28" i="23"/>
  <c r="Y28" i="23"/>
  <c r="C31" i="36"/>
  <c r="D31" i="36"/>
  <c r="G35" i="23"/>
  <c r="AA35" i="23"/>
  <c r="Y35" i="23"/>
  <c r="C38" i="36"/>
  <c r="D38" i="36"/>
  <c r="J28" i="22"/>
  <c r="S28" i="22"/>
  <c r="R28" i="22"/>
  <c r="G32" i="23"/>
  <c r="AA32" i="23"/>
  <c r="Y32" i="23"/>
  <c r="C35" i="36"/>
  <c r="D35" i="36"/>
  <c r="AA12" i="23"/>
  <c r="AA13" i="23"/>
  <c r="V37" i="23"/>
  <c r="AA37" i="23"/>
  <c r="Y37" i="23"/>
  <c r="C40" i="36"/>
  <c r="D40" i="36"/>
  <c r="J35" i="22"/>
  <c r="S35" i="22"/>
  <c r="R35" i="22"/>
  <c r="O39" i="48"/>
  <c r="I39" i="48"/>
  <c r="C62" i="28"/>
  <c r="D62" i="28"/>
  <c r="B14" i="38"/>
  <c r="P25" i="48"/>
  <c r="M20" i="45"/>
  <c r="M23" i="45"/>
  <c r="M17" i="45"/>
  <c r="Z20" i="23"/>
  <c r="AD14" i="4"/>
  <c r="E19" i="45"/>
  <c r="I38" i="21"/>
  <c r="L38" i="21"/>
  <c r="E16" i="45"/>
  <c r="Y37" i="4"/>
  <c r="F14" i="45"/>
  <c r="L16" i="23"/>
  <c r="AA16" i="23"/>
  <c r="Y16" i="23"/>
  <c r="C19" i="36"/>
  <c r="D19" i="36"/>
  <c r="J38" i="23"/>
  <c r="E38" i="21"/>
  <c r="F38" i="21"/>
  <c r="P44" i="21"/>
  <c r="N38" i="21"/>
  <c r="H38" i="21"/>
  <c r="O38" i="21"/>
  <c r="R12" i="22"/>
  <c r="J12" i="22"/>
  <c r="S12" i="22"/>
  <c r="R17" i="22"/>
  <c r="J17" i="22"/>
  <c r="S17" i="22"/>
  <c r="AD15" i="4"/>
  <c r="F18" i="45"/>
  <c r="P41" i="21"/>
  <c r="AD7" i="4"/>
  <c r="F35" i="45"/>
  <c r="K10" i="45"/>
  <c r="K39" i="45"/>
  <c r="B57" i="28"/>
  <c r="AA37" i="4"/>
  <c r="V20" i="23"/>
  <c r="T38" i="23"/>
  <c r="X38" i="23"/>
  <c r="B22" i="28"/>
  <c r="L33" i="23"/>
  <c r="AA33" i="23"/>
  <c r="Y33" i="23"/>
  <c r="C36" i="36"/>
  <c r="D36" i="36"/>
  <c r="R22" i="22"/>
  <c r="J22" i="22"/>
  <c r="S22" i="22"/>
  <c r="AA15" i="23"/>
  <c r="P38" i="23"/>
  <c r="Z10" i="23"/>
  <c r="L45" i="4"/>
  <c r="D39" i="45"/>
  <c r="O10" i="45"/>
  <c r="O39" i="45"/>
  <c r="B61" i="28"/>
  <c r="D61" i="28"/>
  <c r="B13" i="38"/>
  <c r="AH37" i="4"/>
  <c r="Y31" i="23"/>
  <c r="C34" i="36"/>
  <c r="D34" i="36"/>
  <c r="G31" i="23"/>
  <c r="AA31" i="23"/>
  <c r="Y27" i="23"/>
  <c r="C30" i="36"/>
  <c r="D30" i="36"/>
  <c r="G27" i="23"/>
  <c r="AA27" i="23"/>
  <c r="U38" i="23"/>
  <c r="P10" i="48"/>
  <c r="Q19" i="23"/>
  <c r="AA19" i="23"/>
  <c r="Z19" i="23"/>
  <c r="C22" i="36"/>
  <c r="D22" i="36"/>
  <c r="G8" i="23"/>
  <c r="E38" i="23"/>
  <c r="Y8" i="23"/>
  <c r="F18" i="36"/>
  <c r="E18" i="36"/>
  <c r="K38" i="21"/>
  <c r="W37" i="4"/>
  <c r="E10" i="45"/>
  <c r="Z8" i="23"/>
  <c r="F38" i="23"/>
  <c r="V23" i="23"/>
  <c r="AA23" i="23"/>
  <c r="Y23" i="23"/>
  <c r="C26" i="36"/>
  <c r="D26" i="36"/>
  <c r="E24" i="45"/>
  <c r="D38" i="21"/>
  <c r="I38" i="22"/>
  <c r="R10" i="22"/>
  <c r="J10" i="22"/>
  <c r="S10" i="22"/>
  <c r="P10" i="45"/>
  <c r="P39" i="45"/>
  <c r="B58" i="28"/>
  <c r="D58" i="28"/>
  <c r="B10" i="38"/>
  <c r="AI37" i="4"/>
  <c r="R8" i="22"/>
  <c r="J8" i="22"/>
  <c r="W38" i="21"/>
  <c r="B44" i="28"/>
  <c r="Q10" i="23"/>
  <c r="O38" i="23"/>
  <c r="Y10" i="23"/>
  <c r="G20" i="23"/>
  <c r="Y20" i="23"/>
  <c r="G22" i="23"/>
  <c r="AA22" i="23"/>
  <c r="Y22" i="23"/>
  <c r="C25" i="36"/>
  <c r="D25" i="36"/>
  <c r="K38" i="23"/>
  <c r="F29" i="36"/>
  <c r="M19" i="45"/>
  <c r="T19" i="45"/>
  <c r="T32" i="45"/>
  <c r="T27" i="45"/>
  <c r="T31" i="45"/>
  <c r="AJ21" i="4"/>
  <c r="E24" i="36"/>
  <c r="T33" i="45"/>
  <c r="T25" i="45"/>
  <c r="T34" i="45"/>
  <c r="AJ9" i="4"/>
  <c r="AJ12" i="4"/>
  <c r="T29" i="45"/>
  <c r="T37" i="45"/>
  <c r="T38" i="45"/>
  <c r="T26" i="45"/>
  <c r="T30" i="45"/>
  <c r="T28" i="45"/>
  <c r="T35" i="45"/>
  <c r="H39" i="45"/>
  <c r="J39" i="45"/>
  <c r="J46" i="42"/>
  <c r="AC37" i="4"/>
  <c r="E37" i="36"/>
  <c r="K16" i="42"/>
  <c r="K46" i="42"/>
  <c r="E27" i="36"/>
  <c r="E32" i="36"/>
  <c r="M14" i="45"/>
  <c r="T14" i="45"/>
  <c r="Q38" i="21"/>
  <c r="E20" i="36"/>
  <c r="T15" i="45"/>
  <c r="M13" i="45"/>
  <c r="T13" i="45"/>
  <c r="AJ8" i="4"/>
  <c r="C23" i="36"/>
  <c r="D23" i="36"/>
  <c r="E23" i="36"/>
  <c r="E12" i="36"/>
  <c r="F14" i="36"/>
  <c r="AJ17" i="4"/>
  <c r="AJ16" i="4"/>
  <c r="T20" i="45"/>
  <c r="T11" i="45"/>
  <c r="AJ10" i="4"/>
  <c r="F28" i="36"/>
  <c r="F16" i="36"/>
  <c r="E16" i="36"/>
  <c r="F15" i="36"/>
  <c r="E21" i="36"/>
  <c r="V38" i="23"/>
  <c r="T23" i="45"/>
  <c r="AJ20" i="4"/>
  <c r="F21" i="45"/>
  <c r="AJ18" i="4"/>
  <c r="AJ13" i="4"/>
  <c r="H13" i="38"/>
  <c r="G13" i="38"/>
  <c r="G10" i="38"/>
  <c r="H10" i="38"/>
  <c r="H14" i="38"/>
  <c r="G14" i="38"/>
  <c r="E17" i="36"/>
  <c r="F17" i="36"/>
  <c r="B40" i="28"/>
  <c r="D40" i="28"/>
  <c r="T16" i="45"/>
  <c r="B34" i="28"/>
  <c r="D34" i="28"/>
  <c r="F12" i="36"/>
  <c r="B39" i="28"/>
  <c r="D39" i="28"/>
  <c r="D57" i="28"/>
  <c r="B9" i="38"/>
  <c r="B41" i="28"/>
  <c r="D41" i="28"/>
  <c r="F38" i="36"/>
  <c r="E38" i="36"/>
  <c r="F31" i="36"/>
  <c r="E31" i="36"/>
  <c r="F40" i="36"/>
  <c r="E40" i="36"/>
  <c r="L38" i="23"/>
  <c r="F35" i="36"/>
  <c r="E35" i="36"/>
  <c r="E39" i="36"/>
  <c r="F39" i="36"/>
  <c r="F33" i="36"/>
  <c r="E33" i="36"/>
  <c r="M24" i="45"/>
  <c r="T24" i="45"/>
  <c r="F17" i="45"/>
  <c r="T17" i="45"/>
  <c r="AJ14" i="4"/>
  <c r="M18" i="45"/>
  <c r="T18" i="45"/>
  <c r="P43" i="21"/>
  <c r="M21" i="45"/>
  <c r="M22" i="45"/>
  <c r="T22" i="45"/>
  <c r="F19" i="36"/>
  <c r="AJ15" i="4"/>
  <c r="C13" i="36"/>
  <c r="D13" i="36"/>
  <c r="F13" i="36"/>
  <c r="R38" i="22"/>
  <c r="Z38" i="23"/>
  <c r="B24" i="28"/>
  <c r="E19" i="36"/>
  <c r="E22" i="36"/>
  <c r="F22" i="36"/>
  <c r="F34" i="36"/>
  <c r="E34" i="36"/>
  <c r="E36" i="36"/>
  <c r="F36" i="36"/>
  <c r="E26" i="36"/>
  <c r="F26" i="36"/>
  <c r="E39" i="45"/>
  <c r="F10" i="45"/>
  <c r="AD37" i="4"/>
  <c r="E25" i="36"/>
  <c r="F25" i="36"/>
  <c r="AA20" i="23"/>
  <c r="P42" i="21"/>
  <c r="F30" i="36"/>
  <c r="E30" i="36"/>
  <c r="P45" i="21"/>
  <c r="D44" i="28"/>
  <c r="AA10" i="23"/>
  <c r="Q38" i="23"/>
  <c r="S8" i="22"/>
  <c r="S38" i="22"/>
  <c r="J38" i="22"/>
  <c r="C11" i="36"/>
  <c r="D11" i="36"/>
  <c r="Y38" i="23"/>
  <c r="B23" i="28"/>
  <c r="AJ7" i="4"/>
  <c r="AA8" i="23"/>
  <c r="G38" i="23"/>
  <c r="N39" i="48"/>
  <c r="C63" i="28"/>
  <c r="P39" i="48"/>
  <c r="F23" i="36"/>
  <c r="T21" i="45"/>
  <c r="F39" i="45"/>
  <c r="B59" i="28"/>
  <c r="G9" i="38"/>
  <c r="H9" i="38"/>
  <c r="D63" i="28"/>
  <c r="B15" i="38"/>
  <c r="C66" i="28"/>
  <c r="B35" i="28"/>
  <c r="D35" i="28"/>
  <c r="AJ37" i="4"/>
  <c r="M10" i="45"/>
  <c r="T10" i="45"/>
  <c r="M12" i="45"/>
  <c r="T12" i="45"/>
  <c r="AA38" i="23"/>
  <c r="B25" i="28"/>
  <c r="E13" i="36"/>
  <c r="F11" i="36"/>
  <c r="E11" i="36"/>
  <c r="H15" i="38"/>
  <c r="G15" i="38"/>
  <c r="D59" i="28"/>
  <c r="B11" i="38"/>
  <c r="M39" i="45"/>
  <c r="B60" i="28"/>
  <c r="B66" i="28"/>
  <c r="T39" i="45"/>
  <c r="H11" i="38"/>
  <c r="G11" i="38"/>
  <c r="D60" i="28"/>
  <c r="B12" i="38"/>
  <c r="H12" i="38"/>
  <c r="H18" i="38"/>
  <c r="B18" i="38"/>
  <c r="G18" i="38"/>
  <c r="G12" i="38"/>
  <c r="D66" i="28"/>
  <c r="D27" i="28"/>
  <c r="D28" i="28"/>
</calcChain>
</file>

<file path=xl/sharedStrings.xml><?xml version="1.0" encoding="utf-8"?>
<sst xmlns="http://schemas.openxmlformats.org/spreadsheetml/2006/main" count="752" uniqueCount="519">
  <si>
    <t>Ministère de la Santé Publique</t>
  </si>
  <si>
    <t>CAMEROUN</t>
  </si>
  <si>
    <t>N°</t>
  </si>
  <si>
    <t>Population résidant à moins de 5 km d'une FS</t>
  </si>
  <si>
    <t>Population résidant entre 5 et 20 km d'une FS</t>
  </si>
  <si>
    <t>Population résidant à plus de 20 km d'une FS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</si>
  <si>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</si>
  <si>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</si>
  <si>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</si>
  <si>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</si>
  <si>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</si>
  <si>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</si>
  <si>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</si>
  <si>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</si>
  <si>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</si>
  <si>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</si>
  <si>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</si>
  <si>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</si>
  <si>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</si>
  <si>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</si>
  <si>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STRATEGIE FIXE</t>
  </si>
  <si>
    <t>STRATEGIE AVANCEE</t>
  </si>
  <si>
    <t>STRATEGIE MOBILE</t>
  </si>
  <si>
    <t>Nombre</t>
  </si>
  <si>
    <t>Population Cible</t>
  </si>
  <si>
    <t>Total</t>
  </si>
  <si>
    <t>S</t>
  </si>
  <si>
    <t>O</t>
  </si>
  <si>
    <t>TOTAL</t>
  </si>
  <si>
    <t>P</t>
  </si>
  <si>
    <t>Q</t>
  </si>
  <si>
    <t>R</t>
  </si>
  <si>
    <t>Populations spéciales</t>
  </si>
  <si>
    <t>Nombre d'équipes</t>
  </si>
  <si>
    <t>POPULATIONS SPECIALES</t>
  </si>
  <si>
    <t>Ministère de la santé</t>
  </si>
  <si>
    <t>équipes</t>
  </si>
  <si>
    <t>T</t>
  </si>
  <si>
    <t>Pop Cible</t>
  </si>
  <si>
    <t xml:space="preserve">Equipes </t>
  </si>
  <si>
    <t>Strat fixe</t>
  </si>
  <si>
    <t>Strat Avancée</t>
  </si>
  <si>
    <t>Strat Mobile</t>
  </si>
  <si>
    <t>Pop Spéciale</t>
  </si>
  <si>
    <t>REQUIS</t>
  </si>
  <si>
    <t>EXISTANT</t>
  </si>
  <si>
    <t>Glaçière</t>
  </si>
  <si>
    <t>Porte vaccin PEV</t>
  </si>
  <si>
    <t>Porte vaccin JNV</t>
  </si>
  <si>
    <t>Accumulateur</t>
  </si>
  <si>
    <t xml:space="preserve">Total </t>
  </si>
  <si>
    <t>VACCINATION</t>
  </si>
  <si>
    <t>SUPERVISION</t>
  </si>
  <si>
    <t>EVALUATION</t>
  </si>
  <si>
    <t>Km</t>
  </si>
  <si>
    <t>Litre</t>
  </si>
  <si>
    <t>Mode</t>
  </si>
  <si>
    <t>Vaccination</t>
  </si>
  <si>
    <t>Durée</t>
  </si>
  <si>
    <t>Coût / unité</t>
  </si>
  <si>
    <t>Observations</t>
  </si>
  <si>
    <t>STRATEGIES</t>
  </si>
  <si>
    <t>Population totale :</t>
  </si>
  <si>
    <t>Désignation</t>
  </si>
  <si>
    <t>Requis</t>
  </si>
  <si>
    <t>Existant</t>
  </si>
  <si>
    <t>Besoin</t>
  </si>
  <si>
    <t>Réfrigérateurs :</t>
  </si>
  <si>
    <t>Glaçières :</t>
  </si>
  <si>
    <t>Accumulateurs de froid :</t>
  </si>
  <si>
    <t>PERSONNEL</t>
  </si>
  <si>
    <t>Vaccinateurs :</t>
  </si>
  <si>
    <t>Enregistreurs :</t>
  </si>
  <si>
    <t>Mobilisateurs Sociaux</t>
  </si>
  <si>
    <t>Chauffeurs</t>
  </si>
  <si>
    <t>TRANSPORT</t>
  </si>
  <si>
    <t>Voitures :</t>
  </si>
  <si>
    <t>Motos :</t>
  </si>
  <si>
    <t>Autres (spécifier: BAC)</t>
  </si>
  <si>
    <t>Equipes en stratégie fixe</t>
  </si>
  <si>
    <t>Equipes en stratégie avancée</t>
  </si>
  <si>
    <t>Equipe en stratégie mobile</t>
  </si>
  <si>
    <t>Equipe pour les populations spéciales</t>
  </si>
  <si>
    <t xml:space="preserve">VACCIN &amp; MATERIEL </t>
  </si>
  <si>
    <t>Boîte se sécurité</t>
  </si>
  <si>
    <t>CHAINE DE FROID</t>
  </si>
  <si>
    <t xml:space="preserve">Porte-vaccins PEV </t>
  </si>
  <si>
    <t>Volontaires</t>
  </si>
  <si>
    <t>BUDGET</t>
  </si>
  <si>
    <t>Coût  total (CFA)</t>
  </si>
  <si>
    <t>Formation</t>
  </si>
  <si>
    <t>Mobilisation sociale</t>
  </si>
  <si>
    <t>1. STRATEGIES</t>
  </si>
  <si>
    <t>2. EQUIPES</t>
  </si>
  <si>
    <t>Total général</t>
  </si>
  <si>
    <t>Vaccina
teur</t>
  </si>
  <si>
    <t>Enregis
treur</t>
  </si>
  <si>
    <t>volon
taire</t>
  </si>
  <si>
    <t>Coût carburant :</t>
  </si>
  <si>
    <t>Pop spéciales</t>
  </si>
  <si>
    <t>REGION :</t>
  </si>
  <si>
    <t>RUBRIQUE</t>
  </si>
  <si>
    <t>Location</t>
  </si>
  <si>
    <t>ITINERAIRES</t>
  </si>
  <si>
    <t>COMMENTAIRES</t>
  </si>
  <si>
    <t>AIRES DE SANTE</t>
  </si>
  <si>
    <t>Noms</t>
  </si>
  <si>
    <t>J1</t>
  </si>
  <si>
    <t>J2</t>
  </si>
  <si>
    <t>J3</t>
  </si>
  <si>
    <t>J4</t>
  </si>
  <si>
    <t>J5</t>
  </si>
  <si>
    <t xml:space="preserve">EQUIPES </t>
  </si>
  <si>
    <t>Equipe 1</t>
  </si>
  <si>
    <t>Equipe 2</t>
  </si>
  <si>
    <t>Equipe 3</t>
  </si>
  <si>
    <t>Equipe 4</t>
  </si>
  <si>
    <t>Equipe 5</t>
  </si>
  <si>
    <t>Equipe 6</t>
  </si>
  <si>
    <t>Equipe 7</t>
  </si>
  <si>
    <t>Equipe 8</t>
  </si>
  <si>
    <t>Equipe 9</t>
  </si>
  <si>
    <t>Equipe 10</t>
  </si>
  <si>
    <t>Chauf
feur</t>
  </si>
  <si>
    <t>Mobili
sateur</t>
  </si>
  <si>
    <t>Nombre de jours de campagne :</t>
  </si>
  <si>
    <t>Cible journalière par stratégie</t>
  </si>
  <si>
    <t>Equipes fixes :</t>
  </si>
  <si>
    <t>Equipes mobiles :</t>
  </si>
  <si>
    <t>Equipes Pop Spéciale :</t>
  </si>
  <si>
    <t>Equipes avancées :</t>
  </si>
  <si>
    <t>Nombre de personnel dans le District de santé</t>
  </si>
  <si>
    <t>Equipes :</t>
  </si>
  <si>
    <t>Superviseurs MobSoc :</t>
  </si>
  <si>
    <t>Mobilisateurs :</t>
  </si>
  <si>
    <t>Chauffeur :</t>
  </si>
  <si>
    <t>Volontaires :</t>
  </si>
  <si>
    <t>Ser. Auto</t>
  </si>
  <si>
    <t>Ser. Dilution</t>
  </si>
  <si>
    <t>Matériel d'injection usagé estimé</t>
  </si>
  <si>
    <t>Elimination des déchets</t>
  </si>
  <si>
    <t>Transport des déchets vers les sites d'incinération</t>
  </si>
  <si>
    <t>Nbre Seringue 
(Ser.)</t>
  </si>
  <si>
    <t>Nbre Boîte 
sécurité (BS)</t>
  </si>
  <si>
    <t>Poids (kg)
BS &amp; Ser.</t>
  </si>
  <si>
    <t>Volume (m3) 
BS &amp; Ser.</t>
  </si>
  <si>
    <t>Méthode à utliser</t>
  </si>
  <si>
    <t>Nom du site d'élimination</t>
  </si>
  <si>
    <t>Moyen de transport des déchets</t>
  </si>
  <si>
    <t>Nombre de voyages à effectuer</t>
  </si>
  <si>
    <t>Nombre total de km à parcourir</t>
  </si>
  <si>
    <t>Cout total estimé du transport</t>
  </si>
  <si>
    <t>Récapitulatif du district de santé</t>
  </si>
  <si>
    <t>Total :</t>
  </si>
  <si>
    <t>Rubriques</t>
  </si>
  <si>
    <t>Quantité</t>
  </si>
  <si>
    <t>Prix unitaire</t>
  </si>
  <si>
    <t>Coût total</t>
  </si>
  <si>
    <t>Constructions de nouvelles fosses</t>
  </si>
  <si>
    <t>Combustible (bois, pétrole, autres)</t>
  </si>
  <si>
    <t>Poids (kg)</t>
  </si>
  <si>
    <t>Volume (m3)</t>
  </si>
  <si>
    <t>Matériel/Equipement de  protection de l’opérateur</t>
  </si>
  <si>
    <t>SAB</t>
  </si>
  <si>
    <t>Formation opérateurs collecte et destruction  déchets</t>
  </si>
  <si>
    <t>Sdil 5 ml</t>
  </si>
  <si>
    <t>BS</t>
  </si>
  <si>
    <t>Coût du transport :</t>
  </si>
  <si>
    <t>Total gestion des déchets niveau district de santé :</t>
  </si>
  <si>
    <t xml:space="preserve">Nombre de sacs poubelle = nombre d’équipes de l’aire de santé x nombre de jours de la campagne </t>
  </si>
  <si>
    <r>
      <t xml:space="preserve">N.B. : </t>
    </r>
    <r>
      <rPr>
        <sz val="8"/>
        <rFont val="Arial"/>
        <family val="2"/>
      </rPr>
      <t>Un pick-up  transporte environ 250 boîtes de sécurité remplies de seringues usagées</t>
    </r>
  </si>
  <si>
    <t>No</t>
  </si>
  <si>
    <t>ACTIVITES</t>
  </si>
  <si>
    <t>LIEU</t>
  </si>
  <si>
    <t>S1</t>
  </si>
  <si>
    <t>S2</t>
  </si>
  <si>
    <t>S3</t>
  </si>
  <si>
    <t>S4</t>
  </si>
  <si>
    <t> DS</t>
  </si>
  <si>
    <t> CSSD</t>
  </si>
  <si>
    <t> Créer un comité de coordination de la campagne au niveau district</t>
  </si>
  <si>
    <t>Organiser les réunions d’information/ sensibilisation avec tous les acteurs concernés</t>
  </si>
  <si>
    <t> Organiser les réunions hebdomadaires de revue de l’état d’avancement des préparatifs</t>
  </si>
  <si>
    <t>U</t>
  </si>
  <si>
    <t>DISTRICT :</t>
  </si>
  <si>
    <t>AD</t>
  </si>
  <si>
    <t>Septembre</t>
  </si>
  <si>
    <t>Octobre</t>
  </si>
  <si>
    <t>Novembre</t>
  </si>
  <si>
    <t>Décembre</t>
  </si>
  <si>
    <t>Cible :</t>
  </si>
  <si>
    <t>Seringue de dilution</t>
  </si>
  <si>
    <t>J6</t>
  </si>
  <si>
    <t>J7</t>
  </si>
  <si>
    <t>V</t>
  </si>
  <si>
    <t>W</t>
  </si>
  <si>
    <t>X</t>
  </si>
  <si>
    <t>Y</t>
  </si>
  <si>
    <t>Z</t>
  </si>
  <si>
    <t>AA</t>
  </si>
  <si>
    <t>AB</t>
  </si>
  <si>
    <t>AC</t>
  </si>
  <si>
    <t>Savon 
cube</t>
  </si>
  <si>
    <t>Boîte sécu</t>
  </si>
  <si>
    <t>Réfrigé
rateur</t>
  </si>
  <si>
    <t>Coton (kg)</t>
  </si>
  <si>
    <t>Sac en Plastique (nombre)</t>
  </si>
  <si>
    <t>Savon (cube)</t>
  </si>
  <si>
    <t>Moto à louer :</t>
  </si>
  <si>
    <t>Moto disponibles :</t>
  </si>
  <si>
    <t xml:space="preserve">Total moto : </t>
  </si>
  <si>
    <t xml:space="preserve">Voitures disponibles : </t>
  </si>
  <si>
    <t xml:space="preserve">Voitures à louer : </t>
  </si>
  <si>
    <t>Total voitures</t>
  </si>
  <si>
    <t>Total kilomètres à parcourir :</t>
  </si>
  <si>
    <t>Nombre de litres de carburant :</t>
  </si>
  <si>
    <t>Distance entre l'AS et le site (km)</t>
  </si>
  <si>
    <t>Sac poubelle</t>
  </si>
  <si>
    <t>Valider le micro plan du district</t>
  </si>
  <si>
    <t>Récycler les accumulateurs de froid</t>
  </si>
  <si>
    <t>Elaborer un plan de supervision</t>
  </si>
  <si>
    <t>Distribuer le vaccin, les intrants et les fonds aux responsables des AS</t>
  </si>
  <si>
    <t>Elaborer un plan de distribution du vaccins, des intrants et des outils de gestion</t>
  </si>
  <si>
    <t>Renforcer les capacités du personnel pour la pharmacovigilance/MAP</t>
  </si>
  <si>
    <t>Mettre en œuvre la campagne</t>
  </si>
  <si>
    <t>Superviser les activités de vaccination sur le terrain</t>
  </si>
  <si>
    <t>Diffuser les messages de mobilisation sociale pour la campagne</t>
  </si>
  <si>
    <t>Procéder aux cérémonies de lancement ooficiel de la campagne</t>
  </si>
  <si>
    <t>Investiguer les cas graves de MAPI</t>
  </si>
  <si>
    <t>Organiser les réunions d'évaluation quotiduenne des activités sur le terrain</t>
  </si>
  <si>
    <t>Transmettre quotidiennement les résults à la hiérarchie</t>
  </si>
  <si>
    <t>Organiser la réunion d'évaluation de la campagne au SSD</t>
  </si>
  <si>
    <t>Participer à la réunion d'évaluation de la campagne au niveau régional</t>
  </si>
  <si>
    <t>Rediger le rapport technique et et financier de la campagne</t>
  </si>
  <si>
    <t>Déposer le rapport technique et financier à la DRSP</t>
  </si>
  <si>
    <t>Organiser les réunions de plaidoyer avec les autorités</t>
  </si>
  <si>
    <t>Elaborer les micro plans y compris le plan de communication du district</t>
  </si>
  <si>
    <t>Réceptionner les vaccins et intrants</t>
  </si>
  <si>
    <t>Préparer la chaîne du froid (dégivrer et nettoyer les réfrigérateurs) et l’espace de stockage sec</t>
  </si>
  <si>
    <t>RESP.</t>
  </si>
  <si>
    <t>PAYS :</t>
  </si>
  <si>
    <r>
      <t xml:space="preserve">D : </t>
    </r>
    <r>
      <rPr>
        <sz val="10"/>
        <rFont val="Arial"/>
        <family val="2"/>
      </rPr>
      <t>Indiquer le(s) nom(s) des autres formations sanitaires publiques et/ou privées à impliquer dans la mise en œuvre de la campagne</t>
    </r>
  </si>
  <si>
    <r>
      <t>H</t>
    </r>
    <r>
      <rPr>
        <sz val="10"/>
        <rFont val="Arial"/>
        <family val="2"/>
      </rPr>
      <t xml:space="preserve"> : Données actualisées de la population très difficiles d'accès (montagnes, îles…)  = </t>
    </r>
    <r>
      <rPr>
        <b/>
        <sz val="10"/>
        <rFont val="Arial"/>
        <family val="2"/>
      </rPr>
      <t>Stratégie Mobile</t>
    </r>
  </si>
  <si>
    <t>BESOINS SUPPLEMENTAIRES</t>
  </si>
  <si>
    <t>Personnel opérateurs d'incinérateur</t>
  </si>
  <si>
    <t>AIRE DE SANTE</t>
  </si>
  <si>
    <t>Avancée</t>
  </si>
  <si>
    <t>Mobile</t>
  </si>
  <si>
    <t xml:space="preserve">Perdiem Mobilisateurs sociaux  Aire sante (AS) </t>
  </si>
  <si>
    <t>Perdiem briefing Mobilisateurs sociaux niveau AS</t>
  </si>
  <si>
    <t xml:space="preserve">Perdiem briefing  points focaux Communication AS au DS </t>
  </si>
  <si>
    <t xml:space="preserve">Perdiem Supervision Points focaux mob soc  AS </t>
  </si>
  <si>
    <t xml:space="preserve">Perdiem Supervision Points focaux mob soc DS </t>
  </si>
  <si>
    <t>Perdiem  reunions d'evaluation DS</t>
  </si>
  <si>
    <t>Transport Reunion evaluation DS</t>
  </si>
  <si>
    <t>Carburant des Motos pour la Supervision des Points Focaux AS</t>
  </si>
  <si>
    <t>Caurburant de Supervision pour les Points Focaux des DS</t>
  </si>
  <si>
    <t>Location Motos Supervision pour les Points Focaux AS</t>
  </si>
  <si>
    <t>Location Moto Supervision pour les Points Focaux des DS</t>
  </si>
  <si>
    <t xml:space="preserve">Reunion avec autorites traditionelles / ONG association/ Plaidoyer </t>
  </si>
  <si>
    <t>Banderoles</t>
  </si>
  <si>
    <t>lancements dans les districts</t>
  </si>
  <si>
    <t>Activités</t>
  </si>
  <si>
    <t>Superviseur DS vers AS</t>
  </si>
  <si>
    <t>Superviseurs de DS vers les AS</t>
  </si>
  <si>
    <r>
      <t>E :</t>
    </r>
    <r>
      <rPr>
        <sz val="10"/>
        <rFont val="Arial"/>
        <family val="2"/>
      </rPr>
      <t xml:space="preserve"> Données actualisées de la population totale résidant à moins de 5 km d'une formation sanitaire impliquée dans cette campagne= </t>
    </r>
    <r>
      <rPr>
        <b/>
        <sz val="10"/>
        <rFont val="Arial"/>
        <family val="2"/>
      </rPr>
      <t>Stratégie fixe</t>
    </r>
  </si>
  <si>
    <r>
      <t>F</t>
    </r>
    <r>
      <rPr>
        <sz val="10"/>
        <rFont val="Arial"/>
        <family val="2"/>
      </rPr>
      <t xml:space="preserve"> : Données actualisées de la population totale résidant entre 5 et 20 km d'une formation sanitaire  impliquée dans cette campagne = </t>
    </r>
    <r>
      <rPr>
        <b/>
        <sz val="10"/>
        <rFont val="Arial"/>
        <family val="2"/>
      </rPr>
      <t>Stratégie avancée</t>
    </r>
  </si>
  <si>
    <r>
      <t>G</t>
    </r>
    <r>
      <rPr>
        <sz val="10"/>
        <rFont val="Arial"/>
        <family val="2"/>
      </rPr>
      <t xml:space="preserve"> : Données actualisées de la population totale résidant au delà de 20 km d'une formation sanitaire  impliquée dans cette campagne = </t>
    </r>
    <r>
      <rPr>
        <b/>
        <sz val="10"/>
        <rFont val="Arial"/>
        <family val="2"/>
      </rPr>
      <t>Stratégie Mobile</t>
    </r>
  </si>
  <si>
    <t>Superviseurs des équipes de vaccination (responsable de l'aire)</t>
  </si>
  <si>
    <t>Pts foc com DS</t>
  </si>
  <si>
    <t>Consommation en carburant d'une moto :</t>
  </si>
  <si>
    <t>TRANSPORT SUPERVISION DE LA CAMPAGNE PAR LE DS</t>
  </si>
  <si>
    <t>Moto</t>
  </si>
  <si>
    <t>Voiture</t>
  </si>
  <si>
    <t>Montant 
(F CFA)</t>
  </si>
  <si>
    <t>Coût du litre de carburant :</t>
  </si>
  <si>
    <t>Pop. Spéc.</t>
  </si>
  <si>
    <t>Coût F CFA</t>
  </si>
  <si>
    <t>Nbre disponible</t>
  </si>
  <si>
    <t>Motos</t>
  </si>
  <si>
    <t>3. PERSONNEL</t>
  </si>
  <si>
    <t>4. VACCINS ET INTRANTS</t>
  </si>
  <si>
    <t>6.  PLAN DE GESTION DES DECHETS DU DISTRICT</t>
  </si>
  <si>
    <r>
      <t xml:space="preserve">7. </t>
    </r>
    <r>
      <rPr>
        <b/>
        <u/>
        <sz val="14"/>
        <rFont val="Arial"/>
        <family val="2"/>
      </rPr>
      <t>TRANSPORT AU NIVEAU DES AIRES DE SANTE</t>
    </r>
    <r>
      <rPr>
        <b/>
        <sz val="14"/>
        <rFont val="Arial"/>
        <family val="2"/>
      </rPr>
      <t>:</t>
    </r>
  </si>
  <si>
    <r>
      <t xml:space="preserve">8. </t>
    </r>
    <r>
      <rPr>
        <b/>
        <u/>
        <sz val="14"/>
        <rFont val="Arial"/>
        <family val="2"/>
      </rPr>
      <t>TRANSPORT AU NIVEAU DU SERVICE SANTE DE DISTRICT</t>
    </r>
  </si>
  <si>
    <t>Population cible à vacciner</t>
  </si>
  <si>
    <t>Jours</t>
  </si>
  <si>
    <t>Equipe</t>
  </si>
  <si>
    <t>Fixe</t>
  </si>
  <si>
    <t>Spéciale</t>
  </si>
  <si>
    <t xml:space="preserve">  DONNEES DE BASE</t>
  </si>
  <si>
    <t>OUI</t>
  </si>
  <si>
    <t>Composition Equipes</t>
  </si>
  <si>
    <t># Enfants / Equipe</t>
  </si>
  <si>
    <t>Paramètres</t>
  </si>
  <si>
    <t>fixe</t>
  </si>
  <si>
    <t># / équipe</t>
  </si>
  <si>
    <t>Perdiem</t>
  </si>
  <si>
    <t>par jour</t>
  </si>
  <si>
    <t>Acteurs</t>
  </si>
  <si>
    <t>Montant unitaire (Ar)</t>
  </si>
  <si>
    <t>USD</t>
  </si>
  <si>
    <t>Vaccinateur (agent de santé)</t>
  </si>
  <si>
    <t>Indemnité  Agent de santé  Stratégie Fixe</t>
  </si>
  <si>
    <t>jours</t>
  </si>
  <si>
    <t>Indemnité Agent de santé  Stratégie Avancée</t>
  </si>
  <si>
    <t>Indemnité Agent communautaire SF</t>
  </si>
  <si>
    <t>Enregistreur</t>
  </si>
  <si>
    <t>Indemnité Agent communautaire SA</t>
  </si>
  <si>
    <t># jours</t>
  </si>
  <si>
    <t>Indemnité superviseur</t>
  </si>
  <si>
    <t>jour</t>
  </si>
  <si>
    <t>Indemnité mobilisateur (forfaitaire)</t>
  </si>
  <si>
    <t>forfaitaire</t>
  </si>
  <si>
    <t>Indemnité chauffeur</t>
  </si>
  <si>
    <t>Durée campagne</t>
  </si>
  <si>
    <t xml:space="preserve">Nbre jours supervision </t>
  </si>
  <si>
    <t>Prix gasoil</t>
  </si>
  <si>
    <t>litre</t>
  </si>
  <si>
    <t>Prix essence</t>
  </si>
  <si>
    <t>Remise à niveau Agent de santé</t>
  </si>
  <si>
    <t>Remise à niveau mobilisateur/ agent communautaire</t>
  </si>
  <si>
    <t>Durée remise à niveau</t>
  </si>
  <si>
    <t>Jour</t>
  </si>
  <si>
    <t>Deplacement Agent com/Mob  ( au CSB)</t>
  </si>
  <si>
    <t>Deplacement  CSB (au SSD)</t>
  </si>
  <si>
    <t>Transport</t>
  </si>
  <si>
    <t>#l/km</t>
  </si>
  <si>
    <t>Camion</t>
  </si>
  <si>
    <t>4 x 4</t>
  </si>
  <si>
    <t>Voiture légère</t>
  </si>
  <si>
    <t>Pirogue/canot</t>
  </si>
  <si>
    <t>Charrette</t>
  </si>
  <si>
    <t>Autres</t>
  </si>
  <si>
    <t>Superviseurs</t>
  </si>
  <si>
    <t>Vaccinateurs</t>
  </si>
  <si>
    <t>Mobilisateurs</t>
  </si>
  <si>
    <t>Location/jour</t>
  </si>
  <si>
    <t>voiture 4 x 4</t>
  </si>
  <si>
    <t>voiture légère</t>
  </si>
  <si>
    <t>IST Remarques</t>
  </si>
  <si>
    <t>Suggère 1 mobilisateur par FKT comme moyenne et non 2</t>
  </si>
  <si>
    <t>Pour stratégie mobile, doit on budgétiser l'enregistreur qui sera recruté localement dans le village ?</t>
  </si>
  <si>
    <t>Prière de vérifier le coût de chaque item avec UNICEF et SV</t>
  </si>
  <si>
    <t>Pour raison logistique et qualité de données, il est préférable une seule présentation pour VitA</t>
  </si>
  <si>
    <t>Marqueurs doivent être commandes au moins 3 mois avant campagne</t>
  </si>
  <si>
    <t>Stylo, carte de vaccination, coton, et banderole sont chères !!</t>
  </si>
  <si>
    <t>Nombre d'enfants a vacciner en poste fixe / jour / équipe est environ 300-500</t>
  </si>
  <si>
    <t>journalière</t>
  </si>
  <si>
    <t>MOYEN DE TRANSPORT</t>
  </si>
  <si>
    <t>coût / Kg (Ar)</t>
  </si>
  <si>
    <t>Gestion des déchets</t>
  </si>
  <si>
    <t>Total Coût Opérationnel</t>
  </si>
  <si>
    <t>Nbre total équipes vaccination</t>
  </si>
  <si>
    <t>Mobilisateur social</t>
  </si>
  <si>
    <t>Avancée / Mobile / Spéciale</t>
  </si>
  <si>
    <t>12 mois à 29 ans</t>
  </si>
  <si>
    <t>Stratégie</t>
  </si>
  <si>
    <t>2.B. COUTS DE LA MISE EN ŒUVRE DE LA CAMPAGNE PAR STRATEGIE</t>
  </si>
  <si>
    <t>Avancé</t>
  </si>
  <si>
    <r>
      <t xml:space="preserve">Nombre de personnes à vacciner par jour et par équipe en </t>
    </r>
    <r>
      <rPr>
        <b/>
        <sz val="10"/>
        <rFont val="Arial Narrow"/>
        <family val="2"/>
      </rPr>
      <t>Stratégie Fixe :</t>
    </r>
  </si>
  <si>
    <r>
      <t xml:space="preserve">Nombre de personnes à vacciner par jour et par équipe en </t>
    </r>
    <r>
      <rPr>
        <b/>
        <sz val="10"/>
        <rFont val="Arial Narrow"/>
        <family val="2"/>
      </rPr>
      <t>Stratégie Avancée :</t>
    </r>
  </si>
  <si>
    <r>
      <t xml:space="preserve">Nombre de personnes à vacciner par jour et par équipe en </t>
    </r>
    <r>
      <rPr>
        <b/>
        <sz val="10"/>
        <rFont val="Arial Narrow"/>
        <family val="2"/>
      </rPr>
      <t>Stratégie Mobile :</t>
    </r>
  </si>
  <si>
    <r>
      <t xml:space="preserve">Nombre de personnes à vacciner par jour et par équipe en </t>
    </r>
    <r>
      <rPr>
        <b/>
        <sz val="10"/>
        <rFont val="Arial Narrow"/>
        <family val="2"/>
      </rPr>
      <t>Stratégie Spéciale :</t>
    </r>
  </si>
  <si>
    <t>Chauffeurs (# ECD)</t>
  </si>
  <si>
    <t>Superviseurs des équipes</t>
  </si>
  <si>
    <t>Location moto</t>
  </si>
  <si>
    <t>Prix du litre de carburant</t>
  </si>
  <si>
    <t>Voiture à utiliser par le Service Santé du District</t>
  </si>
  <si>
    <t>Moto à utiliser par le Service Santé du District</t>
  </si>
  <si>
    <t>Bien vouloir compléter les informations dans le case blanche</t>
  </si>
  <si>
    <t>Hors bord</t>
  </si>
  <si>
    <t>Vaccinateurs et enregistreurs</t>
  </si>
  <si>
    <t>Mobilisateurs sociaux</t>
  </si>
  <si>
    <t>Formation MobSàc</t>
  </si>
  <si>
    <t>Formation vac &amp; enregistreu</t>
  </si>
  <si>
    <t>Formation Mobilisateurs sociaux</t>
  </si>
  <si>
    <t>Nom du Vaccin</t>
  </si>
  <si>
    <t>Dose/flacon</t>
  </si>
  <si>
    <t>Mobile &amp; spéciale</t>
  </si>
  <si>
    <t>Transport des équipesp par jour</t>
  </si>
  <si>
    <t>Coût / jour</t>
  </si>
  <si>
    <t>Transport pendant la campagne</t>
  </si>
  <si>
    <t>Coûts</t>
  </si>
  <si>
    <t>Superviseur des équipes (Resp. AS)</t>
  </si>
  <si>
    <t>Nbre jrs</t>
  </si>
  <si>
    <t>Perdiems supervision dans l'aire de santé</t>
  </si>
  <si>
    <t>Carburant supervision dans l'aire de santé</t>
  </si>
  <si>
    <t>PERDIEMS EQUIPE DE VACCINATION</t>
  </si>
  <si>
    <t>Besoin Total</t>
  </si>
  <si>
    <t>TRANSPORT DANS L'AIRE DE SANTE</t>
  </si>
  <si>
    <t>Equiepes de vaccination</t>
  </si>
  <si>
    <t>Carburant Supervision dans l'AS</t>
  </si>
  <si>
    <t>Formation points focaux MobSoc</t>
  </si>
  <si>
    <t>Perdiems superviseurs DS vers les AS</t>
  </si>
  <si>
    <t>Location motos points focaux MobSoc</t>
  </si>
  <si>
    <t>Location voitures pour supervision technique</t>
  </si>
  <si>
    <t>Perdiems supervision points focaux MobSoc</t>
  </si>
  <si>
    <t>SSD</t>
  </si>
  <si>
    <t>Formation des responsables des AS</t>
  </si>
  <si>
    <t>Responsables des Aires de Santé</t>
  </si>
  <si>
    <t>Transport Evaluation de la campagne</t>
  </si>
  <si>
    <t>Total Coût Opérationnel SSD</t>
  </si>
  <si>
    <t>Superviseurs Aire de Santé</t>
  </si>
  <si>
    <t>Superviseurs SSD vers AS</t>
  </si>
  <si>
    <t>Bombone Gaz</t>
  </si>
  <si>
    <t>Chaine du froid</t>
  </si>
  <si>
    <t>Coût U.</t>
  </si>
  <si>
    <t>Bombonne de gaz</t>
  </si>
  <si>
    <t>Location motos supervision technique</t>
  </si>
  <si>
    <t>Location motos points F. MobSoc AS</t>
  </si>
  <si>
    <t>Destruction des déchets</t>
  </si>
  <si>
    <t>Construction fosse à 2 palliers</t>
  </si>
  <si>
    <t>Destruction une boîte de sécurité</t>
  </si>
  <si>
    <t>Perdiems points F. MobSoc AS</t>
  </si>
  <si>
    <t>Carburant points F. MobSoc AS</t>
  </si>
  <si>
    <t>Carburant points F. MobSoc SSD</t>
  </si>
  <si>
    <t>Livraison Vaccin et  Intrants vers les AS</t>
  </si>
  <si>
    <t>Carburant supervision du DS vers les AS</t>
  </si>
  <si>
    <t>Nombre d'équipes dans le DS</t>
  </si>
  <si>
    <t>Nombre d'équipe</t>
  </si>
  <si>
    <t>Pop. Cible</t>
  </si>
  <si>
    <t>POP. SPECIALES</t>
  </si>
  <si>
    <t>2.A. Nombre de jours de vaccination par équipe</t>
  </si>
  <si>
    <t>Superviseurs mobsoc (AS &amp; DS)</t>
  </si>
  <si>
    <t>Formation vaccinateur/enregistreur</t>
  </si>
  <si>
    <t>Transport vaccinateur/enregistreur</t>
  </si>
  <si>
    <t>Perdiems vaccinateur/ enregistreur</t>
  </si>
  <si>
    <t>AS</t>
  </si>
  <si>
    <t>3. Vaccination (AVS)</t>
  </si>
  <si>
    <t>4. Gestion des déchets</t>
  </si>
  <si>
    <t>5. Mobilisation sociale</t>
  </si>
  <si>
    <t>6. Supervision DS vers AS</t>
  </si>
  <si>
    <t>2. Formation MobSoc</t>
  </si>
  <si>
    <t>7. Evaluation de la campagne</t>
  </si>
  <si>
    <t>8. Transport Vaccins et intrant vers AS</t>
  </si>
  <si>
    <t>1. Formation vaccinateur, enregistreur &amp; AS</t>
  </si>
  <si>
    <t>5. CHAINE DU FROID</t>
  </si>
  <si>
    <t>9. BUDGET PAR AIRE DE SANTE</t>
  </si>
  <si>
    <t>10. BUDGET DU SERVICE SANTE DE DISTRICT</t>
  </si>
  <si>
    <r>
      <t xml:space="preserve">11. </t>
    </r>
    <r>
      <rPr>
        <b/>
        <u/>
        <sz val="14"/>
        <rFont val="Arial"/>
        <family val="2"/>
      </rPr>
      <t>FICHE RECAPITULATIVE</t>
    </r>
  </si>
  <si>
    <t>12. FINANCEMENT</t>
  </si>
  <si>
    <t>13. CHRONOGRAMME DES ACTIVITES DU SERVICE SANTE DE DISTRICT</t>
  </si>
  <si>
    <t>14. COMMUNICATION ET MOBILISATION SOCIALE</t>
  </si>
  <si>
    <t>15. CIRCUIT DES EQUIPES DE VACCINATION</t>
  </si>
  <si>
    <t>9. Réunions de olaidoyer</t>
  </si>
  <si>
    <t>COUT</t>
  </si>
  <si>
    <t>FINANCEMENT</t>
  </si>
  <si>
    <t>MONTANT</t>
  </si>
  <si>
    <t>RESPONSABLE</t>
  </si>
  <si>
    <t>DATE</t>
  </si>
  <si>
    <t>Local (aire de santé ou district)</t>
  </si>
  <si>
    <t>REGION</t>
  </si>
  <si>
    <t>Partenaires locaux</t>
  </si>
  <si>
    <t>Montant financé</t>
  </si>
  <si>
    <t>Tx financement</t>
  </si>
  <si>
    <t>à rechercher</t>
  </si>
  <si>
    <t>Montant (F CFA)</t>
  </si>
  <si>
    <t>Coût (F CFA)</t>
  </si>
  <si>
    <t>Coûts Carburant Supervision</t>
  </si>
  <si>
    <t>Evaluation de la campagne</t>
  </si>
  <si>
    <t>Cible</t>
  </si>
  <si>
    <t>9 - 11 mois</t>
  </si>
  <si>
    <t>12 - 59 mois</t>
  </si>
  <si>
    <t>6 - 15 ans</t>
  </si>
  <si>
    <t>Formation sanitaire pilote</t>
  </si>
  <si>
    <r>
      <t>B :</t>
    </r>
    <r>
      <rPr>
        <sz val="10"/>
        <rFont val="Arial"/>
        <family val="2"/>
      </rPr>
      <t xml:space="preserve"> Indiquer le nom de la formation sanitaire pilote de l'aire de santé</t>
    </r>
  </si>
  <si>
    <r>
      <t xml:space="preserve">C : </t>
    </r>
    <r>
      <rPr>
        <sz val="10"/>
        <rFont val="Arial"/>
        <family val="2"/>
      </rPr>
      <t>Indiquer la distance en Km qui sépare la formation sanitaire pilote du SSD</t>
    </r>
    <r>
      <rPr>
        <b/>
        <sz val="12"/>
        <rFont val="Arial"/>
        <family val="2"/>
      </rPr>
      <t xml:space="preserve"> (inscriver uniquement les chiffres)</t>
    </r>
  </si>
  <si>
    <t>OUTIL  DE  MICRO PLANIFICATION  DES  AVS</t>
  </si>
  <si>
    <t>Pays:</t>
  </si>
  <si>
    <t>Région :</t>
  </si>
  <si>
    <t>District :</t>
  </si>
  <si>
    <t>Date du jour :</t>
  </si>
  <si>
    <t>Activité</t>
  </si>
  <si>
    <t>Type de vaccin :</t>
  </si>
  <si>
    <t>Cible visée :</t>
  </si>
  <si>
    <t>Doses/flacon :</t>
  </si>
  <si>
    <t>Durée AVS :</t>
  </si>
  <si>
    <t>TOTAL DES STRATEGIES</t>
  </si>
  <si>
    <r>
      <t xml:space="preserve">I : </t>
    </r>
    <r>
      <rPr>
        <sz val="10"/>
        <rFont val="Arial"/>
        <family val="2"/>
      </rPr>
      <t xml:space="preserve">population totale de l'aire de santé. Cette population doit être égale à </t>
    </r>
    <r>
      <rPr>
        <b/>
        <sz val="10"/>
        <rFont val="Arial"/>
        <family val="2"/>
      </rPr>
      <t>E + F + G + H : (remplir uniquement E, F, G et H)</t>
    </r>
  </si>
  <si>
    <t>Dos d'homme</t>
  </si>
  <si>
    <t>Année MO :</t>
  </si>
  <si>
    <t>Mois AVS :</t>
  </si>
  <si>
    <t>Superviseurs CSSD et CBS</t>
  </si>
  <si>
    <t>Autres superviseurs SSD vers AS</t>
  </si>
  <si>
    <t>Point Focal MobSoc du district</t>
  </si>
  <si>
    <t>15 ans+</t>
  </si>
  <si>
    <t>OK</t>
  </si>
  <si>
    <t>Perdiems MobSoc avant la campagne</t>
  </si>
  <si>
    <t>Perdiems MobSoc pendant la campagne</t>
  </si>
  <si>
    <t>Perdiems MobSoc Avant la campagne</t>
  </si>
  <si>
    <t>Perdiems MobSoc Pendant la campagne</t>
  </si>
  <si>
    <t>Données de Mobilisation Sociale</t>
  </si>
  <si>
    <t>Nombre jours de mobilisation avant la campagne</t>
  </si>
  <si>
    <t>Nbre Mobilisateurs par équipe avant</t>
  </si>
  <si>
    <t>Nbre Mobilisateurs par équipe pendant la campagne</t>
  </si>
  <si>
    <t>Supervision Responsable  de l'AS)</t>
  </si>
  <si>
    <t>Responsable Aire de Santé</t>
  </si>
  <si>
    <t>Autres supervisuers</t>
  </si>
  <si>
    <t>Supervi
sion Resp AS</t>
  </si>
  <si>
    <t>Supervision
 des équipes</t>
  </si>
  <si>
    <t>Perdiems supervision Resp. AS</t>
  </si>
  <si>
    <t>Perdiems Supervision</t>
  </si>
  <si>
    <t>Autres Superviseurs de l'AS venus du SSD</t>
  </si>
  <si>
    <t>Superviseurs d'équipes</t>
  </si>
  <si>
    <t>Nbre d'Autres Formations Sanitaires existantes dans l'AS</t>
  </si>
  <si>
    <t>RR</t>
  </si>
  <si>
    <t>pass word : RR15</t>
  </si>
  <si>
    <t>Livraison vaccin RR et intrants vers les AS</t>
  </si>
  <si>
    <t xml:space="preserve">Transport mobsoc pour la formation </t>
  </si>
  <si>
    <t>Coût du transport journalier du mobilisateur social</t>
  </si>
  <si>
    <t>Janvier</t>
  </si>
  <si>
    <t>Février</t>
  </si>
  <si>
    <t>Mars</t>
  </si>
  <si>
    <t>Avril</t>
  </si>
  <si>
    <t>Campagne de vaccination préventive contre la Rougeole et la Rubeole (RR), 2023</t>
  </si>
  <si>
    <t>POPULATION TOTALE 2023</t>
  </si>
  <si>
    <t>Distance entre la formation sanitaire et le SSD</t>
  </si>
  <si>
    <t>Coût enfant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</si>
</sst>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(* #,##0_);_(* \(#,##0\);_(* &quot;-&quot;_);_(@_)"/>
    <numFmt numFmtId="166" formatCode="_(&quot;$&quot;* #,##0.00_);_(&quot;$&quot;* \(#,##0.00\);_(&quot;$&quot;* &quot;-&quot;??_);_(@_)"/>
    <numFmt numFmtId="167" formatCode="_-* #,##0\ _F_-;\-* #,##0\ _F_-;_-* &quot;-&quot;??\ _F_-;_-@_-"/>
    <numFmt numFmtId="168" formatCode="0.0%"/>
    <numFmt numFmtId="169" formatCode="_-* #,##0\ _€_-;\-* #,##0\ _€_-;_-* &quot;-&quot;??\ _€_-;_-@_-"/>
    <numFmt numFmtId="170" formatCode="#,##0_ ;[Red]\-#,##0\ "/>
    <numFmt numFmtId="171" formatCode="_-* #,###_-;\-* #,###_-;_-* &quot;-&quot;??_-;_-@_-"/>
    <numFmt numFmtId="172" formatCode="_-* #,##0_-;\-* #,##0_-;_-* &quot;-&quot;??_-;_-@_-"/>
    <numFmt numFmtId="173" formatCode="#,##0.00\ _€"/>
    <numFmt numFmtId="174" formatCode="#,##0.00_ ;[Red]\-#,##0.00\ "/>
    <numFmt numFmtId="175" formatCode="_-[$$-409]* #,##0.0_ ;_-[$$-409]* \-#,##0.0\ ;_-[$$-409]* &quot;-&quot;?_ ;_-@_ "/>
    <numFmt numFmtId="176" formatCode="_-* #,##0.000_-;\-* #,##0.000_-;_-* &quot;-&quot;??_-;_-@_-"/>
    <numFmt numFmtId="177" formatCode="_-* #,##0_-\k\m"/>
    <numFmt numFmtId="178" formatCode="[$-40C]d\ mmmm\ yyyy;@"/>
    <numFmt numFmtId="179" formatCode="_-* #,##0.00\ &quot;F&quot;_-;\-* #,##0.00\ &quot;F&quot;_-;_-* &quot;-&quot;??\ &quot;F&quot;_-;_-@_-"/>
    <numFmt numFmtId="180" formatCode="_-* #,##0_j\J\o\u\r\s"/>
  </numFmts>
  <fonts count="8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u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Trebuchet MS"/>
      <family val="2"/>
    </font>
    <font>
      <sz val="10"/>
      <name val="Trebuchet MS"/>
      <family val="2"/>
    </font>
    <font>
      <sz val="8"/>
      <name val="Arial"/>
      <family val="2"/>
    </font>
    <font>
      <u/>
      <sz val="8"/>
      <name val="Arial"/>
      <family val="2"/>
    </font>
    <font>
      <b/>
      <sz val="16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sz val="16"/>
      <color indexed="12"/>
      <name val="Arial"/>
      <family val="2"/>
    </font>
    <font>
      <b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color indexed="62"/>
      <name val="Trebuchet MS"/>
      <family val="2"/>
    </font>
    <font>
      <b/>
      <sz val="12"/>
      <name val="Trebuchet MS"/>
      <family val="2"/>
    </font>
    <font>
      <b/>
      <sz val="12"/>
      <name val="Arial Narrow"/>
      <family val="2"/>
    </font>
    <font>
      <sz val="12"/>
      <name val="Arial Narrow"/>
      <family val="2"/>
    </font>
    <font>
      <sz val="8"/>
      <name val="Calibri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4"/>
      <color indexed="8"/>
      <name val="Arial Narrow"/>
      <family val="2"/>
    </font>
    <font>
      <b/>
      <sz val="9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4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1"/>
      <color indexed="10"/>
      <name val="Arial"/>
      <family val="2"/>
    </font>
    <font>
      <b/>
      <i/>
      <sz val="9"/>
      <name val="Arial"/>
      <family val="2"/>
    </font>
    <font>
      <sz val="10"/>
      <color indexed="12"/>
      <name val="Arial"/>
      <family val="2"/>
    </font>
    <font>
      <b/>
      <sz val="12"/>
      <color indexed="53"/>
      <name val="Arial Narrow"/>
      <family val="2"/>
    </font>
    <font>
      <b/>
      <sz val="14"/>
      <name val="Arial Narrow"/>
      <family val="2"/>
    </font>
    <font>
      <sz val="8"/>
      <color theme="0"/>
      <name val="Arial"/>
      <family val="2"/>
    </font>
    <font>
      <b/>
      <sz val="8"/>
      <name val="Arial Narrow"/>
      <family val="2"/>
    </font>
    <font>
      <sz val="10"/>
      <name val="Calibri"/>
      <family val="2"/>
    </font>
    <font>
      <b/>
      <sz val="16"/>
      <color indexed="9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2"/>
      <name val="Calibri"/>
      <family val="2"/>
    </font>
    <font>
      <b/>
      <sz val="18"/>
      <color indexed="9"/>
      <name val="Calibri"/>
      <family val="2"/>
    </font>
    <font>
      <b/>
      <i/>
      <sz val="11"/>
      <color indexed="9"/>
      <name val="Calibri"/>
      <family val="2"/>
    </font>
    <font>
      <b/>
      <sz val="13"/>
      <name val="Arial"/>
      <family val="2"/>
    </font>
    <font>
      <sz val="10"/>
      <color rgb="FFC0C0C0"/>
      <name val="Arial"/>
      <family val="2"/>
    </font>
    <font>
      <i/>
      <sz val="1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lightUp">
        <bgColor indexed="2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4"/>
        <bgColor indexed="64"/>
      </patternFill>
    </fill>
  </fills>
  <borders count="10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08">
    <xf numFmtId="0" fontId="0" fillId="0" borderId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40" fillId="20" borderId="1" applyNumberFormat="0" applyAlignment="0" applyProtection="0"/>
    <xf numFmtId="0" fontId="2" fillId="22" borderId="4" applyNumberFormat="0" applyFont="0" applyAlignment="0" applyProtection="0"/>
    <xf numFmtId="0" fontId="2" fillId="22" borderId="4" applyNumberFormat="0" applyFont="0" applyAlignment="0" applyProtection="0"/>
    <xf numFmtId="0" fontId="2" fillId="22" borderId="4" applyNumberFormat="0" applyFont="0" applyAlignment="0" applyProtection="0"/>
    <xf numFmtId="0" fontId="2" fillId="22" borderId="4" applyNumberFormat="0" applyFont="0" applyAlignment="0" applyProtection="0"/>
    <xf numFmtId="0" fontId="2" fillId="22" borderId="4" applyNumberFormat="0" applyFont="0" applyAlignment="0" applyProtection="0"/>
    <xf numFmtId="44" fontId="2" fillId="0" borderId="0" applyFont="0" applyFill="0" applyBorder="0" applyAlignment="0" applyProtection="0"/>
    <xf numFmtId="0" fontId="42" fillId="7" borderId="1" applyNumberFormat="0" applyAlignment="0" applyProtection="0"/>
    <xf numFmtId="0" fontId="43" fillId="3" borderId="0" applyNumberFormat="0" applyBorder="0" applyAlignment="0" applyProtection="0"/>
    <xf numFmtId="0" fontId="41" fillId="0" borderId="2" applyNumberFormat="0" applyFill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4" fillId="23" borderId="0" applyNumberFormat="0" applyBorder="0" applyAlignment="0" applyProtection="0"/>
    <xf numFmtId="0" fontId="5" fillId="0" borderId="0"/>
    <xf numFmtId="0" fontId="37" fillId="0" borderId="0"/>
    <xf numFmtId="0" fontId="37" fillId="0" borderId="0"/>
    <xf numFmtId="0" fontId="37" fillId="0" borderId="0"/>
    <xf numFmtId="0" fontId="2" fillId="22" borderId="4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5" fillId="4" borderId="0" applyNumberFormat="0" applyBorder="0" applyAlignment="0" applyProtection="0"/>
    <xf numFmtId="0" fontId="46" fillId="20" borderId="8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5" applyNumberFormat="0" applyFill="0" applyAlignment="0" applyProtection="0"/>
    <xf numFmtId="0" fontId="50" fillId="0" borderId="6" applyNumberFormat="0" applyFill="0" applyAlignment="0" applyProtection="0"/>
    <xf numFmtId="0" fontId="51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3" fillId="21" borderId="3" applyNumberFormat="0" applyAlignment="0" applyProtection="0"/>
    <xf numFmtId="0" fontId="39" fillId="0" borderId="0" applyNumberFormat="0" applyFill="0" applyBorder="0" applyAlignment="0" applyProtection="0"/>
    <xf numFmtId="0" fontId="2" fillId="0" borderId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39" fillId="0" borderId="0" applyNumberFormat="0" applyFill="0" applyBorder="0" applyAlignment="0" applyProtection="0"/>
    <xf numFmtId="0" fontId="40" fillId="20" borderId="1" applyNumberFormat="0" applyAlignment="0" applyProtection="0"/>
    <xf numFmtId="0" fontId="41" fillId="0" borderId="2" applyNumberFormat="0" applyFill="0" applyAlignment="0" applyProtection="0"/>
    <xf numFmtId="0" fontId="42" fillId="7" borderId="1" applyNumberFormat="0" applyAlignment="0" applyProtection="0"/>
    <xf numFmtId="0" fontId="43" fillId="3" borderId="0" applyNumberFormat="0" applyBorder="0" applyAlignment="0" applyProtection="0"/>
    <xf numFmtId="179" fontId="2" fillId="0" borderId="0" applyFont="0" applyFill="0" applyBorder="0" applyAlignment="0" applyProtection="0"/>
    <xf numFmtId="0" fontId="44" fillId="23" borderId="0" applyNumberFormat="0" applyBorder="0" applyAlignment="0" applyProtection="0"/>
    <xf numFmtId="0" fontId="45" fillId="4" borderId="0" applyNumberFormat="0" applyBorder="0" applyAlignment="0" applyProtection="0"/>
    <xf numFmtId="0" fontId="46" fillId="20" borderId="8" applyNumberFormat="0" applyAlignment="0" applyProtection="0"/>
    <xf numFmtId="0" fontId="4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5" applyNumberFormat="0" applyFill="0" applyAlignment="0" applyProtection="0"/>
    <xf numFmtId="0" fontId="50" fillId="0" borderId="6" applyNumberFormat="0" applyFill="0" applyAlignment="0" applyProtection="0"/>
    <xf numFmtId="0" fontId="51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9" applyNumberFormat="0" applyFill="0" applyAlignment="0" applyProtection="0"/>
    <xf numFmtId="0" fontId="53" fillId="21" borderId="3" applyNumberFormat="0" applyAlignment="0" applyProtection="0"/>
    <xf numFmtId="0" fontId="1" fillId="0" borderId="0"/>
  </cellStyleXfs>
  <cellXfs count="930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17" fillId="0" borderId="0" xfId="0" applyFont="1" applyProtection="1">
      <protection locked="0"/>
    </xf>
    <xf numFmtId="0" fontId="18" fillId="0" borderId="0" xfId="0" applyFont="1" applyProtection="1">
      <protection locked="0"/>
    </xf>
    <xf numFmtId="0" fontId="17" fillId="0" borderId="0" xfId="0" applyFont="1" applyAlignment="1" applyProtection="1">
      <alignment vertical="center"/>
      <protection locked="0"/>
    </xf>
    <xf numFmtId="167" fontId="26" fillId="0" borderId="0" xfId="0" applyNumberFormat="1" applyFont="1" applyAlignment="1" applyProtection="1">
      <alignment vertical="center"/>
      <protection locked="0"/>
    </xf>
    <xf numFmtId="0" fontId="26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3" fontId="17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2" fillId="0" borderId="0" xfId="0" applyFont="1"/>
    <xf numFmtId="0" fontId="11" fillId="0" borderId="0" xfId="0" applyFont="1"/>
    <xf numFmtId="0" fontId="17" fillId="0" borderId="0" xfId="0" applyFont="1"/>
    <xf numFmtId="0" fontId="11" fillId="0" borderId="0" xfId="0" applyFont="1" applyAlignment="1">
      <alignment horizontal="centerContinuous"/>
    </xf>
    <xf numFmtId="0" fontId="11" fillId="0" borderId="0" xfId="0" applyFont="1" applyAlignment="1">
      <alignment vertical="center"/>
    </xf>
    <xf numFmtId="0" fontId="17" fillId="0" borderId="0" xfId="0" applyFont="1" applyAlignment="1">
      <alignment horizontal="centerContinuous" vertical="center"/>
    </xf>
    <xf numFmtId="0" fontId="17" fillId="0" borderId="0" xfId="0" applyFont="1" applyAlignment="1">
      <alignment vertical="center"/>
    </xf>
    <xf numFmtId="0" fontId="11" fillId="26" borderId="0" xfId="0" applyFont="1" applyFill="1" applyAlignment="1">
      <alignment vertical="center"/>
    </xf>
    <xf numFmtId="3" fontId="3" fillId="0" borderId="25" xfId="0" applyNumberFormat="1" applyFont="1" applyBorder="1" applyAlignment="1">
      <alignment vertical="center"/>
    </xf>
    <xf numFmtId="3" fontId="3" fillId="0" borderId="17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3" fontId="3" fillId="0" borderId="0" xfId="0" applyNumberFormat="1" applyFont="1" applyAlignment="1">
      <alignment vertical="center"/>
    </xf>
    <xf numFmtId="0" fontId="5" fillId="0" borderId="0" xfId="0" applyFont="1" applyAlignment="1">
      <alignment horizontal="right"/>
    </xf>
    <xf numFmtId="172" fontId="17" fillId="0" borderId="0" xfId="0" applyNumberFormat="1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7" fillId="0" borderId="17" xfId="0" applyFont="1" applyBorder="1"/>
    <xf numFmtId="0" fontId="17" fillId="0" borderId="18" xfId="0" applyFont="1" applyBorder="1"/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172" fontId="17" fillId="0" borderId="0" xfId="0" applyNumberFormat="1" applyFont="1" applyProtection="1">
      <protection locked="0"/>
    </xf>
    <xf numFmtId="0" fontId="0" fillId="0" borderId="0" xfId="0" applyAlignment="1">
      <alignment vertical="center"/>
    </xf>
    <xf numFmtId="0" fontId="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0" xfId="0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3" fontId="29" fillId="0" borderId="13" xfId="0" applyNumberFormat="1" applyFont="1" applyBorder="1" applyAlignment="1" applyProtection="1">
      <alignment vertical="center"/>
      <protection locked="0"/>
    </xf>
    <xf numFmtId="3" fontId="28" fillId="0" borderId="17" xfId="0" applyNumberFormat="1" applyFont="1" applyBorder="1" applyAlignment="1" applyProtection="1">
      <alignment vertical="center"/>
      <protection locked="0"/>
    </xf>
    <xf numFmtId="3" fontId="28" fillId="0" borderId="18" xfId="0" applyNumberFormat="1" applyFont="1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3" fontId="2" fillId="0" borderId="0" xfId="0" applyNumberFormat="1" applyFont="1" applyAlignment="1" applyProtection="1">
      <alignment vertical="center"/>
      <protection locked="0"/>
    </xf>
    <xf numFmtId="3" fontId="28" fillId="0" borderId="13" xfId="0" applyNumberFormat="1" applyFont="1" applyBorder="1" applyAlignment="1" applyProtection="1">
      <alignment horizontal="center" vertical="center"/>
      <protection locked="0"/>
    </xf>
    <xf numFmtId="3" fontId="28" fillId="0" borderId="13" xfId="0" applyNumberFormat="1" applyFont="1" applyBorder="1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vertical="center"/>
      <protection locked="0"/>
    </xf>
    <xf numFmtId="3" fontId="11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2" fillId="0" borderId="0" xfId="0" applyNumberFormat="1" applyFont="1" applyAlignment="1">
      <alignment vertical="center"/>
    </xf>
    <xf numFmtId="3" fontId="28" fillId="0" borderId="25" xfId="0" applyNumberFormat="1" applyFont="1" applyBorder="1" applyAlignment="1">
      <alignment vertical="center"/>
    </xf>
    <xf numFmtId="3" fontId="28" fillId="0" borderId="17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3" fontId="29" fillId="0" borderId="25" xfId="0" applyNumberFormat="1" applyFont="1" applyBorder="1" applyAlignment="1">
      <alignment vertical="center"/>
    </xf>
    <xf numFmtId="3" fontId="29" fillId="0" borderId="17" xfId="0" applyNumberFormat="1" applyFont="1" applyBorder="1" applyAlignment="1">
      <alignment vertical="center"/>
    </xf>
    <xf numFmtId="3" fontId="0" fillId="24" borderId="24" xfId="0" applyNumberFormat="1" applyFill="1" applyBorder="1" applyAlignment="1">
      <alignment vertical="center"/>
    </xf>
    <xf numFmtId="3" fontId="11" fillId="0" borderId="0" xfId="0" applyNumberFormat="1" applyFont="1" applyAlignment="1">
      <alignment vertical="center"/>
    </xf>
    <xf numFmtId="3" fontId="28" fillId="0" borderId="0" xfId="0" applyNumberFormat="1" applyFont="1" applyAlignment="1">
      <alignment vertical="center"/>
    </xf>
    <xf numFmtId="3" fontId="30" fillId="0" borderId="0" xfId="0" applyNumberFormat="1" applyFont="1" applyAlignment="1">
      <alignment horizontal="left" vertical="center"/>
    </xf>
    <xf numFmtId="3" fontId="30" fillId="0" borderId="0" xfId="0" applyNumberFormat="1" applyFont="1" applyAlignment="1">
      <alignment vertical="center"/>
    </xf>
    <xf numFmtId="3" fontId="31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34" fillId="28" borderId="0" xfId="0" applyFont="1" applyFill="1" applyAlignment="1">
      <alignment vertical="center"/>
    </xf>
    <xf numFmtId="0" fontId="5" fillId="0" borderId="0" xfId="0" applyFont="1" applyAlignment="1" applyProtection="1">
      <alignment wrapText="1"/>
      <protection locked="0"/>
    </xf>
    <xf numFmtId="0" fontId="54" fillId="0" borderId="0" xfId="0" applyFont="1" applyAlignment="1">
      <alignment wrapText="1"/>
    </xf>
    <xf numFmtId="0" fontId="55" fillId="0" borderId="0" xfId="0" applyFont="1"/>
    <xf numFmtId="0" fontId="29" fillId="0" borderId="0" xfId="0" applyFont="1"/>
    <xf numFmtId="0" fontId="29" fillId="31" borderId="37" xfId="0" applyFont="1" applyFill="1" applyBorder="1"/>
    <xf numFmtId="0" fontId="29" fillId="31" borderId="22" xfId="0" applyFont="1" applyFill="1" applyBorder="1"/>
    <xf numFmtId="0" fontId="29" fillId="31" borderId="38" xfId="0" applyFont="1" applyFill="1" applyBorder="1"/>
    <xf numFmtId="0" fontId="29" fillId="0" borderId="39" xfId="0" applyFont="1" applyBorder="1"/>
    <xf numFmtId="0" fontId="29" fillId="0" borderId="13" xfId="0" applyFont="1" applyBorder="1"/>
    <xf numFmtId="0" fontId="29" fillId="0" borderId="40" xfId="0" applyFont="1" applyBorder="1"/>
    <xf numFmtId="0" fontId="29" fillId="0" borderId="25" xfId="0" applyFont="1" applyBorder="1"/>
    <xf numFmtId="0" fontId="29" fillId="0" borderId="41" xfId="0" applyFont="1" applyBorder="1" applyAlignment="1">
      <alignment wrapText="1"/>
    </xf>
    <xf numFmtId="0" fontId="28" fillId="32" borderId="42" xfId="0" applyFont="1" applyFill="1" applyBorder="1"/>
    <xf numFmtId="0" fontId="28" fillId="32" borderId="43" xfId="0" applyFont="1" applyFill="1" applyBorder="1"/>
    <xf numFmtId="0" fontId="28" fillId="32" borderId="44" xfId="0" applyFont="1" applyFill="1" applyBorder="1"/>
    <xf numFmtId="0" fontId="29" fillId="0" borderId="18" xfId="0" applyFont="1" applyBorder="1"/>
    <xf numFmtId="0" fontId="28" fillId="32" borderId="45" xfId="0" applyFont="1" applyFill="1" applyBorder="1" applyAlignment="1">
      <alignment horizontal="centerContinuous"/>
    </xf>
    <xf numFmtId="0" fontId="28" fillId="32" borderId="46" xfId="0" applyFont="1" applyFill="1" applyBorder="1" applyAlignment="1">
      <alignment horizontal="centerContinuous"/>
    </xf>
    <xf numFmtId="0" fontId="28" fillId="32" borderId="47" xfId="0" applyFont="1" applyFill="1" applyBorder="1" applyAlignment="1">
      <alignment horizontal="centerContinuous"/>
    </xf>
    <xf numFmtId="0" fontId="29" fillId="0" borderId="39" xfId="0" applyFont="1" applyBorder="1" applyAlignment="1">
      <alignment vertical="center" wrapText="1"/>
    </xf>
    <xf numFmtId="0" fontId="29" fillId="0" borderId="13" xfId="0" applyFont="1" applyBorder="1" applyAlignment="1">
      <alignment vertical="center" wrapText="1"/>
    </xf>
    <xf numFmtId="0" fontId="29" fillId="0" borderId="40" xfId="0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0" fontId="29" fillId="0" borderId="41" xfId="0" applyFont="1" applyBorder="1" applyAlignment="1">
      <alignment vertical="center" wrapText="1"/>
    </xf>
    <xf numFmtId="0" fontId="29" fillId="0" borderId="48" xfId="0" applyFont="1" applyBorder="1" applyAlignment="1">
      <alignment vertical="center" wrapText="1"/>
    </xf>
    <xf numFmtId="0" fontId="29" fillId="0" borderId="49" xfId="0" applyFont="1" applyBorder="1" applyAlignment="1">
      <alignment vertical="center" wrapText="1"/>
    </xf>
    <xf numFmtId="0" fontId="29" fillId="0" borderId="50" xfId="0" applyFont="1" applyBorder="1" applyAlignment="1">
      <alignment vertical="center" wrapText="1"/>
    </xf>
    <xf numFmtId="0" fontId="29" fillId="0" borderId="51" xfId="0" applyFont="1" applyBorder="1" applyAlignment="1">
      <alignment vertical="center" wrapText="1"/>
    </xf>
    <xf numFmtId="0" fontId="29" fillId="0" borderId="52" xfId="0" applyFont="1" applyBorder="1" applyAlignment="1">
      <alignment vertical="center" wrapText="1"/>
    </xf>
    <xf numFmtId="0" fontId="29" fillId="0" borderId="53" xfId="0" applyFont="1" applyBorder="1" applyAlignment="1">
      <alignment vertical="center" wrapText="1"/>
    </xf>
    <xf numFmtId="0" fontId="28" fillId="0" borderId="54" xfId="0" applyFont="1" applyBorder="1" applyAlignment="1">
      <alignment horizontal="center" wrapText="1"/>
    </xf>
    <xf numFmtId="0" fontId="29" fillId="0" borderId="0" xfId="0" applyFont="1" applyAlignment="1">
      <alignment vertical="center"/>
    </xf>
    <xf numFmtId="0" fontId="28" fillId="32" borderId="43" xfId="0" applyFont="1" applyFill="1" applyBorder="1" applyAlignment="1">
      <alignment vertical="center"/>
    </xf>
    <xf numFmtId="0" fontId="29" fillId="31" borderId="22" xfId="0" applyFont="1" applyFill="1" applyBorder="1" applyAlignment="1">
      <alignment vertical="center"/>
    </xf>
    <xf numFmtId="172" fontId="5" fillId="0" borderId="55" xfId="0" applyNumberFormat="1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horizontal="center" wrapText="1"/>
      <protection locked="0"/>
    </xf>
    <xf numFmtId="172" fontId="3" fillId="0" borderId="28" xfId="0" applyNumberFormat="1" applyFont="1" applyBorder="1" applyAlignment="1" applyProtection="1">
      <alignment horizontal="center" vertical="center"/>
      <protection locked="0"/>
    </xf>
    <xf numFmtId="172" fontId="5" fillId="0" borderId="13" xfId="0" applyNumberFormat="1" applyFont="1" applyBorder="1" applyAlignment="1" applyProtection="1">
      <alignment horizontal="right"/>
      <protection locked="0"/>
    </xf>
    <xf numFmtId="172" fontId="5" fillId="0" borderId="55" xfId="0" applyNumberFormat="1" applyFont="1" applyBorder="1" applyAlignment="1" applyProtection="1">
      <alignment horizontal="right"/>
      <protection locked="0"/>
    </xf>
    <xf numFmtId="172" fontId="5" fillId="0" borderId="0" xfId="0" applyNumberFormat="1" applyFont="1" applyProtection="1">
      <protection locked="0"/>
    </xf>
    <xf numFmtId="172" fontId="5" fillId="0" borderId="13" xfId="0" applyNumberFormat="1" applyFont="1" applyBorder="1" applyProtection="1">
      <protection locked="0"/>
    </xf>
    <xf numFmtId="172" fontId="2" fillId="0" borderId="0" xfId="0" applyNumberFormat="1" applyFont="1" applyProtection="1">
      <protection locked="0"/>
    </xf>
    <xf numFmtId="172" fontId="3" fillId="0" borderId="0" xfId="0" applyNumberFormat="1" applyFont="1" applyAlignment="1">
      <alignment horizontal="center" vertical="center"/>
    </xf>
    <xf numFmtId="172" fontId="5" fillId="0" borderId="0" xfId="0" applyNumberFormat="1" applyFont="1" applyAlignment="1">
      <alignment horizontal="center" vertical="center"/>
    </xf>
    <xf numFmtId="172" fontId="5" fillId="0" borderId="0" xfId="0" applyNumberFormat="1" applyFont="1" applyAlignment="1" applyProtection="1">
      <alignment horizontal="center" vertical="center"/>
      <protection locked="0"/>
    </xf>
    <xf numFmtId="172" fontId="3" fillId="0" borderId="0" xfId="0" applyNumberFormat="1" applyFont="1" applyAlignment="1" applyProtection="1">
      <alignment horizontal="center" vertical="center"/>
      <protection locked="0"/>
    </xf>
    <xf numFmtId="172" fontId="5" fillId="0" borderId="0" xfId="0" applyNumberFormat="1" applyFont="1" applyAlignment="1">
      <alignment vertical="center"/>
    </xf>
    <xf numFmtId="172" fontId="3" fillId="0" borderId="0" xfId="0" applyNumberFormat="1" applyFont="1" applyAlignment="1">
      <alignment vertical="center"/>
    </xf>
    <xf numFmtId="172" fontId="3" fillId="0" borderId="0" xfId="0" applyNumberFormat="1" applyFont="1" applyAlignment="1" applyProtection="1">
      <alignment vertical="center"/>
      <protection locked="0"/>
    </xf>
    <xf numFmtId="172" fontId="5" fillId="0" borderId="0" xfId="0" applyNumberFormat="1" applyFont="1" applyAlignment="1" applyProtection="1">
      <alignment vertical="center"/>
      <protection locked="0"/>
    </xf>
    <xf numFmtId="172" fontId="21" fillId="0" borderId="13" xfId="0" applyNumberFormat="1" applyFont="1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11" fillId="26" borderId="0" xfId="0" applyFont="1" applyFill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2" fontId="2" fillId="0" borderId="13" xfId="0" applyNumberFormat="1" applyFont="1" applyBorder="1" applyAlignment="1" applyProtection="1">
      <alignment horizontal="center"/>
      <protection locked="0"/>
    </xf>
    <xf numFmtId="172" fontId="5" fillId="0" borderId="13" xfId="0" applyNumberFormat="1" applyFont="1" applyBorder="1" applyAlignment="1" applyProtection="1">
      <alignment vertical="center"/>
      <protection locked="0"/>
    </xf>
    <xf numFmtId="172" fontId="5" fillId="0" borderId="58" xfId="0" applyNumberFormat="1" applyFont="1" applyBorder="1" applyAlignment="1" applyProtection="1">
      <alignment vertical="center"/>
      <protection locked="0"/>
    </xf>
    <xf numFmtId="172" fontId="17" fillId="0" borderId="58" xfId="0" applyNumberFormat="1" applyFont="1" applyBorder="1" applyAlignment="1" applyProtection="1">
      <alignment vertical="center"/>
      <protection locked="0"/>
    </xf>
    <xf numFmtId="172" fontId="26" fillId="0" borderId="13" xfId="35" applyNumberFormat="1" applyFont="1" applyFill="1" applyBorder="1" applyAlignment="1" applyProtection="1">
      <alignment vertical="center"/>
      <protection locked="0"/>
    </xf>
    <xf numFmtId="172" fontId="26" fillId="0" borderId="13" xfId="0" applyNumberFormat="1" applyFont="1" applyBorder="1" applyAlignment="1" applyProtection="1">
      <alignment vertical="center"/>
      <protection locked="0"/>
    </xf>
    <xf numFmtId="172" fontId="26" fillId="0" borderId="55" xfId="0" applyNumberFormat="1" applyFont="1" applyBorder="1" applyAlignment="1" applyProtection="1">
      <alignment vertical="center"/>
      <protection locked="0"/>
    </xf>
    <xf numFmtId="172" fontId="5" fillId="0" borderId="13" xfId="0" applyNumberFormat="1" applyFont="1" applyBorder="1" applyAlignment="1" applyProtection="1">
      <alignment vertical="center" wrapText="1"/>
      <protection locked="0"/>
    </xf>
    <xf numFmtId="172" fontId="21" fillId="0" borderId="13" xfId="35" applyNumberFormat="1" applyFont="1" applyFill="1" applyBorder="1" applyAlignment="1" applyProtection="1">
      <alignment horizontal="center" vertical="center"/>
      <protection locked="0"/>
    </xf>
    <xf numFmtId="172" fontId="21" fillId="0" borderId="13" xfId="0" applyNumberFormat="1" applyFont="1" applyBorder="1" applyAlignment="1" applyProtection="1">
      <alignment vertical="center" wrapText="1"/>
      <protection locked="0"/>
    </xf>
    <xf numFmtId="172" fontId="21" fillId="0" borderId="13" xfId="0" applyNumberFormat="1" applyFont="1" applyBorder="1" applyAlignment="1" applyProtection="1">
      <alignment horizontal="center" vertical="center"/>
      <protection locked="0"/>
    </xf>
    <xf numFmtId="172" fontId="2" fillId="0" borderId="39" xfId="0" applyNumberFormat="1" applyFont="1" applyBorder="1" applyAlignment="1" applyProtection="1">
      <alignment horizontal="center"/>
      <protection locked="0"/>
    </xf>
    <xf numFmtId="172" fontId="2" fillId="0" borderId="40" xfId="0" applyNumberFormat="1" applyFont="1" applyBorder="1" applyAlignment="1" applyProtection="1">
      <alignment horizontal="center"/>
      <protection locked="0"/>
    </xf>
    <xf numFmtId="172" fontId="2" fillId="36" borderId="40" xfId="0" applyNumberFormat="1" applyFont="1" applyFill="1" applyBorder="1" applyAlignment="1">
      <alignment horizontal="center"/>
    </xf>
    <xf numFmtId="172" fontId="11" fillId="36" borderId="68" xfId="0" applyNumberFormat="1" applyFont="1" applyFill="1" applyBorder="1" applyAlignment="1">
      <alignment horizontal="center"/>
    </xf>
    <xf numFmtId="0" fontId="21" fillId="28" borderId="13" xfId="0" applyFont="1" applyFill="1" applyBorder="1" applyAlignment="1">
      <alignment horizontal="center" vertical="center" wrapText="1"/>
    </xf>
    <xf numFmtId="0" fontId="3" fillId="28" borderId="13" xfId="0" applyFont="1" applyFill="1" applyBorder="1" applyAlignment="1">
      <alignment horizontal="center"/>
    </xf>
    <xf numFmtId="0" fontId="2" fillId="28" borderId="13" xfId="0" applyFont="1" applyFill="1" applyBorder="1" applyAlignment="1">
      <alignment vertical="center"/>
    </xf>
    <xf numFmtId="0" fontId="3" fillId="28" borderId="13" xfId="0" applyFont="1" applyFill="1" applyBorder="1" applyAlignment="1">
      <alignment horizontal="center" vertical="center"/>
    </xf>
    <xf numFmtId="0" fontId="5" fillId="28" borderId="13" xfId="0" applyFont="1" applyFill="1" applyBorder="1" applyAlignment="1">
      <alignment horizontal="center"/>
    </xf>
    <xf numFmtId="172" fontId="5" fillId="28" borderId="13" xfId="0" applyNumberFormat="1" applyFont="1" applyFill="1" applyBorder="1" applyAlignment="1">
      <alignment horizontal="center" vertical="center"/>
    </xf>
    <xf numFmtId="172" fontId="5" fillId="28" borderId="13" xfId="0" applyNumberFormat="1" applyFont="1" applyFill="1" applyBorder="1" applyAlignment="1">
      <alignment vertical="center"/>
    </xf>
    <xf numFmtId="0" fontId="11" fillId="0" borderId="71" xfId="0" applyFont="1" applyBorder="1" applyAlignment="1">
      <alignment vertical="center"/>
    </xf>
    <xf numFmtId="0" fontId="28" fillId="32" borderId="45" xfId="0" applyFont="1" applyFill="1" applyBorder="1" applyAlignment="1">
      <alignment horizontal="centerContinuous" vertical="center"/>
    </xf>
    <xf numFmtId="0" fontId="28" fillId="32" borderId="46" xfId="0" applyFont="1" applyFill="1" applyBorder="1" applyAlignment="1">
      <alignment horizontal="centerContinuous" vertical="center"/>
    </xf>
    <xf numFmtId="0" fontId="28" fillId="32" borderId="47" xfId="0" applyFont="1" applyFill="1" applyBorder="1" applyAlignment="1">
      <alignment horizontal="centerContinuous" vertical="center"/>
    </xf>
    <xf numFmtId="172" fontId="17" fillId="0" borderId="13" xfId="0" applyNumberFormat="1" applyFont="1" applyBorder="1" applyAlignment="1" applyProtection="1">
      <alignment vertical="center"/>
      <protection locked="0"/>
    </xf>
    <xf numFmtId="172" fontId="3" fillId="0" borderId="77" xfId="0" applyNumberFormat="1" applyFont="1" applyBorder="1" applyAlignment="1" applyProtection="1">
      <alignment horizontal="center" vertical="center"/>
      <protection locked="0"/>
    </xf>
    <xf numFmtId="172" fontId="5" fillId="0" borderId="25" xfId="0" applyNumberFormat="1" applyFont="1" applyBorder="1" applyAlignment="1" applyProtection="1">
      <alignment horizontal="right"/>
      <protection locked="0"/>
    </xf>
    <xf numFmtId="0" fontId="34" fillId="0" borderId="0" xfId="0" applyFont="1" applyAlignment="1">
      <alignment vertical="center"/>
    </xf>
    <xf numFmtId="0" fontId="11" fillId="0" borderId="0" xfId="0" applyFont="1" applyAlignment="1">
      <alignment horizontal="centerContinuous" vertical="center" wrapText="1"/>
    </xf>
    <xf numFmtId="0" fontId="25" fillId="0" borderId="0" xfId="0" applyFont="1" applyAlignment="1">
      <alignment horizontal="left"/>
    </xf>
    <xf numFmtId="0" fontId="0" fillId="0" borderId="0" xfId="0" applyAlignment="1">
      <alignment horizontal="left"/>
    </xf>
    <xf numFmtId="0" fontId="28" fillId="0" borderId="0" xfId="0" applyFont="1"/>
    <xf numFmtId="0" fontId="20" fillId="28" borderId="13" xfId="0" applyFont="1" applyFill="1" applyBorder="1" applyAlignment="1">
      <alignment horizontal="center" vertical="center" wrapText="1"/>
    </xf>
    <xf numFmtId="0" fontId="21" fillId="0" borderId="86" xfId="0" applyFont="1" applyBorder="1" applyAlignment="1">
      <alignment horizontal="left"/>
    </xf>
    <xf numFmtId="165" fontId="21" fillId="0" borderId="87" xfId="0" applyNumberFormat="1" applyFont="1" applyBorder="1"/>
    <xf numFmtId="41" fontId="21" fillId="0" borderId="87" xfId="0" applyNumberFormat="1" applyFont="1" applyBorder="1"/>
    <xf numFmtId="41" fontId="21" fillId="0" borderId="86" xfId="0" applyNumberFormat="1" applyFont="1" applyBorder="1" applyAlignment="1">
      <alignment horizontal="left"/>
    </xf>
    <xf numFmtId="41" fontId="20" fillId="0" borderId="87" xfId="0" applyNumberFormat="1" applyFont="1" applyBorder="1"/>
    <xf numFmtId="0" fontId="21" fillId="0" borderId="88" xfId="0" applyFont="1" applyBorder="1" applyAlignment="1">
      <alignment horizontal="left"/>
    </xf>
    <xf numFmtId="165" fontId="20" fillId="0" borderId="89" xfId="0" applyNumberFormat="1" applyFont="1" applyBorder="1" applyAlignment="1">
      <alignment horizontal="right"/>
    </xf>
    <xf numFmtId="0" fontId="21" fillId="0" borderId="0" xfId="0" applyFont="1" applyAlignment="1">
      <alignment vertical="center"/>
    </xf>
    <xf numFmtId="172" fontId="21" fillId="0" borderId="0" xfId="0" applyNumberFormat="1" applyFont="1" applyAlignment="1">
      <alignment vertical="center"/>
    </xf>
    <xf numFmtId="172" fontId="21" fillId="0" borderId="13" xfId="0" quotePrefix="1" applyNumberFormat="1" applyFont="1" applyBorder="1" applyAlignment="1">
      <alignment vertical="center"/>
    </xf>
    <xf numFmtId="172" fontId="21" fillId="0" borderId="13" xfId="0" applyNumberFormat="1" applyFont="1" applyBorder="1" applyAlignment="1">
      <alignment vertical="center"/>
    </xf>
    <xf numFmtId="172" fontId="20" fillId="0" borderId="13" xfId="0" quotePrefix="1" applyNumberFormat="1" applyFont="1" applyBorder="1" applyAlignment="1">
      <alignment vertical="center"/>
    </xf>
    <xf numFmtId="172" fontId="20" fillId="0" borderId="13" xfId="0" applyNumberFormat="1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1" fillId="0" borderId="0" xfId="0" applyNumberFormat="1" applyFont="1" applyAlignment="1">
      <alignment vertical="center"/>
    </xf>
    <xf numFmtId="0" fontId="20" fillId="28" borderId="17" xfId="0" applyFont="1" applyFill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1" fillId="0" borderId="0" xfId="0" applyFont="1"/>
    <xf numFmtId="0" fontId="20" fillId="0" borderId="14" xfId="0" applyFont="1" applyBorder="1" applyAlignment="1">
      <alignment horizontal="centerContinuous" vertical="center"/>
    </xf>
    <xf numFmtId="172" fontId="21" fillId="36" borderId="13" xfId="0" applyNumberFormat="1" applyFont="1" applyFill="1" applyBorder="1" applyAlignment="1">
      <alignment horizontal="center" vertical="center"/>
    </xf>
    <xf numFmtId="172" fontId="21" fillId="0" borderId="0" xfId="0" applyNumberFormat="1" applyFont="1" applyProtection="1">
      <protection locked="0"/>
    </xf>
    <xf numFmtId="170" fontId="21" fillId="28" borderId="13" xfId="0" applyNumberFormat="1" applyFont="1" applyFill="1" applyBorder="1"/>
    <xf numFmtId="0" fontId="21" fillId="25" borderId="25" xfId="0" applyFont="1" applyFill="1" applyBorder="1"/>
    <xf numFmtId="0" fontId="21" fillId="25" borderId="17" xfId="0" applyFont="1" applyFill="1" applyBorder="1"/>
    <xf numFmtId="0" fontId="21" fillId="25" borderId="17" xfId="0" applyFont="1" applyFill="1" applyBorder="1" applyAlignment="1">
      <alignment horizontal="right"/>
    </xf>
    <xf numFmtId="0" fontId="21" fillId="25" borderId="13" xfId="0" applyFont="1" applyFill="1" applyBorder="1"/>
    <xf numFmtId="0" fontId="20" fillId="29" borderId="13" xfId="0" applyFont="1" applyFill="1" applyBorder="1" applyAlignment="1">
      <alignment horizontal="center" vertical="center" wrapText="1"/>
    </xf>
    <xf numFmtId="0" fontId="20" fillId="0" borderId="0" xfId="0" applyFont="1"/>
    <xf numFmtId="170" fontId="20" fillId="32" borderId="21" xfId="0" applyNumberFormat="1" applyFont="1" applyFill="1" applyBorder="1" applyAlignment="1">
      <alignment horizontal="centerContinuous" vertical="center" wrapText="1"/>
    </xf>
    <xf numFmtId="170" fontId="20" fillId="32" borderId="25" xfId="0" applyNumberFormat="1" applyFont="1" applyFill="1" applyBorder="1" applyAlignment="1">
      <alignment horizontal="centerContinuous" vertical="center" wrapText="1"/>
    </xf>
    <xf numFmtId="170" fontId="21" fillId="32" borderId="13" xfId="0" applyNumberFormat="1" applyFont="1" applyFill="1" applyBorder="1" applyAlignment="1">
      <alignment horizontal="center"/>
    </xf>
    <xf numFmtId="172" fontId="21" fillId="32" borderId="13" xfId="0" applyNumberFormat="1" applyFont="1" applyFill="1" applyBorder="1" applyAlignment="1">
      <alignment vertical="center"/>
    </xf>
    <xf numFmtId="172" fontId="21" fillId="32" borderId="13" xfId="0" applyNumberFormat="1" applyFont="1" applyFill="1" applyBorder="1" applyAlignment="1">
      <alignment horizontal="center"/>
    </xf>
    <xf numFmtId="43" fontId="21" fillId="29" borderId="13" xfId="0" applyNumberFormat="1" applyFont="1" applyFill="1" applyBorder="1" applyAlignment="1">
      <alignment horizontal="center"/>
    </xf>
    <xf numFmtId="172" fontId="20" fillId="32" borderId="13" xfId="0" applyNumberFormat="1" applyFont="1" applyFill="1" applyBorder="1" applyAlignment="1">
      <alignment vertical="center"/>
    </xf>
    <xf numFmtId="170" fontId="21" fillId="0" borderId="0" xfId="0" applyNumberFormat="1" applyFont="1"/>
    <xf numFmtId="170" fontId="21" fillId="0" borderId="13" xfId="0" applyNumberFormat="1" applyFont="1" applyBorder="1" applyAlignment="1" applyProtection="1">
      <alignment vertical="center"/>
      <protection locked="0"/>
    </xf>
    <xf numFmtId="172" fontId="21" fillId="29" borderId="13" xfId="0" applyNumberFormat="1" applyFont="1" applyFill="1" applyBorder="1" applyAlignment="1">
      <alignment horizontal="center"/>
    </xf>
    <xf numFmtId="0" fontId="20" fillId="40" borderId="25" xfId="0" applyFont="1" applyFill="1" applyBorder="1" applyAlignment="1">
      <alignment horizontal="centerContinuous" vertical="center"/>
    </xf>
    <xf numFmtId="0" fontId="20" fillId="40" borderId="17" xfId="0" applyFont="1" applyFill="1" applyBorder="1" applyAlignment="1">
      <alignment horizontal="centerContinuous" vertical="center"/>
    </xf>
    <xf numFmtId="0" fontId="20" fillId="40" borderId="18" xfId="0" applyFont="1" applyFill="1" applyBorder="1" applyAlignment="1">
      <alignment horizontal="centerContinuous" vertical="center"/>
    </xf>
    <xf numFmtId="0" fontId="20" fillId="33" borderId="25" xfId="0" applyFont="1" applyFill="1" applyBorder="1"/>
    <xf numFmtId="0" fontId="21" fillId="33" borderId="17" xfId="0" applyFont="1" applyFill="1" applyBorder="1"/>
    <xf numFmtId="0" fontId="21" fillId="33" borderId="18" xfId="0" applyFont="1" applyFill="1" applyBorder="1"/>
    <xf numFmtId="0" fontId="20" fillId="41" borderId="13" xfId="0" applyFont="1" applyFill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172" fontId="21" fillId="0" borderId="13" xfId="0" applyNumberFormat="1" applyFont="1" applyBorder="1" applyAlignment="1">
      <alignment horizontal="left" vertical="center"/>
    </xf>
    <xf numFmtId="172" fontId="21" fillId="0" borderId="13" xfId="0" applyNumberFormat="1" applyFont="1" applyBorder="1" applyAlignment="1">
      <alignment horizontal="center" vertical="center"/>
    </xf>
    <xf numFmtId="172" fontId="20" fillId="0" borderId="13" xfId="0" applyNumberFormat="1" applyFont="1" applyBorder="1" applyAlignment="1">
      <alignment horizontal="left" vertical="center"/>
    </xf>
    <xf numFmtId="172" fontId="20" fillId="0" borderId="13" xfId="35" applyNumberFormat="1" applyFont="1" applyBorder="1" applyAlignment="1" applyProtection="1">
      <alignment horizontal="center" vertical="center"/>
    </xf>
    <xf numFmtId="172" fontId="20" fillId="26" borderId="13" xfId="35" applyNumberFormat="1" applyFont="1" applyFill="1" applyBorder="1" applyAlignment="1" applyProtection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91" xfId="0" applyFont="1" applyBorder="1" applyAlignment="1">
      <alignment horizontal="center" vertical="center"/>
    </xf>
    <xf numFmtId="172" fontId="21" fillId="0" borderId="25" xfId="0" applyNumberFormat="1" applyFont="1" applyBorder="1" applyAlignment="1">
      <alignment vertical="center"/>
    </xf>
    <xf numFmtId="0" fontId="20" fillId="0" borderId="13" xfId="0" applyFont="1" applyBorder="1" applyAlignment="1">
      <alignment horizontal="center" vertical="center" wrapText="1"/>
    </xf>
    <xf numFmtId="0" fontId="20" fillId="26" borderId="25" xfId="0" applyFont="1" applyFill="1" applyBorder="1" applyAlignment="1">
      <alignment horizontal="center" vertical="top" wrapText="1"/>
    </xf>
    <xf numFmtId="0" fontId="20" fillId="0" borderId="5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  <xf numFmtId="172" fontId="21" fillId="26" borderId="25" xfId="0" applyNumberFormat="1" applyFont="1" applyFill="1" applyBorder="1" applyAlignment="1">
      <alignment horizontal="center" vertical="center"/>
    </xf>
    <xf numFmtId="172" fontId="21" fillId="0" borderId="55" xfId="0" applyNumberFormat="1" applyFont="1" applyBorder="1" applyAlignment="1">
      <alignment horizontal="center" vertical="center"/>
    </xf>
    <xf numFmtId="172" fontId="20" fillId="26" borderId="25" xfId="35" applyNumberFormat="1" applyFont="1" applyFill="1" applyBorder="1" applyAlignment="1" applyProtection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172" fontId="20" fillId="32" borderId="13" xfId="0" applyNumberFormat="1" applyFont="1" applyFill="1" applyBorder="1" applyAlignment="1">
      <alignment horizontal="center" vertical="center"/>
    </xf>
    <xf numFmtId="172" fontId="21" fillId="29" borderId="13" xfId="0" applyNumberFormat="1" applyFont="1" applyFill="1" applyBorder="1" applyAlignment="1">
      <alignment horizontal="center" vertical="center"/>
    </xf>
    <xf numFmtId="43" fontId="20" fillId="29" borderId="13" xfId="0" applyNumberFormat="1" applyFont="1" applyFill="1" applyBorder="1" applyAlignment="1">
      <alignment horizontal="center" vertical="center"/>
    </xf>
    <xf numFmtId="172" fontId="21" fillId="0" borderId="0" xfId="0" applyNumberFormat="1" applyFont="1" applyAlignment="1" applyProtection="1">
      <alignment vertical="center"/>
      <protection locked="0"/>
    </xf>
    <xf numFmtId="0" fontId="21" fillId="43" borderId="13" xfId="0" applyFont="1" applyFill="1" applyBorder="1" applyAlignment="1">
      <alignment horizontal="center" vertical="center" wrapText="1"/>
    </xf>
    <xf numFmtId="41" fontId="21" fillId="0" borderId="88" xfId="0" applyNumberFormat="1" applyFont="1" applyBorder="1" applyAlignment="1">
      <alignment horizontal="left"/>
    </xf>
    <xf numFmtId="0" fontId="73" fillId="0" borderId="0" xfId="0" applyFont="1"/>
    <xf numFmtId="41" fontId="21" fillId="0" borderId="87" xfId="0" quotePrefix="1" applyNumberFormat="1" applyFont="1" applyBorder="1"/>
    <xf numFmtId="41" fontId="21" fillId="0" borderId="88" xfId="0" applyNumberFormat="1" applyFont="1" applyBorder="1"/>
    <xf numFmtId="0" fontId="36" fillId="0" borderId="0" xfId="0" applyFont="1" applyAlignment="1">
      <alignment vertical="center"/>
    </xf>
    <xf numFmtId="0" fontId="21" fillId="45" borderId="13" xfId="0" applyFont="1" applyFill="1" applyBorder="1" applyAlignment="1">
      <alignment horizontal="center" vertical="center" wrapText="1"/>
    </xf>
    <xf numFmtId="41" fontId="0" fillId="0" borderId="0" xfId="0" applyNumberFormat="1" applyAlignment="1">
      <alignment vertical="center"/>
    </xf>
    <xf numFmtId="0" fontId="21" fillId="44" borderId="86" xfId="0" applyFont="1" applyFill="1" applyBorder="1" applyAlignment="1">
      <alignment horizontal="left"/>
    </xf>
    <xf numFmtId="165" fontId="21" fillId="44" borderId="87" xfId="0" applyNumberFormat="1" applyFont="1" applyFill="1" applyBorder="1"/>
    <xf numFmtId="41" fontId="21" fillId="44" borderId="87" xfId="0" applyNumberFormat="1" applyFont="1" applyFill="1" applyBorder="1"/>
    <xf numFmtId="41" fontId="21" fillId="44" borderId="87" xfId="0" quotePrefix="1" applyNumberFormat="1" applyFont="1" applyFill="1" applyBorder="1"/>
    <xf numFmtId="41" fontId="20" fillId="44" borderId="87" xfId="0" applyNumberFormat="1" applyFont="1" applyFill="1" applyBorder="1"/>
    <xf numFmtId="41" fontId="21" fillId="44" borderId="88" xfId="0" applyNumberFormat="1" applyFont="1" applyFill="1" applyBorder="1"/>
    <xf numFmtId="41" fontId="21" fillId="44" borderId="86" xfId="0" applyNumberFormat="1" applyFont="1" applyFill="1" applyBorder="1" applyAlignment="1">
      <alignment horizontal="left"/>
    </xf>
    <xf numFmtId="41" fontId="21" fillId="42" borderId="87" xfId="0" applyNumberFormat="1" applyFont="1" applyFill="1" applyBorder="1"/>
    <xf numFmtId="0" fontId="21" fillId="42" borderId="86" xfId="0" applyFont="1" applyFill="1" applyBorder="1" applyAlignment="1">
      <alignment horizontal="left"/>
    </xf>
    <xf numFmtId="165" fontId="21" fillId="42" borderId="87" xfId="0" applyNumberFormat="1" applyFont="1" applyFill="1" applyBorder="1"/>
    <xf numFmtId="41" fontId="20" fillId="42" borderId="87" xfId="0" applyNumberFormat="1" applyFont="1" applyFill="1" applyBorder="1"/>
    <xf numFmtId="41" fontId="21" fillId="42" borderId="87" xfId="0" quotePrefix="1" applyNumberFormat="1" applyFont="1" applyFill="1" applyBorder="1"/>
    <xf numFmtId="41" fontId="21" fillId="42" borderId="86" xfId="0" applyNumberFormat="1" applyFont="1" applyFill="1" applyBorder="1" applyAlignment="1">
      <alignment horizontal="left"/>
    </xf>
    <xf numFmtId="41" fontId="21" fillId="42" borderId="88" xfId="0" applyNumberFormat="1" applyFont="1" applyFill="1" applyBorder="1" applyAlignment="1">
      <alignment horizontal="left"/>
    </xf>
    <xf numFmtId="172" fontId="3" fillId="46" borderId="78" xfId="0" applyNumberFormat="1" applyFont="1" applyFill="1" applyBorder="1" applyAlignment="1">
      <alignment horizontal="left"/>
    </xf>
    <xf numFmtId="172" fontId="3" fillId="46" borderId="34" xfId="0" applyNumberFormat="1" applyFont="1" applyFill="1" applyBorder="1" applyAlignment="1">
      <alignment horizontal="center"/>
    </xf>
    <xf numFmtId="172" fontId="3" fillId="46" borderId="27" xfId="0" applyNumberFormat="1" applyFont="1" applyFill="1" applyBorder="1"/>
    <xf numFmtId="172" fontId="3" fillId="46" borderId="33" xfId="0" applyNumberFormat="1" applyFont="1" applyFill="1" applyBorder="1"/>
    <xf numFmtId="172" fontId="3" fillId="46" borderId="30" xfId="0" applyNumberFormat="1" applyFont="1" applyFill="1" applyBorder="1"/>
    <xf numFmtId="172" fontId="3" fillId="46" borderId="61" xfId="0" applyNumberFormat="1" applyFont="1" applyFill="1" applyBorder="1"/>
    <xf numFmtId="172" fontId="3" fillId="46" borderId="31" xfId="0" applyNumberFormat="1" applyFont="1" applyFill="1" applyBorder="1"/>
    <xf numFmtId="0" fontId="5" fillId="0" borderId="25" xfId="0" applyFont="1" applyBorder="1"/>
    <xf numFmtId="0" fontId="3" fillId="0" borderId="6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72" fontId="5" fillId="0" borderId="25" xfId="0" applyNumberFormat="1" applyFont="1" applyBorder="1"/>
    <xf numFmtId="172" fontId="5" fillId="0" borderId="65" xfId="0" applyNumberFormat="1" applyFont="1" applyBorder="1"/>
    <xf numFmtId="172" fontId="5" fillId="0" borderId="18" xfId="0" applyNumberFormat="1" applyFont="1" applyBorder="1" applyAlignment="1">
      <alignment horizontal="center"/>
    </xf>
    <xf numFmtId="172" fontId="5" fillId="0" borderId="13" xfId="0" applyNumberFormat="1" applyFont="1" applyBorder="1" applyAlignment="1">
      <alignment horizontal="center"/>
    </xf>
    <xf numFmtId="172" fontId="5" fillId="0" borderId="55" xfId="0" applyNumberFormat="1" applyFont="1" applyBorder="1" applyAlignment="1">
      <alignment horizontal="center"/>
    </xf>
    <xf numFmtId="172" fontId="5" fillId="0" borderId="58" xfId="0" applyNumberFormat="1" applyFont="1" applyBorder="1" applyAlignment="1">
      <alignment horizontal="center"/>
    </xf>
    <xf numFmtId="172" fontId="5" fillId="0" borderId="18" xfId="0" applyNumberFormat="1" applyFont="1" applyBorder="1"/>
    <xf numFmtId="172" fontId="5" fillId="0" borderId="13" xfId="0" applyNumberFormat="1" applyFont="1" applyBorder="1"/>
    <xf numFmtId="172" fontId="5" fillId="0" borderId="58" xfId="0" applyNumberFormat="1" applyFont="1" applyBorder="1"/>
    <xf numFmtId="172" fontId="5" fillId="0" borderId="13" xfId="0" quotePrefix="1" applyNumberFormat="1" applyFont="1" applyBorder="1"/>
    <xf numFmtId="172" fontId="5" fillId="0" borderId="55" xfId="0" applyNumberFormat="1" applyFont="1" applyBorder="1"/>
    <xf numFmtId="172" fontId="17" fillId="47" borderId="57" xfId="0" applyNumberFormat="1" applyFont="1" applyFill="1" applyBorder="1"/>
    <xf numFmtId="172" fontId="5" fillId="47" borderId="58" xfId="0" applyNumberFormat="1" applyFont="1" applyFill="1" applyBorder="1" applyAlignment="1">
      <alignment horizontal="right"/>
    </xf>
    <xf numFmtId="172" fontId="5" fillId="47" borderId="13" xfId="0" applyNumberFormat="1" applyFont="1" applyFill="1" applyBorder="1" applyAlignment="1">
      <alignment horizontal="right"/>
    </xf>
    <xf numFmtId="172" fontId="5" fillId="47" borderId="55" xfId="0" applyNumberFormat="1" applyFont="1" applyFill="1" applyBorder="1" applyAlignment="1">
      <alignment horizontal="right"/>
    </xf>
    <xf numFmtId="172" fontId="17" fillId="47" borderId="25" xfId="0" applyNumberFormat="1" applyFont="1" applyFill="1" applyBorder="1"/>
    <xf numFmtId="172" fontId="11" fillId="48" borderId="31" xfId="0" applyNumberFormat="1" applyFont="1" applyFill="1" applyBorder="1" applyAlignment="1">
      <alignment horizontal="center"/>
    </xf>
    <xf numFmtId="172" fontId="17" fillId="48" borderId="59" xfId="0" applyNumberFormat="1" applyFont="1" applyFill="1" applyBorder="1"/>
    <xf numFmtId="172" fontId="17" fillId="48" borderId="66" xfId="0" applyNumberFormat="1" applyFont="1" applyFill="1" applyBorder="1"/>
    <xf numFmtId="172" fontId="17" fillId="48" borderId="100" xfId="0" applyNumberFormat="1" applyFont="1" applyFill="1" applyBorder="1"/>
    <xf numFmtId="172" fontId="17" fillId="48" borderId="27" xfId="0" applyNumberFormat="1" applyFont="1" applyFill="1" applyBorder="1"/>
    <xf numFmtId="172" fontId="17" fillId="48" borderId="33" xfId="0" applyNumberFormat="1" applyFont="1" applyFill="1" applyBorder="1"/>
    <xf numFmtId="0" fontId="74" fillId="0" borderId="13" xfId="0" applyFont="1" applyBorder="1" applyAlignment="1">
      <alignment horizontal="right" vertical="center" wrapText="1"/>
    </xf>
    <xf numFmtId="9" fontId="74" fillId="0" borderId="25" xfId="0" applyNumberFormat="1" applyFont="1" applyBorder="1" applyAlignment="1">
      <alignment horizontal="centerContinuous"/>
    </xf>
    <xf numFmtId="0" fontId="3" fillId="0" borderId="0" xfId="0" applyFont="1"/>
    <xf numFmtId="172" fontId="20" fillId="50" borderId="13" xfId="0" applyNumberFormat="1" applyFont="1" applyFill="1" applyBorder="1" applyAlignment="1">
      <alignment vertical="center"/>
    </xf>
    <xf numFmtId="0" fontId="5" fillId="0" borderId="0" xfId="0" applyFont="1"/>
    <xf numFmtId="172" fontId="5" fillId="0" borderId="25" xfId="35" applyNumberFormat="1" applyFont="1" applyBorder="1" applyAlignment="1" applyProtection="1">
      <alignment vertical="center"/>
    </xf>
    <xf numFmtId="172" fontId="3" fillId="0" borderId="25" xfId="35" applyNumberFormat="1" applyFont="1" applyBorder="1" applyAlignment="1" applyProtection="1">
      <alignment vertical="center"/>
    </xf>
    <xf numFmtId="172" fontId="5" fillId="0" borderId="13" xfId="35" applyNumberFormat="1" applyFont="1" applyBorder="1" applyAlignment="1" applyProtection="1">
      <alignment vertical="center"/>
    </xf>
    <xf numFmtId="172" fontId="3" fillId="0" borderId="13" xfId="35" applyNumberFormat="1" applyFont="1" applyBorder="1" applyAlignment="1" applyProtection="1">
      <alignment vertical="center"/>
    </xf>
    <xf numFmtId="172" fontId="3" fillId="0" borderId="25" xfId="35" applyNumberFormat="1" applyFont="1" applyBorder="1" applyAlignment="1" applyProtection="1">
      <alignment horizontal="center" vertical="center"/>
    </xf>
    <xf numFmtId="172" fontId="3" fillId="0" borderId="13" xfId="35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Continuous" vertical="center" wrapText="1"/>
    </xf>
    <xf numFmtId="0" fontId="1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24" borderId="0" xfId="0" applyFont="1" applyFill="1"/>
    <xf numFmtId="172" fontId="3" fillId="0" borderId="0" xfId="0" applyNumberFormat="1" applyFont="1"/>
    <xf numFmtId="172" fontId="5" fillId="0" borderId="0" xfId="0" applyNumberFormat="1" applyFont="1"/>
    <xf numFmtId="172" fontId="5" fillId="0" borderId="91" xfId="0" applyNumberFormat="1" applyFont="1" applyBorder="1" applyAlignment="1">
      <alignment horizontal="center"/>
    </xf>
    <xf numFmtId="172" fontId="5" fillId="0" borderId="91" xfId="35" applyNumberFormat="1" applyFont="1" applyBorder="1" applyAlignment="1" applyProtection="1">
      <alignment vertical="center"/>
    </xf>
    <xf numFmtId="172" fontId="5" fillId="0" borderId="22" xfId="0" applyNumberFormat="1" applyFont="1" applyBorder="1" applyAlignment="1">
      <alignment wrapText="1"/>
    </xf>
    <xf numFmtId="172" fontId="5" fillId="0" borderId="22" xfId="0" applyNumberFormat="1" applyFont="1" applyBorder="1"/>
    <xf numFmtId="172" fontId="3" fillId="24" borderId="0" xfId="0" applyNumberFormat="1" applyFont="1" applyFill="1"/>
    <xf numFmtId="172" fontId="5" fillId="24" borderId="0" xfId="0" applyNumberFormat="1" applyFont="1" applyFill="1"/>
    <xf numFmtId="172" fontId="5" fillId="0" borderId="13" xfId="0" applyNumberFormat="1" applyFont="1" applyBorder="1" applyAlignment="1">
      <alignment horizontal="left" vertical="center" wrapText="1"/>
    </xf>
    <xf numFmtId="172" fontId="5" fillId="0" borderId="91" xfId="0" applyNumberFormat="1" applyFont="1" applyBorder="1"/>
    <xf numFmtId="172" fontId="5" fillId="0" borderId="25" xfId="0" applyNumberFormat="1" applyFont="1" applyBorder="1" applyAlignment="1">
      <alignment vertical="center"/>
    </xf>
    <xf numFmtId="172" fontId="5" fillId="0" borderId="91" xfId="0" applyNumberFormat="1" applyFont="1" applyBorder="1" applyAlignment="1">
      <alignment vertical="center"/>
    </xf>
    <xf numFmtId="172" fontId="5" fillId="0" borderId="0" xfId="0" applyNumberFormat="1" applyFont="1" applyAlignment="1">
      <alignment horizontal="left" vertical="center" wrapText="1"/>
    </xf>
    <xf numFmtId="172" fontId="5" fillId="0" borderId="0" xfId="0" applyNumberFormat="1" applyFont="1" applyAlignment="1">
      <alignment horizontal="center"/>
    </xf>
    <xf numFmtId="172" fontId="3" fillId="24" borderId="0" xfId="0" applyNumberFormat="1" applyFont="1" applyFill="1" applyAlignment="1">
      <alignment vertical="center" wrapText="1"/>
    </xf>
    <xf numFmtId="172" fontId="5" fillId="26" borderId="13" xfId="0" applyNumberFormat="1" applyFont="1" applyFill="1" applyBorder="1" applyAlignment="1">
      <alignment vertical="center" wrapText="1"/>
    </xf>
    <xf numFmtId="172" fontId="5" fillId="0" borderId="13" xfId="35" applyNumberFormat="1" applyFont="1" applyBorder="1" applyProtection="1"/>
    <xf numFmtId="172" fontId="5" fillId="0" borderId="0" xfId="0" applyNumberFormat="1" applyFont="1" applyAlignment="1">
      <alignment horizontal="right"/>
    </xf>
    <xf numFmtId="172" fontId="5" fillId="0" borderId="0" xfId="0" applyNumberFormat="1" applyFont="1" applyAlignment="1">
      <alignment horizontal="right" vertical="center"/>
    </xf>
    <xf numFmtId="172" fontId="3" fillId="0" borderId="13" xfId="0" applyNumberFormat="1" applyFont="1" applyBorder="1" applyAlignment="1">
      <alignment horizontal="center"/>
    </xf>
    <xf numFmtId="172" fontId="5" fillId="51" borderId="25" xfId="35" applyNumberFormat="1" applyFont="1" applyFill="1" applyBorder="1" applyAlignment="1" applyProtection="1">
      <alignment vertical="center"/>
    </xf>
    <xf numFmtId="172" fontId="5" fillId="51" borderId="13" xfId="35" applyNumberFormat="1" applyFont="1" applyFill="1" applyBorder="1" applyAlignment="1" applyProtection="1">
      <alignment vertical="center"/>
    </xf>
    <xf numFmtId="172" fontId="3" fillId="0" borderId="13" xfId="0" applyNumberFormat="1" applyFont="1" applyBorder="1"/>
    <xf numFmtId="172" fontId="3" fillId="0" borderId="25" xfId="0" applyNumberFormat="1" applyFont="1" applyBorder="1" applyAlignment="1">
      <alignment horizontal="center"/>
    </xf>
    <xf numFmtId="176" fontId="5" fillId="0" borderId="0" xfId="0" applyNumberFormat="1" applyFont="1"/>
    <xf numFmtId="172" fontId="5" fillId="0" borderId="13" xfId="0" applyNumberFormat="1" applyFont="1" applyBorder="1" applyAlignment="1">
      <alignment vertical="center" wrapText="1"/>
    </xf>
    <xf numFmtId="0" fontId="10" fillId="0" borderId="0" xfId="0" applyFont="1"/>
    <xf numFmtId="0" fontId="10" fillId="0" borderId="0" xfId="0" applyFont="1" applyAlignment="1">
      <alignment vertical="center"/>
    </xf>
    <xf numFmtId="0" fontId="20" fillId="52" borderId="13" xfId="0" applyFont="1" applyFill="1" applyBorder="1" applyAlignment="1">
      <alignment horizontal="center" vertical="center" wrapText="1"/>
    </xf>
    <xf numFmtId="172" fontId="5" fillId="0" borderId="13" xfId="0" applyNumberFormat="1" applyFont="1" applyBorder="1" applyAlignment="1">
      <alignment vertical="center"/>
    </xf>
    <xf numFmtId="3" fontId="5" fillId="0" borderId="13" xfId="0" applyNumberFormat="1" applyFont="1" applyBorder="1" applyAlignment="1" applyProtection="1">
      <alignment vertical="center"/>
      <protection locked="0"/>
    </xf>
    <xf numFmtId="172" fontId="5" fillId="0" borderId="23" xfId="0" applyNumberFormat="1" applyFont="1" applyBorder="1" applyAlignment="1" applyProtection="1">
      <alignment vertical="center"/>
      <protection locked="0"/>
    </xf>
    <xf numFmtId="3" fontId="5" fillId="0" borderId="23" xfId="0" applyNumberFormat="1" applyFont="1" applyBorder="1" applyAlignment="1" applyProtection="1">
      <alignment vertical="center"/>
      <protection locked="0"/>
    </xf>
    <xf numFmtId="3" fontId="4" fillId="0" borderId="0" xfId="0" applyNumberFormat="1" applyFont="1"/>
    <xf numFmtId="3" fontId="32" fillId="0" borderId="0" xfId="0" applyNumberFormat="1" applyFont="1"/>
    <xf numFmtId="3" fontId="0" fillId="0" borderId="0" xfId="0" applyNumberFormat="1"/>
    <xf numFmtId="9" fontId="2" fillId="0" borderId="0" xfId="48" applyProtection="1"/>
    <xf numFmtId="3" fontId="3" fillId="49" borderId="20" xfId="0" applyNumberFormat="1" applyFont="1" applyFill="1" applyBorder="1" applyAlignment="1">
      <alignment horizontal="center"/>
    </xf>
    <xf numFmtId="3" fontId="3" fillId="49" borderId="21" xfId="0" applyNumberFormat="1" applyFont="1" applyFill="1" applyBorder="1" applyAlignment="1">
      <alignment horizontal="center"/>
    </xf>
    <xf numFmtId="3" fontId="3" fillId="49" borderId="13" xfId="0" applyNumberFormat="1" applyFont="1" applyFill="1" applyBorder="1" applyAlignment="1">
      <alignment horizontal="centerContinuous"/>
    </xf>
    <xf numFmtId="3" fontId="3" fillId="49" borderId="22" xfId="0" applyNumberFormat="1" applyFont="1" applyFill="1" applyBorder="1" applyAlignment="1">
      <alignment horizontal="center" vertical="center"/>
    </xf>
    <xf numFmtId="3" fontId="5" fillId="49" borderId="23" xfId="0" applyNumberFormat="1" applyFont="1" applyFill="1" applyBorder="1" applyAlignment="1">
      <alignment horizontal="center" vertical="center" wrapText="1"/>
    </xf>
    <xf numFmtId="9" fontId="5" fillId="49" borderId="23" xfId="48" applyFont="1" applyFill="1" applyBorder="1" applyAlignment="1" applyProtection="1">
      <alignment horizontal="center" vertical="center" wrapText="1"/>
    </xf>
    <xf numFmtId="9" fontId="5" fillId="0" borderId="13" xfId="48" applyFont="1" applyBorder="1" applyAlignment="1" applyProtection="1">
      <alignment vertical="center"/>
    </xf>
    <xf numFmtId="172" fontId="5" fillId="0" borderId="23" xfId="0" applyNumberFormat="1" applyFont="1" applyBorder="1" applyAlignment="1">
      <alignment vertical="center"/>
    </xf>
    <xf numFmtId="3" fontId="3" fillId="49" borderId="13" xfId="0" quotePrefix="1" applyNumberFormat="1" applyFont="1" applyFill="1" applyBorder="1" applyAlignment="1">
      <alignment horizontal="center" vertical="center"/>
    </xf>
    <xf numFmtId="3" fontId="3" fillId="49" borderId="13" xfId="0" applyNumberFormat="1" applyFont="1" applyFill="1" applyBorder="1" applyAlignment="1">
      <alignment vertical="center"/>
    </xf>
    <xf numFmtId="172" fontId="3" fillId="49" borderId="13" xfId="0" applyNumberFormat="1" applyFont="1" applyFill="1" applyBorder="1" applyAlignment="1">
      <alignment vertical="center"/>
    </xf>
    <xf numFmtId="9" fontId="3" fillId="49" borderId="13" xfId="48" applyFont="1" applyFill="1" applyBorder="1" applyAlignment="1" applyProtection="1">
      <alignment vertical="center"/>
    </xf>
    <xf numFmtId="17" fontId="28" fillId="44" borderId="45" xfId="0" applyNumberFormat="1" applyFont="1" applyFill="1" applyBorder="1" applyAlignment="1">
      <alignment horizontal="centerContinuous" vertical="center"/>
    </xf>
    <xf numFmtId="0" fontId="28" fillId="44" borderId="46" xfId="0" applyFont="1" applyFill="1" applyBorder="1" applyAlignment="1">
      <alignment horizontal="centerContinuous" vertical="center"/>
    </xf>
    <xf numFmtId="0" fontId="28" fillId="44" borderId="47" xfId="0" applyFont="1" applyFill="1" applyBorder="1" applyAlignment="1">
      <alignment horizontal="centerContinuous" vertical="center"/>
    </xf>
    <xf numFmtId="0" fontId="74" fillId="0" borderId="85" xfId="0" applyFont="1" applyBorder="1" applyAlignment="1">
      <alignment horizontal="centerContinuous"/>
    </xf>
    <xf numFmtId="0" fontId="74" fillId="0" borderId="92" xfId="0" applyFont="1" applyBorder="1" applyAlignment="1">
      <alignment horizontal="centerContinuous"/>
    </xf>
    <xf numFmtId="0" fontId="74" fillId="0" borderId="17" xfId="0" applyFont="1" applyBorder="1" applyAlignment="1">
      <alignment horizontal="centerContinuous"/>
    </xf>
    <xf numFmtId="0" fontId="74" fillId="0" borderId="18" xfId="0" applyFont="1" applyBorder="1" applyAlignment="1">
      <alignment horizontal="centerContinuous"/>
    </xf>
    <xf numFmtId="171" fontId="0" fillId="0" borderId="0" xfId="0" applyNumberFormat="1" applyProtection="1">
      <protection locked="0"/>
    </xf>
    <xf numFmtId="171" fontId="8" fillId="0" borderId="0" xfId="0" applyNumberFormat="1" applyFont="1" applyProtection="1">
      <protection locked="0"/>
    </xf>
    <xf numFmtId="171" fontId="11" fillId="24" borderId="20" xfId="0" applyNumberFormat="1" applyFont="1" applyFill="1" applyBorder="1" applyAlignment="1" applyProtection="1">
      <alignment horizontal="center"/>
      <protection locked="0"/>
    </xf>
    <xf numFmtId="171" fontId="11" fillId="24" borderId="21" xfId="0" applyNumberFormat="1" applyFont="1" applyFill="1" applyBorder="1" applyAlignment="1" applyProtection="1">
      <alignment horizontal="center"/>
      <protection locked="0"/>
    </xf>
    <xf numFmtId="171" fontId="6" fillId="24" borderId="18" xfId="0" applyNumberFormat="1" applyFont="1" applyFill="1" applyBorder="1" applyAlignment="1" applyProtection="1">
      <alignment horizontal="center"/>
      <protection locked="0"/>
    </xf>
    <xf numFmtId="171" fontId="6" fillId="0" borderId="22" xfId="0" applyNumberFormat="1" applyFont="1" applyBorder="1" applyAlignment="1" applyProtection="1">
      <alignment vertical="center"/>
      <protection locked="0"/>
    </xf>
    <xf numFmtId="171" fontId="3" fillId="0" borderId="23" xfId="0" applyNumberFormat="1" applyFont="1" applyBorder="1" applyAlignment="1" applyProtection="1">
      <alignment horizontal="center" vertical="center"/>
      <protection locked="0"/>
    </xf>
    <xf numFmtId="171" fontId="24" fillId="0" borderId="23" xfId="0" applyNumberFormat="1" applyFont="1" applyBorder="1" applyAlignment="1" applyProtection="1">
      <alignment horizontal="center" vertical="center" wrapText="1"/>
      <protection locked="0"/>
    </xf>
    <xf numFmtId="171" fontId="6" fillId="0" borderId="23" xfId="0" applyNumberFormat="1" applyFont="1" applyBorder="1" applyAlignment="1" applyProtection="1">
      <alignment horizontal="center" vertical="center" wrapText="1"/>
      <protection locked="0"/>
    </xf>
    <xf numFmtId="171" fontId="0" fillId="0" borderId="23" xfId="0" applyNumberFormat="1" applyBorder="1" applyAlignment="1" applyProtection="1">
      <alignment horizontal="center"/>
      <protection locked="0"/>
    </xf>
    <xf numFmtId="171" fontId="11" fillId="24" borderId="24" xfId="0" applyNumberFormat="1" applyFont="1" applyFill="1" applyBorder="1" applyAlignment="1" applyProtection="1">
      <alignment horizontal="center"/>
      <protection locked="0"/>
    </xf>
    <xf numFmtId="171" fontId="0" fillId="0" borderId="15" xfId="0" applyNumberFormat="1" applyBorder="1" applyProtection="1">
      <protection locked="0"/>
    </xf>
    <xf numFmtId="171" fontId="3" fillId="0" borderId="13" xfId="0" applyNumberFormat="1" applyFont="1" applyBorder="1" applyAlignment="1" applyProtection="1">
      <alignment horizontal="left"/>
      <protection locked="0"/>
    </xf>
    <xf numFmtId="171" fontId="3" fillId="0" borderId="13" xfId="0" applyNumberFormat="1" applyFont="1" applyBorder="1" applyProtection="1">
      <protection locked="0"/>
    </xf>
    <xf numFmtId="171" fontId="0" fillId="0" borderId="13" xfId="0" applyNumberFormat="1" applyBorder="1" applyProtection="1">
      <protection locked="0"/>
    </xf>
    <xf numFmtId="171" fontId="0" fillId="0" borderId="0" xfId="0" applyNumberFormat="1" applyAlignment="1">
      <alignment horizontal="centerContinuous"/>
    </xf>
    <xf numFmtId="171" fontId="0" fillId="0" borderId="0" xfId="0" applyNumberFormat="1"/>
    <xf numFmtId="171" fontId="7" fillId="0" borderId="0" xfId="0" applyNumberFormat="1" applyFont="1" applyAlignment="1">
      <alignment horizontal="left"/>
    </xf>
    <xf numFmtId="171" fontId="8" fillId="0" borderId="0" xfId="0" applyNumberFormat="1" applyFont="1"/>
    <xf numFmtId="171" fontId="11" fillId="24" borderId="25" xfId="0" applyNumberFormat="1" applyFont="1" applyFill="1" applyBorder="1" applyAlignment="1" applyProtection="1">
      <alignment horizontal="centerContinuous" vertical="center"/>
      <protection locked="0"/>
    </xf>
    <xf numFmtId="171" fontId="11" fillId="24" borderId="17" xfId="0" applyNumberFormat="1" applyFont="1" applyFill="1" applyBorder="1" applyAlignment="1" applyProtection="1">
      <alignment horizontal="centerContinuous" vertical="center"/>
      <protection locked="0"/>
    </xf>
    <xf numFmtId="171" fontId="11" fillId="24" borderId="18" xfId="0" applyNumberFormat="1" applyFont="1" applyFill="1" applyBorder="1" applyAlignment="1" applyProtection="1">
      <alignment horizontal="centerContinuous" vertical="center"/>
      <protection locked="0"/>
    </xf>
    <xf numFmtId="172" fontId="2" fillId="0" borderId="0" xfId="41" applyNumberFormat="1" applyProtection="1">
      <protection locked="0"/>
    </xf>
    <xf numFmtId="0" fontId="66" fillId="34" borderId="0" xfId="0" applyFont="1" applyFill="1" applyAlignment="1">
      <alignment horizontal="centerContinuous" vertical="center"/>
    </xf>
    <xf numFmtId="0" fontId="9" fillId="39" borderId="0" xfId="0" applyFont="1" applyFill="1" applyAlignment="1">
      <alignment horizontal="centerContinuous"/>
    </xf>
    <xf numFmtId="0" fontId="9" fillId="33" borderId="0" xfId="0" applyFont="1" applyFill="1" applyAlignment="1">
      <alignment horizontal="right"/>
    </xf>
    <xf numFmtId="0" fontId="0" fillId="33" borderId="0" xfId="0" applyFill="1"/>
    <xf numFmtId="0" fontId="3" fillId="30" borderId="64" xfId="0" applyFont="1" applyFill="1" applyBorder="1" applyAlignment="1">
      <alignment horizontal="centerContinuous"/>
    </xf>
    <xf numFmtId="0" fontId="3" fillId="30" borderId="62" xfId="0" applyFont="1" applyFill="1" applyBorder="1" applyAlignment="1">
      <alignment horizontal="centerContinuous"/>
    </xf>
    <xf numFmtId="0" fontId="3" fillId="30" borderId="63" xfId="0" applyFont="1" applyFill="1" applyBorder="1" applyAlignment="1">
      <alignment horizontal="centerContinuous"/>
    </xf>
    <xf numFmtId="0" fontId="5" fillId="33" borderId="58" xfId="0" applyFont="1" applyFill="1" applyBorder="1" applyAlignment="1">
      <alignment horizontal="center" vertical="center" wrapText="1"/>
    </xf>
    <xf numFmtId="0" fontId="5" fillId="33" borderId="13" xfId="0" applyFont="1" applyFill="1" applyBorder="1" applyAlignment="1">
      <alignment horizontal="center" vertical="center" wrapText="1"/>
    </xf>
    <xf numFmtId="0" fontId="5" fillId="0" borderId="84" xfId="0" applyFont="1" applyBorder="1" applyAlignment="1">
      <alignment horizontal="center" vertical="center" wrapText="1"/>
    </xf>
    <xf numFmtId="168" fontId="5" fillId="0" borderId="20" xfId="48" applyNumberFormat="1" applyFont="1" applyFill="1" applyBorder="1" applyAlignment="1" applyProtection="1">
      <alignment horizontal="center" vertical="center" wrapText="1"/>
    </xf>
    <xf numFmtId="169" fontId="5" fillId="0" borderId="20" xfId="35" applyNumberFormat="1" applyFont="1" applyFill="1" applyBorder="1" applyAlignment="1" applyProtection="1">
      <alignment horizontal="center" vertical="center" wrapText="1"/>
    </xf>
    <xf numFmtId="169" fontId="5" fillId="0" borderId="61" xfId="35" applyNumberFormat="1" applyFont="1" applyBorder="1" applyProtection="1"/>
    <xf numFmtId="169" fontId="5" fillId="0" borderId="31" xfId="35" applyNumberFormat="1" applyFont="1" applyFill="1" applyBorder="1" applyProtection="1"/>
    <xf numFmtId="0" fontId="0" fillId="33" borderId="0" xfId="0" applyFill="1" applyAlignment="1">
      <alignment horizontal="center"/>
    </xf>
    <xf numFmtId="0" fontId="67" fillId="38" borderId="80" xfId="0" applyFont="1" applyFill="1" applyBorder="1" applyAlignment="1">
      <alignment horizontal="center"/>
    </xf>
    <xf numFmtId="0" fontId="0" fillId="38" borderId="36" xfId="0" applyFill="1" applyBorder="1" applyAlignment="1">
      <alignment horizontal="center"/>
    </xf>
    <xf numFmtId="0" fontId="0" fillId="38" borderId="36" xfId="0" applyFill="1" applyBorder="1"/>
    <xf numFmtId="0" fontId="0" fillId="38" borderId="81" xfId="0" applyFill="1" applyBorder="1"/>
    <xf numFmtId="0" fontId="3" fillId="30" borderId="80" xfId="0" applyFont="1" applyFill="1" applyBorder="1"/>
    <xf numFmtId="0" fontId="3" fillId="30" borderId="36" xfId="0" applyFont="1" applyFill="1" applyBorder="1" applyAlignment="1">
      <alignment horizontal="center"/>
    </xf>
    <xf numFmtId="172" fontId="3" fillId="30" borderId="81" xfId="41" applyNumberFormat="1" applyFont="1" applyFill="1" applyBorder="1" applyAlignment="1" applyProtection="1">
      <alignment horizontal="center"/>
    </xf>
    <xf numFmtId="0" fontId="3" fillId="30" borderId="26" xfId="0" applyFont="1" applyFill="1" applyBorder="1" applyAlignment="1">
      <alignment horizontal="centerContinuous"/>
    </xf>
    <xf numFmtId="0" fontId="3" fillId="30" borderId="10" xfId="0" applyFont="1" applyFill="1" applyBorder="1" applyAlignment="1">
      <alignment horizontal="centerContinuous"/>
    </xf>
    <xf numFmtId="0" fontId="3" fillId="30" borderId="11" xfId="0" applyFont="1" applyFill="1" applyBorder="1" applyAlignment="1">
      <alignment horizontal="centerContinuous"/>
    </xf>
    <xf numFmtId="0" fontId="0" fillId="33" borderId="71" xfId="0" applyFill="1" applyBorder="1"/>
    <xf numFmtId="0" fontId="23" fillId="30" borderId="32" xfId="0" applyFont="1" applyFill="1" applyBorder="1" applyAlignment="1">
      <alignment horizontal="center"/>
    </xf>
    <xf numFmtId="0" fontId="23" fillId="30" borderId="0" xfId="0" applyFont="1" applyFill="1" applyAlignment="1">
      <alignment horizontal="center"/>
    </xf>
    <xf numFmtId="172" fontId="23" fillId="30" borderId="71" xfId="41" applyNumberFormat="1" applyFont="1" applyFill="1" applyBorder="1" applyAlignment="1" applyProtection="1">
      <alignment horizontal="center"/>
    </xf>
    <xf numFmtId="0" fontId="3" fillId="0" borderId="80" xfId="0" applyFont="1" applyBorder="1" applyAlignment="1">
      <alignment horizontal="left"/>
    </xf>
    <xf numFmtId="0" fontId="23" fillId="0" borderId="28" xfId="0" applyFont="1" applyBorder="1" applyAlignment="1">
      <alignment horizontal="center"/>
    </xf>
    <xf numFmtId="0" fontId="23" fillId="0" borderId="81" xfId="0" applyFont="1" applyBorder="1" applyAlignment="1">
      <alignment horizontal="center"/>
    </xf>
    <xf numFmtId="0" fontId="0" fillId="0" borderId="56" xfId="0" applyBorder="1"/>
    <xf numFmtId="0" fontId="0" fillId="0" borderId="28" xfId="0" applyBorder="1" applyAlignment="1">
      <alignment horizontal="center"/>
    </xf>
    <xf numFmtId="172" fontId="2" fillId="0" borderId="77" xfId="41" applyNumberFormat="1" applyBorder="1" applyProtection="1"/>
    <xf numFmtId="0" fontId="0" fillId="0" borderId="58" xfId="0" applyBorder="1"/>
    <xf numFmtId="0" fontId="0" fillId="0" borderId="13" xfId="0" applyBorder="1" applyAlignment="1">
      <alignment horizontal="center"/>
    </xf>
    <xf numFmtId="3" fontId="0" fillId="0" borderId="55" xfId="0" applyNumberFormat="1" applyBorder="1" applyAlignment="1">
      <alignment horizontal="center"/>
    </xf>
    <xf numFmtId="172" fontId="2" fillId="0" borderId="55" xfId="41" applyNumberFormat="1" applyBorder="1" applyProtection="1"/>
    <xf numFmtId="0" fontId="0" fillId="0" borderId="59" xfId="0" applyBorder="1"/>
    <xf numFmtId="0" fontId="0" fillId="0" borderId="29" xfId="0" applyBorder="1" applyAlignment="1">
      <alignment horizontal="center"/>
    </xf>
    <xf numFmtId="0" fontId="0" fillId="0" borderId="84" xfId="0" applyBorder="1"/>
    <xf numFmtId="0" fontId="0" fillId="0" borderId="20" xfId="0" applyBorder="1" applyAlignment="1">
      <alignment horizontal="center"/>
    </xf>
    <xf numFmtId="172" fontId="2" fillId="0" borderId="35" xfId="41" applyNumberFormat="1" applyBorder="1" applyProtection="1"/>
    <xf numFmtId="172" fontId="2" fillId="0" borderId="60" xfId="41" applyNumberFormat="1" applyBorder="1" applyProtection="1"/>
    <xf numFmtId="0" fontId="0" fillId="33" borderId="32" xfId="0" applyFill="1" applyBorder="1"/>
    <xf numFmtId="172" fontId="2" fillId="33" borderId="0" xfId="41" applyNumberFormat="1" applyFill="1" applyBorder="1" applyProtection="1"/>
    <xf numFmtId="0" fontId="23" fillId="30" borderId="26" xfId="0" applyFont="1" applyFill="1" applyBorder="1" applyAlignment="1">
      <alignment horizontal="center"/>
    </xf>
    <xf numFmtId="0" fontId="23" fillId="30" borderId="10" xfId="0" applyFont="1" applyFill="1" applyBorder="1" applyAlignment="1">
      <alignment horizontal="center"/>
    </xf>
    <xf numFmtId="172" fontId="23" fillId="30" borderId="11" xfId="41" applyNumberFormat="1" applyFont="1" applyFill="1" applyBorder="1" applyAlignment="1" applyProtection="1">
      <alignment horizontal="center"/>
    </xf>
    <xf numFmtId="0" fontId="3" fillId="30" borderId="26" xfId="0" applyFont="1" applyFill="1" applyBorder="1" applyAlignment="1">
      <alignment horizontal="center"/>
    </xf>
    <xf numFmtId="0" fontId="3" fillId="30" borderId="10" xfId="0" applyFont="1" applyFill="1" applyBorder="1" applyAlignment="1">
      <alignment horizontal="center"/>
    </xf>
    <xf numFmtId="0" fontId="3" fillId="30" borderId="11" xfId="0" applyFont="1" applyFill="1" applyBorder="1" applyAlignment="1">
      <alignment horizontal="center"/>
    </xf>
    <xf numFmtId="0" fontId="3" fillId="0" borderId="64" xfId="0" applyFont="1" applyBorder="1" applyAlignment="1">
      <alignment horizontal="left"/>
    </xf>
    <xf numFmtId="0" fontId="5" fillId="0" borderId="72" xfId="0" applyFont="1" applyBorder="1" applyAlignment="1">
      <alignment horizontal="right"/>
    </xf>
    <xf numFmtId="3" fontId="5" fillId="0" borderId="77" xfId="0" applyNumberFormat="1" applyFont="1" applyBorder="1" applyAlignment="1">
      <alignment horizontal="center"/>
    </xf>
    <xf numFmtId="0" fontId="0" fillId="0" borderId="85" xfId="0" applyBorder="1"/>
    <xf numFmtId="0" fontId="5" fillId="0" borderId="18" xfId="0" applyFont="1" applyBorder="1" applyAlignment="1">
      <alignment horizontal="right"/>
    </xf>
    <xf numFmtId="0" fontId="0" fillId="0" borderId="90" xfId="0" applyBorder="1"/>
    <xf numFmtId="0" fontId="5" fillId="0" borderId="66" xfId="0" applyFont="1" applyBorder="1" applyAlignment="1">
      <alignment horizontal="right"/>
    </xf>
    <xf numFmtId="3" fontId="0" fillId="0" borderId="60" xfId="0" applyNumberFormat="1" applyBorder="1" applyAlignment="1">
      <alignment horizontal="center"/>
    </xf>
    <xf numFmtId="0" fontId="23" fillId="30" borderId="80" xfId="0" applyFont="1" applyFill="1" applyBorder="1"/>
    <xf numFmtId="0" fontId="23" fillId="30" borderId="81" xfId="0" applyFont="1" applyFill="1" applyBorder="1" applyAlignment="1">
      <alignment horizontal="center"/>
    </xf>
    <xf numFmtId="172" fontId="23" fillId="33" borderId="0" xfId="41" applyNumberFormat="1" applyFont="1" applyFill="1" applyBorder="1" applyAlignment="1" applyProtection="1">
      <alignment horizontal="center"/>
    </xf>
    <xf numFmtId="0" fontId="3" fillId="30" borderId="80" xfId="0" applyFont="1" applyFill="1" applyBorder="1" applyAlignment="1">
      <alignment horizontal="left"/>
    </xf>
    <xf numFmtId="0" fontId="3" fillId="30" borderId="36" xfId="0" applyFont="1" applyFill="1" applyBorder="1" applyAlignment="1">
      <alignment horizontal="left"/>
    </xf>
    <xf numFmtId="0" fontId="0" fillId="0" borderId="77" xfId="0" applyBorder="1" applyAlignment="1">
      <alignment horizontal="center"/>
    </xf>
    <xf numFmtId="171" fontId="0" fillId="0" borderId="55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2" fontId="0" fillId="0" borderId="55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21" fillId="0" borderId="58" xfId="0" applyFont="1" applyBorder="1"/>
    <xf numFmtId="172" fontId="5" fillId="33" borderId="0" xfId="41" applyNumberFormat="1" applyFont="1" applyFill="1" applyBorder="1" applyAlignment="1" applyProtection="1">
      <alignment horizontal="center"/>
    </xf>
    <xf numFmtId="0" fontId="21" fillId="0" borderId="84" xfId="0" applyFont="1" applyBorder="1"/>
    <xf numFmtId="0" fontId="21" fillId="0" borderId="59" xfId="0" applyFont="1" applyBorder="1"/>
    <xf numFmtId="0" fontId="23" fillId="33" borderId="32" xfId="0" applyFont="1" applyFill="1" applyBorder="1"/>
    <xf numFmtId="0" fontId="23" fillId="33" borderId="0" xfId="0" applyFont="1" applyFill="1" applyAlignment="1">
      <alignment horizontal="center"/>
    </xf>
    <xf numFmtId="0" fontId="23" fillId="30" borderId="56" xfId="0" applyFont="1" applyFill="1" applyBorder="1"/>
    <xf numFmtId="0" fontId="23" fillId="30" borderId="28" xfId="0" applyFont="1" applyFill="1" applyBorder="1" applyAlignment="1">
      <alignment horizontal="center"/>
    </xf>
    <xf numFmtId="172" fontId="23" fillId="30" borderId="77" xfId="41" applyNumberFormat="1" applyFont="1" applyFill="1" applyBorder="1" applyAlignment="1" applyProtection="1">
      <alignment horizontal="center"/>
    </xf>
    <xf numFmtId="169" fontId="2" fillId="0" borderId="13" xfId="35" applyNumberFormat="1" applyBorder="1" applyProtection="1"/>
    <xf numFmtId="0" fontId="2" fillId="33" borderId="71" xfId="0" applyFont="1" applyFill="1" applyBorder="1"/>
    <xf numFmtId="0" fontId="3" fillId="30" borderId="26" xfId="0" applyFont="1" applyFill="1" applyBorder="1" applyAlignment="1">
      <alignment horizontal="left"/>
    </xf>
    <xf numFmtId="0" fontId="0" fillId="0" borderId="58" xfId="0" applyBorder="1" applyAlignment="1">
      <alignment horizontal="left"/>
    </xf>
    <xf numFmtId="0" fontId="0" fillId="0" borderId="13" xfId="0" applyBorder="1" applyAlignment="1">
      <alignment horizontal="left"/>
    </xf>
    <xf numFmtId="3" fontId="19" fillId="33" borderId="71" xfId="0" applyNumberFormat="1" applyFont="1" applyFill="1" applyBorder="1" applyAlignment="1">
      <alignment horizontal="left" vertical="top"/>
    </xf>
    <xf numFmtId="171" fontId="0" fillId="0" borderId="60" xfId="0" applyNumberFormat="1" applyBorder="1" applyAlignment="1">
      <alignment horizontal="center"/>
    </xf>
    <xf numFmtId="166" fontId="0" fillId="33" borderId="0" xfId="0" applyNumberFormat="1" applyFill="1" applyAlignment="1">
      <alignment horizontal="center"/>
    </xf>
    <xf numFmtId="0" fontId="23" fillId="30" borderId="32" xfId="0" applyFont="1" applyFill="1" applyBorder="1"/>
    <xf numFmtId="0" fontId="69" fillId="30" borderId="0" xfId="0" applyFont="1" applyFill="1" applyAlignment="1">
      <alignment horizontal="center"/>
    </xf>
    <xf numFmtId="175" fontId="0" fillId="0" borderId="13" xfId="0" applyNumberFormat="1" applyBorder="1"/>
    <xf numFmtId="0" fontId="0" fillId="0" borderId="32" xfId="0" applyBorder="1"/>
    <xf numFmtId="172" fontId="2" fillId="0" borderId="0" xfId="41" applyNumberFormat="1" applyBorder="1" applyProtection="1"/>
    <xf numFmtId="0" fontId="0" fillId="0" borderId="71" xfId="0" applyBorder="1"/>
    <xf numFmtId="0" fontId="22" fillId="34" borderId="32" xfId="0" applyFont="1" applyFill="1" applyBorder="1"/>
    <xf numFmtId="0" fontId="70" fillId="0" borderId="32" xfId="0" applyFont="1" applyBorder="1"/>
    <xf numFmtId="0" fontId="0" fillId="25" borderId="78" xfId="0" applyFill="1" applyBorder="1"/>
    <xf numFmtId="0" fontId="0" fillId="25" borderId="33" xfId="0" applyFill="1" applyBorder="1"/>
    <xf numFmtId="172" fontId="2" fillId="25" borderId="33" xfId="41" applyNumberFormat="1" applyFill="1" applyBorder="1" applyProtection="1"/>
    <xf numFmtId="0" fontId="0" fillId="25" borderId="34" xfId="0" applyFill="1" applyBorder="1"/>
    <xf numFmtId="0" fontId="0" fillId="25" borderId="32" xfId="0" applyFill="1" applyBorder="1"/>
    <xf numFmtId="0" fontId="0" fillId="25" borderId="0" xfId="0" applyFill="1"/>
    <xf numFmtId="172" fontId="2" fillId="25" borderId="0" xfId="41" applyNumberFormat="1" applyFill="1" applyBorder="1" applyProtection="1"/>
    <xf numFmtId="0" fontId="0" fillId="25" borderId="71" xfId="0" applyFill="1" applyBorder="1"/>
    <xf numFmtId="0" fontId="3" fillId="30" borderId="32" xfId="0" applyFont="1" applyFill="1" applyBorder="1"/>
    <xf numFmtId="0" fontId="3" fillId="30" borderId="0" xfId="0" applyFont="1" applyFill="1"/>
    <xf numFmtId="0" fontId="3" fillId="30" borderId="77" xfId="0" applyFont="1" applyFill="1" applyBorder="1"/>
    <xf numFmtId="0" fontId="3" fillId="25" borderId="71" xfId="0" applyFont="1" applyFill="1" applyBorder="1"/>
    <xf numFmtId="0" fontId="3" fillId="29" borderId="32" xfId="0" applyFont="1" applyFill="1" applyBorder="1" applyAlignment="1">
      <alignment horizontal="center"/>
    </xf>
    <xf numFmtId="0" fontId="3" fillId="29" borderId="0" xfId="0" applyFont="1" applyFill="1" applyAlignment="1">
      <alignment horizontal="center"/>
    </xf>
    <xf numFmtId="169" fontId="2" fillId="0" borderId="55" xfId="35" applyNumberFormat="1" applyBorder="1" applyProtection="1"/>
    <xf numFmtId="0" fontId="0" fillId="0" borderId="58" xfId="0" applyBorder="1" applyAlignment="1">
      <alignment horizontal="left" indent="3"/>
    </xf>
    <xf numFmtId="169" fontId="2" fillId="0" borderId="60" xfId="35" applyNumberFormat="1" applyBorder="1" applyProtection="1"/>
    <xf numFmtId="0" fontId="3" fillId="29" borderId="32" xfId="0" applyFont="1" applyFill="1" applyBorder="1" applyAlignment="1">
      <alignment horizontal="left" indent="3"/>
    </xf>
    <xf numFmtId="169" fontId="3" fillId="29" borderId="0" xfId="35" applyNumberFormat="1" applyFont="1" applyFill="1" applyBorder="1" applyProtection="1"/>
    <xf numFmtId="0" fontId="0" fillId="0" borderId="33" xfId="0" applyBorder="1"/>
    <xf numFmtId="0" fontId="17" fillId="0" borderId="10" xfId="0" applyFont="1" applyBorder="1" applyAlignment="1">
      <alignment horizontal="centerContinuous" vertical="center"/>
    </xf>
    <xf numFmtId="0" fontId="15" fillId="0" borderId="0" xfId="0" applyFont="1" applyProtection="1">
      <protection locked="0"/>
    </xf>
    <xf numFmtId="0" fontId="19" fillId="0" borderId="0" xfId="0" applyFont="1" applyProtection="1">
      <protection locked="0"/>
    </xf>
    <xf numFmtId="0" fontId="18" fillId="26" borderId="0" xfId="0" applyFont="1" applyFill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172" fontId="3" fillId="0" borderId="13" xfId="0" applyNumberFormat="1" applyFont="1" applyBorder="1" applyAlignment="1" applyProtection="1">
      <alignment horizontal="right" vertical="center"/>
      <protection locked="0"/>
    </xf>
    <xf numFmtId="3" fontId="28" fillId="0" borderId="0" xfId="0" applyNumberFormat="1" applyFont="1" applyAlignment="1" applyProtection="1">
      <alignment vertical="center"/>
      <protection locked="0"/>
    </xf>
    <xf numFmtId="3" fontId="28" fillId="0" borderId="0" xfId="0" applyNumberFormat="1" applyFont="1" applyAlignment="1" applyProtection="1">
      <alignment horizontal="right" vertical="center"/>
      <protection locked="0"/>
    </xf>
    <xf numFmtId="3" fontId="30" fillId="0" borderId="0" xfId="0" applyNumberFormat="1" applyFont="1" applyAlignment="1" applyProtection="1">
      <alignment vertical="center"/>
      <protection locked="0"/>
    </xf>
    <xf numFmtId="170" fontId="0" fillId="0" borderId="0" xfId="0" applyNumberFormat="1" applyProtection="1">
      <protection locked="0"/>
    </xf>
    <xf numFmtId="170" fontId="21" fillId="0" borderId="0" xfId="0" applyNumberFormat="1" applyFont="1" applyProtection="1"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41" fontId="0" fillId="0" borderId="0" xfId="0" applyNumberForma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8" fillId="0" borderId="0" xfId="0" applyFont="1"/>
    <xf numFmtId="0" fontId="19" fillId="0" borderId="0" xfId="0" applyFont="1" applyAlignment="1">
      <alignment vertical="center"/>
    </xf>
    <xf numFmtId="0" fontId="9" fillId="0" borderId="36" xfId="0" applyFont="1" applyBorder="1" applyAlignment="1">
      <alignment vertical="center"/>
    </xf>
    <xf numFmtId="0" fontId="18" fillId="0" borderId="36" xfId="0" applyFont="1" applyBorder="1" applyAlignment="1">
      <alignment vertical="center"/>
    </xf>
    <xf numFmtId="0" fontId="19" fillId="0" borderId="0" xfId="0" applyFont="1"/>
    <xf numFmtId="0" fontId="19" fillId="36" borderId="45" xfId="0" applyFont="1" applyFill="1" applyBorder="1" applyAlignment="1">
      <alignment horizontal="centerContinuous" vertical="center" wrapText="1"/>
    </xf>
    <xf numFmtId="0" fontId="19" fillId="36" borderId="46" xfId="0" applyFont="1" applyFill="1" applyBorder="1" applyAlignment="1">
      <alignment horizontal="centerContinuous" vertical="center" wrapText="1"/>
    </xf>
    <xf numFmtId="0" fontId="19" fillId="36" borderId="47" xfId="0" applyFont="1" applyFill="1" applyBorder="1" applyAlignment="1">
      <alignment horizontal="centerContinuous" vertical="center" wrapText="1"/>
    </xf>
    <xf numFmtId="0" fontId="18" fillId="36" borderId="46" xfId="0" applyFont="1" applyFill="1" applyBorder="1" applyAlignment="1">
      <alignment horizontal="centerContinuous" vertical="center" wrapText="1"/>
    </xf>
    <xf numFmtId="0" fontId="18" fillId="36" borderId="47" xfId="0" applyFont="1" applyFill="1" applyBorder="1" applyAlignment="1">
      <alignment horizontal="centerContinuous" vertical="center" wrapText="1"/>
    </xf>
    <xf numFmtId="0" fontId="2" fillId="36" borderId="39" xfId="0" applyFont="1" applyFill="1" applyBorder="1" applyAlignment="1">
      <alignment horizontal="center" vertical="center" wrapText="1"/>
    </xf>
    <xf numFmtId="0" fontId="2" fillId="36" borderId="13" xfId="0" applyFont="1" applyFill="1" applyBorder="1" applyAlignment="1">
      <alignment horizontal="center" vertical="center" wrapText="1"/>
    </xf>
    <xf numFmtId="0" fontId="2" fillId="36" borderId="40" xfId="0" applyFont="1" applyFill="1" applyBorder="1" applyAlignment="1">
      <alignment horizontal="center" vertical="center" wrapText="1"/>
    </xf>
    <xf numFmtId="0" fontId="2" fillId="36" borderId="18" xfId="0" applyFont="1" applyFill="1" applyBorder="1" applyAlignment="1">
      <alignment horizontal="center" vertical="center" wrapText="1"/>
    </xf>
    <xf numFmtId="0" fontId="2" fillId="36" borderId="69" xfId="0" applyFont="1" applyFill="1" applyBorder="1"/>
    <xf numFmtId="0" fontId="2" fillId="36" borderId="41" xfId="0" applyFont="1" applyFill="1" applyBorder="1"/>
    <xf numFmtId="0" fontId="2" fillId="36" borderId="39" xfId="0" applyFont="1" applyFill="1" applyBorder="1" applyAlignment="1">
      <alignment horizontal="center"/>
    </xf>
    <xf numFmtId="0" fontId="2" fillId="36" borderId="13" xfId="0" applyFont="1" applyFill="1" applyBorder="1" applyAlignment="1">
      <alignment horizontal="center"/>
    </xf>
    <xf numFmtId="0" fontId="2" fillId="36" borderId="40" xfId="0" applyFont="1" applyFill="1" applyBorder="1" applyAlignment="1">
      <alignment horizontal="center"/>
    </xf>
    <xf numFmtId="0" fontId="2" fillId="36" borderId="69" xfId="0" applyFont="1" applyFill="1" applyBorder="1" applyAlignment="1">
      <alignment horizontal="center"/>
    </xf>
    <xf numFmtId="0" fontId="2" fillId="36" borderId="25" xfId="0" applyFont="1" applyFill="1" applyBorder="1" applyAlignment="1">
      <alignment horizontal="center"/>
    </xf>
    <xf numFmtId="172" fontId="2" fillId="36" borderId="69" xfId="0" applyNumberFormat="1" applyFont="1" applyFill="1" applyBorder="1" applyAlignment="1">
      <alignment horizontal="center"/>
    </xf>
    <xf numFmtId="172" fontId="2" fillId="36" borderId="41" xfId="0" applyNumberFormat="1" applyFont="1" applyFill="1" applyBorder="1" applyAlignment="1">
      <alignment horizontal="left"/>
    </xf>
    <xf numFmtId="172" fontId="2" fillId="36" borderId="39" xfId="0" applyNumberFormat="1" applyFont="1" applyFill="1" applyBorder="1" applyAlignment="1">
      <alignment horizontal="center"/>
    </xf>
    <xf numFmtId="172" fontId="2" fillId="36" borderId="13" xfId="0" applyNumberFormat="1" applyFont="1" applyFill="1" applyBorder="1" applyAlignment="1">
      <alignment horizontal="center"/>
    </xf>
    <xf numFmtId="172" fontId="2" fillId="36" borderId="70" xfId="0" applyNumberFormat="1" applyFont="1" applyFill="1" applyBorder="1" applyAlignment="1">
      <alignment horizontal="center"/>
    </xf>
    <xf numFmtId="172" fontId="11" fillId="36" borderId="79" xfId="0" applyNumberFormat="1" applyFont="1" applyFill="1" applyBorder="1" applyAlignment="1">
      <alignment horizontal="right"/>
    </xf>
    <xf numFmtId="172" fontId="11" fillId="36" borderId="68" xfId="0" applyNumberFormat="1" applyFont="1" applyFill="1" applyBorder="1" applyAlignment="1">
      <alignment horizontal="right"/>
    </xf>
    <xf numFmtId="172" fontId="11" fillId="36" borderId="48" xfId="0" applyNumberFormat="1" applyFont="1" applyFill="1" applyBorder="1" applyAlignment="1">
      <alignment horizontal="center"/>
    </xf>
    <xf numFmtId="172" fontId="11" fillId="36" borderId="51" xfId="0" applyNumberFormat="1" applyFont="1" applyFill="1" applyBorder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72" fontId="2" fillId="36" borderId="25" xfId="0" applyNumberFormat="1" applyFont="1" applyFill="1" applyBorder="1" applyAlignment="1">
      <alignment horizontal="center"/>
    </xf>
    <xf numFmtId="172" fontId="11" fillId="0" borderId="48" xfId="0" applyNumberFormat="1" applyFont="1" applyBorder="1" applyAlignment="1">
      <alignment horizontal="center"/>
    </xf>
    <xf numFmtId="172" fontId="11" fillId="0" borderId="51" xfId="0" applyNumberFormat="1" applyFont="1" applyBorder="1" applyAlignment="1">
      <alignment horizontal="center"/>
    </xf>
    <xf numFmtId="172" fontId="11" fillId="0" borderId="68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72" fontId="2" fillId="0" borderId="0" xfId="0" applyNumberFormat="1" applyFont="1"/>
    <xf numFmtId="0" fontId="4" fillId="0" borderId="0" xfId="0" applyFont="1"/>
    <xf numFmtId="0" fontId="21" fillId="0" borderId="23" xfId="0" applyFont="1" applyBorder="1"/>
    <xf numFmtId="0" fontId="20" fillId="0" borderId="14" xfId="0" applyFont="1" applyBorder="1"/>
    <xf numFmtId="0" fontId="20" fillId="28" borderId="25" xfId="0" applyFont="1" applyFill="1" applyBorder="1" applyAlignment="1">
      <alignment horizontal="centerContinuous" vertical="center"/>
    </xf>
    <xf numFmtId="0" fontId="20" fillId="28" borderId="18" xfId="0" applyFont="1" applyFill="1" applyBorder="1" applyAlignment="1">
      <alignment horizontal="centerContinuous" vertical="center"/>
    </xf>
    <xf numFmtId="3" fontId="28" fillId="0" borderId="18" xfId="0" applyNumberFormat="1" applyFont="1" applyBorder="1" applyAlignment="1">
      <alignment horizontal="center" vertical="center"/>
    </xf>
    <xf numFmtId="3" fontId="29" fillId="0" borderId="18" xfId="0" applyNumberFormat="1" applyFont="1" applyBorder="1" applyAlignment="1">
      <alignment vertical="center"/>
    </xf>
    <xf numFmtId="170" fontId="0" fillId="0" borderId="0" xfId="0" applyNumberFormat="1"/>
    <xf numFmtId="170" fontId="7" fillId="0" borderId="0" xfId="0" applyNumberFormat="1" applyFont="1"/>
    <xf numFmtId="170" fontId="8" fillId="0" borderId="0" xfId="0" applyNumberFormat="1" applyFont="1"/>
    <xf numFmtId="170" fontId="32" fillId="0" borderId="0" xfId="0" applyNumberFormat="1" applyFont="1"/>
    <xf numFmtId="170" fontId="35" fillId="0" borderId="0" xfId="0" applyNumberFormat="1" applyFont="1"/>
    <xf numFmtId="170" fontId="72" fillId="0" borderId="25" xfId="0" applyNumberFormat="1" applyFont="1" applyBorder="1" applyAlignment="1">
      <alignment horizontal="centerContinuous" vertical="center"/>
    </xf>
    <xf numFmtId="170" fontId="72" fillId="0" borderId="17" xfId="0" applyNumberFormat="1" applyFont="1" applyBorder="1" applyAlignment="1">
      <alignment horizontal="centerContinuous" vertical="center"/>
    </xf>
    <xf numFmtId="0" fontId="0" fillId="0" borderId="21" xfId="0" applyBorder="1" applyAlignment="1">
      <alignment horizontal="centerContinuous"/>
    </xf>
    <xf numFmtId="170" fontId="21" fillId="0" borderId="14" xfId="0" applyNumberFormat="1" applyFont="1" applyBorder="1"/>
    <xf numFmtId="170" fontId="20" fillId="0" borderId="14" xfId="0" applyNumberFormat="1" applyFont="1" applyBorder="1" applyAlignment="1">
      <alignment horizontal="center"/>
    </xf>
    <xf numFmtId="170" fontId="20" fillId="37" borderId="25" xfId="0" applyNumberFormat="1" applyFont="1" applyFill="1" applyBorder="1" applyAlignment="1">
      <alignment horizontal="centerContinuous" vertical="center" wrapText="1"/>
    </xf>
    <xf numFmtId="170" fontId="20" fillId="37" borderId="18" xfId="0" applyNumberFormat="1" applyFont="1" applyFill="1" applyBorder="1" applyAlignment="1">
      <alignment horizontal="centerContinuous" vertical="center" wrapText="1"/>
    </xf>
    <xf numFmtId="170" fontId="21" fillId="37" borderId="22" xfId="0" applyNumberFormat="1" applyFont="1" applyFill="1" applyBorder="1" applyAlignment="1">
      <alignment horizontal="center" vertical="center" wrapText="1"/>
    </xf>
    <xf numFmtId="172" fontId="21" fillId="36" borderId="13" xfId="0" applyNumberFormat="1" applyFont="1" applyFill="1" applyBorder="1" applyAlignment="1">
      <alignment vertical="center"/>
    </xf>
    <xf numFmtId="172" fontId="20" fillId="36" borderId="18" xfId="0" applyNumberFormat="1" applyFont="1" applyFill="1" applyBorder="1" applyAlignment="1">
      <alignment horizontal="right" vertical="center"/>
    </xf>
    <xf numFmtId="172" fontId="20" fillId="36" borderId="13" xfId="0" applyNumberFormat="1" applyFont="1" applyFill="1" applyBorder="1" applyAlignment="1">
      <alignment horizontal="center" vertical="center"/>
    </xf>
    <xf numFmtId="170" fontId="21" fillId="28" borderId="25" xfId="0" applyNumberFormat="1" applyFont="1" applyFill="1" applyBorder="1" applyAlignment="1">
      <alignment horizontal="right"/>
    </xf>
    <xf numFmtId="170" fontId="21" fillId="28" borderId="17" xfId="0" applyNumberFormat="1" applyFont="1" applyFill="1" applyBorder="1" applyAlignment="1">
      <alignment horizontal="right"/>
    </xf>
    <xf numFmtId="170" fontId="21" fillId="28" borderId="18" xfId="0" applyNumberFormat="1" applyFont="1" applyFill="1" applyBorder="1" applyAlignment="1">
      <alignment horizontal="right"/>
    </xf>
    <xf numFmtId="172" fontId="21" fillId="0" borderId="0" xfId="0" applyNumberFormat="1" applyFont="1"/>
    <xf numFmtId="170" fontId="20" fillId="0" borderId="23" xfId="0" applyNumberFormat="1" applyFont="1" applyBorder="1"/>
    <xf numFmtId="170" fontId="20" fillId="32" borderId="12" xfId="0" applyNumberFormat="1" applyFont="1" applyFill="1" applyBorder="1" applyAlignment="1">
      <alignment horizontal="centerContinuous" vertical="center" wrapText="1"/>
    </xf>
    <xf numFmtId="170" fontId="20" fillId="32" borderId="20" xfId="0" applyNumberFormat="1" applyFont="1" applyFill="1" applyBorder="1" applyAlignment="1">
      <alignment vertical="center"/>
    </xf>
    <xf numFmtId="170" fontId="20" fillId="32" borderId="20" xfId="0" applyNumberFormat="1" applyFont="1" applyFill="1" applyBorder="1" applyAlignment="1">
      <alignment vertical="center" wrapText="1"/>
    </xf>
    <xf numFmtId="172" fontId="21" fillId="32" borderId="13" xfId="0" applyNumberFormat="1" applyFont="1" applyFill="1" applyBorder="1"/>
    <xf numFmtId="43" fontId="21" fillId="32" borderId="13" xfId="0" applyNumberFormat="1" applyFont="1" applyFill="1" applyBorder="1" applyAlignment="1">
      <alignment horizontal="center"/>
    </xf>
    <xf numFmtId="172" fontId="20" fillId="32" borderId="18" xfId="0" applyNumberFormat="1" applyFont="1" applyFill="1" applyBorder="1" applyAlignment="1">
      <alignment horizontal="right" vertical="center"/>
    </xf>
    <xf numFmtId="43" fontId="20" fillId="32" borderId="13" xfId="0" applyNumberFormat="1" applyFont="1" applyFill="1" applyBorder="1" applyAlignment="1">
      <alignment horizontal="center" vertical="center"/>
    </xf>
    <xf numFmtId="170" fontId="21" fillId="35" borderId="25" xfId="0" applyNumberFormat="1" applyFont="1" applyFill="1" applyBorder="1"/>
    <xf numFmtId="170" fontId="21" fillId="35" borderId="17" xfId="0" applyNumberFormat="1" applyFont="1" applyFill="1" applyBorder="1"/>
    <xf numFmtId="170" fontId="21" fillId="35" borderId="18" xfId="0" applyNumberFormat="1" applyFont="1" applyFill="1" applyBorder="1" applyAlignment="1">
      <alignment horizontal="right"/>
    </xf>
    <xf numFmtId="170" fontId="21" fillId="0" borderId="17" xfId="0" applyNumberFormat="1" applyFont="1" applyBorder="1"/>
    <xf numFmtId="170" fontId="21" fillId="0" borderId="17" xfId="0" applyNumberFormat="1" applyFont="1" applyBorder="1" applyAlignment="1">
      <alignment horizontal="right"/>
    </xf>
    <xf numFmtId="170" fontId="20" fillId="28" borderId="25" xfId="0" applyNumberFormat="1" applyFont="1" applyFill="1" applyBorder="1" applyAlignment="1">
      <alignment horizontal="centerContinuous" vertical="center"/>
    </xf>
    <xf numFmtId="170" fontId="20" fillId="28" borderId="17" xfId="0" applyNumberFormat="1" applyFont="1" applyFill="1" applyBorder="1" applyAlignment="1">
      <alignment horizontal="centerContinuous" vertical="center"/>
    </xf>
    <xf numFmtId="170" fontId="21" fillId="28" borderId="25" xfId="0" applyNumberFormat="1" applyFont="1" applyFill="1" applyBorder="1" applyAlignment="1">
      <alignment horizontal="right" vertical="center"/>
    </xf>
    <xf numFmtId="170" fontId="21" fillId="28" borderId="17" xfId="0" applyNumberFormat="1" applyFont="1" applyFill="1" applyBorder="1" applyAlignment="1">
      <alignment horizontal="right" vertical="center"/>
    </xf>
    <xf numFmtId="170" fontId="21" fillId="28" borderId="18" xfId="0" applyNumberFormat="1" applyFont="1" applyFill="1" applyBorder="1" applyAlignment="1">
      <alignment horizontal="right" vertical="center"/>
    </xf>
    <xf numFmtId="170" fontId="21" fillId="25" borderId="25" xfId="0" applyNumberFormat="1" applyFont="1" applyFill="1" applyBorder="1" applyAlignment="1">
      <alignment vertical="center"/>
    </xf>
    <xf numFmtId="170" fontId="21" fillId="25" borderId="17" xfId="0" applyNumberFormat="1" applyFont="1" applyFill="1" applyBorder="1" applyAlignment="1">
      <alignment vertical="center"/>
    </xf>
    <xf numFmtId="170" fontId="21" fillId="25" borderId="17" xfId="0" applyNumberFormat="1" applyFont="1" applyFill="1" applyBorder="1" applyAlignment="1">
      <alignment horizontal="right" vertical="center"/>
    </xf>
    <xf numFmtId="170" fontId="20" fillId="30" borderId="25" xfId="0" applyNumberFormat="1" applyFont="1" applyFill="1" applyBorder="1" applyAlignment="1">
      <alignment horizontal="centerContinuous" vertical="center"/>
    </xf>
    <xf numFmtId="170" fontId="20" fillId="30" borderId="17" xfId="0" applyNumberFormat="1" applyFont="1" applyFill="1" applyBorder="1" applyAlignment="1">
      <alignment horizontal="centerContinuous" vertical="center"/>
    </xf>
    <xf numFmtId="170" fontId="21" fillId="30" borderId="17" xfId="0" applyNumberFormat="1" applyFont="1" applyFill="1" applyBorder="1" applyAlignment="1">
      <alignment horizontal="centerContinuous" vertical="center"/>
    </xf>
    <xf numFmtId="170" fontId="21" fillId="30" borderId="25" xfId="0" applyNumberFormat="1" applyFont="1" applyFill="1" applyBorder="1" applyAlignment="1">
      <alignment horizontal="right" vertical="center"/>
    </xf>
    <xf numFmtId="170" fontId="21" fillId="30" borderId="17" xfId="0" applyNumberFormat="1" applyFont="1" applyFill="1" applyBorder="1" applyAlignment="1">
      <alignment horizontal="right" vertical="center"/>
    </xf>
    <xf numFmtId="170" fontId="21" fillId="30" borderId="18" xfId="0" applyNumberFormat="1" applyFont="1" applyFill="1" applyBorder="1" applyAlignment="1">
      <alignment horizontal="right" vertical="center"/>
    </xf>
    <xf numFmtId="170" fontId="21" fillId="35" borderId="13" xfId="0" applyNumberFormat="1" applyFont="1" applyFill="1" applyBorder="1"/>
    <xf numFmtId="174" fontId="21" fillId="35" borderId="13" xfId="0" applyNumberFormat="1" applyFont="1" applyFill="1" applyBorder="1"/>
    <xf numFmtId="170" fontId="20" fillId="28" borderId="18" xfId="0" applyNumberFormat="1" applyFont="1" applyFill="1" applyBorder="1" applyAlignment="1">
      <alignment horizontal="centerContinuous" vertical="center"/>
    </xf>
    <xf numFmtId="170" fontId="21" fillId="28" borderId="13" xfId="0" applyNumberFormat="1" applyFont="1" applyFill="1" applyBorder="1" applyAlignment="1">
      <alignment vertical="center"/>
    </xf>
    <xf numFmtId="174" fontId="21" fillId="25" borderId="13" xfId="0" applyNumberFormat="1" applyFont="1" applyFill="1" applyBorder="1" applyAlignment="1">
      <alignment vertical="center"/>
    </xf>
    <xf numFmtId="170" fontId="21" fillId="30" borderId="13" xfId="0" applyNumberFormat="1" applyFont="1" applyFill="1" applyBorder="1" applyAlignment="1">
      <alignment vertical="center"/>
    </xf>
    <xf numFmtId="172" fontId="20" fillId="0" borderId="13" xfId="0" applyNumberFormat="1" applyFont="1" applyBorder="1" applyAlignment="1">
      <alignment horizontal="center" vertical="center"/>
    </xf>
    <xf numFmtId="172" fontId="20" fillId="27" borderId="13" xfId="0" applyNumberFormat="1" applyFont="1" applyFill="1" applyBorder="1" applyAlignment="1">
      <alignment horizontal="center" vertical="center"/>
    </xf>
    <xf numFmtId="3" fontId="59" fillId="0" borderId="0" xfId="46" applyNumberFormat="1" applyFont="1" applyProtection="1">
      <protection locked="0"/>
    </xf>
    <xf numFmtId="3" fontId="63" fillId="0" borderId="0" xfId="46" applyNumberFormat="1" applyFont="1" applyProtection="1">
      <protection locked="0"/>
    </xf>
    <xf numFmtId="3" fontId="59" fillId="0" borderId="0" xfId="46" applyNumberFormat="1" applyFont="1" applyAlignment="1" applyProtection="1">
      <alignment vertical="center"/>
      <protection locked="0"/>
    </xf>
    <xf numFmtId="3" fontId="59" fillId="0" borderId="0" xfId="46" applyNumberFormat="1" applyFont="1"/>
    <xf numFmtId="3" fontId="64" fillId="0" borderId="0" xfId="46" applyNumberFormat="1" applyFont="1"/>
    <xf numFmtId="3" fontId="59" fillId="0" borderId="0" xfId="46" applyNumberFormat="1" applyFont="1" applyAlignment="1">
      <alignment vertical="center"/>
    </xf>
    <xf numFmtId="3" fontId="10" fillId="0" borderId="0" xfId="0" applyNumberFormat="1" applyFont="1" applyAlignment="1">
      <alignment horizontal="centerContinuous" vertical="center"/>
    </xf>
    <xf numFmtId="3" fontId="61" fillId="0" borderId="0" xfId="46" applyNumberFormat="1" applyFont="1" applyAlignment="1">
      <alignment horizontal="centerContinuous" vertical="center"/>
    </xf>
    <xf numFmtId="3" fontId="56" fillId="0" borderId="0" xfId="0" applyNumberFormat="1" applyFont="1" applyAlignment="1">
      <alignment vertical="center"/>
    </xf>
    <xf numFmtId="3" fontId="60" fillId="0" borderId="13" xfId="46" applyNumberFormat="1" applyFont="1" applyBorder="1" applyAlignment="1">
      <alignment horizontal="center"/>
    </xf>
    <xf numFmtId="3" fontId="57" fillId="26" borderId="13" xfId="46" applyNumberFormat="1" applyFont="1" applyFill="1" applyBorder="1" applyAlignment="1">
      <alignment vertical="center" wrapText="1"/>
    </xf>
    <xf numFmtId="3" fontId="59" fillId="0" borderId="13" xfId="46" applyNumberFormat="1" applyFont="1" applyBorder="1"/>
    <xf numFmtId="3" fontId="71" fillId="0" borderId="13" xfId="46" applyNumberFormat="1" applyFont="1" applyBorder="1"/>
    <xf numFmtId="172" fontId="20" fillId="29" borderId="13" xfId="0" applyNumberFormat="1" applyFont="1" applyFill="1" applyBorder="1" applyAlignment="1">
      <alignment horizontal="center" vertical="center"/>
    </xf>
    <xf numFmtId="169" fontId="2" fillId="0" borderId="20" xfId="35" applyNumberFormat="1" applyFont="1" applyFill="1" applyBorder="1" applyAlignment="1" applyProtection="1">
      <alignment horizontal="center" vertical="center" wrapText="1"/>
    </xf>
    <xf numFmtId="0" fontId="2" fillId="33" borderId="55" xfId="0" applyFont="1" applyFill="1" applyBorder="1" applyAlignment="1">
      <alignment horizontal="center" vertical="center" wrapText="1"/>
    </xf>
    <xf numFmtId="9" fontId="5" fillId="0" borderId="35" xfId="48" applyFont="1" applyFill="1" applyBorder="1" applyAlignment="1" applyProtection="1">
      <alignment horizontal="center" vertical="center" wrapText="1"/>
    </xf>
    <xf numFmtId="172" fontId="3" fillId="0" borderId="61" xfId="0" applyNumberFormat="1" applyFont="1" applyBorder="1" applyAlignment="1">
      <alignment horizontal="center" vertical="center"/>
    </xf>
    <xf numFmtId="172" fontId="3" fillId="0" borderId="76" xfId="0" applyNumberFormat="1" applyFont="1" applyBorder="1" applyAlignment="1">
      <alignment horizontal="center" vertical="center"/>
    </xf>
    <xf numFmtId="172" fontId="3" fillId="0" borderId="31" xfId="0" applyNumberFormat="1" applyFont="1" applyBorder="1" applyAlignment="1">
      <alignment horizontal="center" vertical="center"/>
    </xf>
    <xf numFmtId="9" fontId="5" fillId="0" borderId="30" xfId="0" applyNumberFormat="1" applyFont="1" applyBorder="1" applyAlignment="1">
      <alignment horizontal="center"/>
    </xf>
    <xf numFmtId="168" fontId="5" fillId="0" borderId="61" xfId="48" applyNumberFormat="1" applyFont="1" applyFill="1" applyBorder="1" applyAlignment="1" applyProtection="1">
      <alignment horizontal="center"/>
    </xf>
    <xf numFmtId="168" fontId="5" fillId="0" borderId="61" xfId="48" applyNumberFormat="1" applyFont="1" applyBorder="1" applyAlignment="1" applyProtection="1">
      <alignment horizontal="center"/>
    </xf>
    <xf numFmtId="168" fontId="5" fillId="0" borderId="61" xfId="48" applyNumberFormat="1" applyFont="1" applyBorder="1" applyProtection="1"/>
    <xf numFmtId="0" fontId="20" fillId="44" borderId="64" xfId="0" applyFont="1" applyFill="1" applyBorder="1" applyAlignment="1">
      <alignment horizontal="centerContinuous" vertical="center"/>
    </xf>
    <xf numFmtId="0" fontId="11" fillId="44" borderId="62" xfId="0" applyFont="1" applyFill="1" applyBorder="1" applyAlignment="1">
      <alignment horizontal="centerContinuous" vertical="center"/>
    </xf>
    <xf numFmtId="0" fontId="11" fillId="44" borderId="63" xfId="0" applyFont="1" applyFill="1" applyBorder="1" applyAlignment="1">
      <alignment horizontal="centerContinuous" vertical="center"/>
    </xf>
    <xf numFmtId="0" fontId="17" fillId="44" borderId="62" xfId="0" applyFont="1" applyFill="1" applyBorder="1" applyAlignment="1">
      <alignment horizontal="centerContinuous" vertical="center"/>
    </xf>
    <xf numFmtId="0" fontId="20" fillId="44" borderId="62" xfId="0" applyFont="1" applyFill="1" applyBorder="1" applyAlignment="1">
      <alignment horizontal="centerContinuous" vertical="center" wrapText="1"/>
    </xf>
    <xf numFmtId="0" fontId="3" fillId="44" borderId="72" xfId="0" applyFont="1" applyFill="1" applyBorder="1" applyAlignment="1">
      <alignment horizontal="centerContinuous" vertical="center" wrapText="1"/>
    </xf>
    <xf numFmtId="0" fontId="20" fillId="44" borderId="18" xfId="0" applyFont="1" applyFill="1" applyBorder="1" applyAlignment="1">
      <alignment horizontal="center" vertical="center" wrapText="1"/>
    </xf>
    <xf numFmtId="0" fontId="20" fillId="44" borderId="13" xfId="0" applyFont="1" applyFill="1" applyBorder="1" applyAlignment="1">
      <alignment horizontal="center" vertical="center" wrapText="1"/>
    </xf>
    <xf numFmtId="0" fontId="20" fillId="44" borderId="55" xfId="0" applyFont="1" applyFill="1" applyBorder="1" applyAlignment="1">
      <alignment horizontal="center" vertical="center" wrapText="1"/>
    </xf>
    <xf numFmtId="0" fontId="20" fillId="44" borderId="58" xfId="0" applyFont="1" applyFill="1" applyBorder="1" applyAlignment="1">
      <alignment horizontal="center" vertical="center" wrapText="1"/>
    </xf>
    <xf numFmtId="0" fontId="20" fillId="44" borderId="81" xfId="0" applyFont="1" applyFill="1" applyBorder="1" applyAlignment="1">
      <alignment vertical="center" wrapText="1"/>
    </xf>
    <xf numFmtId="0" fontId="34" fillId="43" borderId="0" xfId="0" applyFont="1" applyFill="1" applyAlignment="1">
      <alignment vertical="center"/>
    </xf>
    <xf numFmtId="0" fontId="11" fillId="43" borderId="0" xfId="0" applyFont="1" applyFill="1" applyAlignment="1">
      <alignment vertical="center"/>
    </xf>
    <xf numFmtId="0" fontId="29" fillId="53" borderId="13" xfId="0" applyFont="1" applyFill="1" applyBorder="1" applyAlignment="1">
      <alignment vertical="center" wrapText="1"/>
    </xf>
    <xf numFmtId="0" fontId="29" fillId="53" borderId="40" xfId="0" applyFont="1" applyFill="1" applyBorder="1" applyAlignment="1">
      <alignment vertical="center" wrapText="1"/>
    </xf>
    <xf numFmtId="170" fontId="20" fillId="44" borderId="12" xfId="0" applyNumberFormat="1" applyFont="1" applyFill="1" applyBorder="1" applyAlignment="1">
      <alignment horizontal="centerContinuous" vertical="center" wrapText="1"/>
    </xf>
    <xf numFmtId="170" fontId="20" fillId="44" borderId="19" xfId="0" applyNumberFormat="1" applyFont="1" applyFill="1" applyBorder="1" applyAlignment="1">
      <alignment horizontal="centerContinuous" vertical="center" wrapText="1"/>
    </xf>
    <xf numFmtId="170" fontId="20" fillId="44" borderId="21" xfId="0" applyNumberFormat="1" applyFont="1" applyFill="1" applyBorder="1" applyAlignment="1">
      <alignment horizontal="centerContinuous" vertical="center" wrapText="1"/>
    </xf>
    <xf numFmtId="170" fontId="20" fillId="44" borderId="25" xfId="0" applyNumberFormat="1" applyFont="1" applyFill="1" applyBorder="1" applyAlignment="1">
      <alignment horizontal="centerContinuous" vertical="center"/>
    </xf>
    <xf numFmtId="170" fontId="20" fillId="44" borderId="17" xfId="0" applyNumberFormat="1" applyFont="1" applyFill="1" applyBorder="1" applyAlignment="1">
      <alignment horizontal="centerContinuous" vertical="center"/>
    </xf>
    <xf numFmtId="170" fontId="20" fillId="44" borderId="18" xfId="0" applyNumberFormat="1" applyFont="1" applyFill="1" applyBorder="1" applyAlignment="1">
      <alignment horizontal="centerContinuous" vertical="center"/>
    </xf>
    <xf numFmtId="170" fontId="21" fillId="44" borderId="13" xfId="0" applyNumberFormat="1" applyFont="1" applyFill="1" applyBorder="1" applyAlignment="1">
      <alignment horizontal="center"/>
    </xf>
    <xf numFmtId="0" fontId="21" fillId="44" borderId="13" xfId="0" applyFont="1" applyFill="1" applyBorder="1" applyAlignment="1">
      <alignment horizontal="center" vertical="center" wrapText="1"/>
    </xf>
    <xf numFmtId="0" fontId="3" fillId="44" borderId="13" xfId="0" applyFont="1" applyFill="1" applyBorder="1" applyAlignment="1">
      <alignment horizontal="center"/>
    </xf>
    <xf numFmtId="172" fontId="5" fillId="44" borderId="13" xfId="0" applyNumberFormat="1" applyFont="1" applyFill="1" applyBorder="1" applyAlignment="1">
      <alignment vertical="center"/>
    </xf>
    <xf numFmtId="172" fontId="5" fillId="44" borderId="13" xfId="0" applyNumberFormat="1" applyFont="1" applyFill="1" applyBorder="1" applyAlignment="1">
      <alignment horizontal="center" vertical="center"/>
    </xf>
    <xf numFmtId="172" fontId="5" fillId="44" borderId="13" xfId="0" quotePrefix="1" applyNumberFormat="1" applyFont="1" applyFill="1" applyBorder="1" applyAlignment="1">
      <alignment horizontal="center" vertical="center"/>
    </xf>
    <xf numFmtId="172" fontId="3" fillId="44" borderId="13" xfId="0" applyNumberFormat="1" applyFont="1" applyFill="1" applyBorder="1" applyAlignment="1">
      <alignment vertical="center"/>
    </xf>
    <xf numFmtId="3" fontId="28" fillId="44" borderId="13" xfId="0" applyNumberFormat="1" applyFont="1" applyFill="1" applyBorder="1" applyAlignment="1">
      <alignment horizontal="center" vertical="center"/>
    </xf>
    <xf numFmtId="3" fontId="29" fillId="44" borderId="13" xfId="0" applyNumberFormat="1" applyFont="1" applyFill="1" applyBorder="1" applyAlignment="1">
      <alignment vertical="center"/>
    </xf>
    <xf numFmtId="3" fontId="28" fillId="44" borderId="13" xfId="0" applyNumberFormat="1" applyFont="1" applyFill="1" applyBorder="1" applyAlignment="1">
      <alignment vertical="center"/>
    </xf>
    <xf numFmtId="0" fontId="0" fillId="44" borderId="13" xfId="0" applyFill="1" applyBorder="1" applyAlignment="1">
      <alignment vertical="center"/>
    </xf>
    <xf numFmtId="0" fontId="0" fillId="44" borderId="13" xfId="0" applyFill="1" applyBorder="1" applyAlignment="1">
      <alignment horizontal="center" vertical="center"/>
    </xf>
    <xf numFmtId="0" fontId="0" fillId="44" borderId="13" xfId="0" applyFill="1" applyBorder="1"/>
    <xf numFmtId="3" fontId="0" fillId="44" borderId="20" xfId="0" applyNumberFormat="1" applyFill="1" applyBorder="1" applyAlignment="1">
      <alignment vertical="center"/>
    </xf>
    <xf numFmtId="0" fontId="3" fillId="49" borderId="62" xfId="0" applyFont="1" applyFill="1" applyBorder="1" applyAlignment="1">
      <alignment horizontal="centerContinuous" vertical="center"/>
    </xf>
    <xf numFmtId="0" fontId="3" fillId="49" borderId="63" xfId="0" applyFont="1" applyFill="1" applyBorder="1" applyAlignment="1">
      <alignment horizontal="centerContinuous" vertical="center"/>
    </xf>
    <xf numFmtId="0" fontId="3" fillId="49" borderId="64" xfId="0" applyFont="1" applyFill="1" applyBorder="1" applyAlignment="1">
      <alignment horizontal="centerContinuous" vertical="center"/>
    </xf>
    <xf numFmtId="0" fontId="3" fillId="49" borderId="57" xfId="0" applyFont="1" applyFill="1" applyBorder="1" applyAlignment="1">
      <alignment horizontal="centerContinuous" vertical="center"/>
    </xf>
    <xf numFmtId="0" fontId="7" fillId="49" borderId="64" xfId="0" applyFont="1" applyFill="1" applyBorder="1" applyAlignment="1">
      <alignment horizontal="centerContinuous" vertical="center"/>
    </xf>
    <xf numFmtId="0" fontId="5" fillId="49" borderId="62" xfId="0" applyFont="1" applyFill="1" applyBorder="1" applyAlignment="1">
      <alignment horizontal="centerContinuous" vertical="center"/>
    </xf>
    <xf numFmtId="0" fontId="5" fillId="49" borderId="63" xfId="0" applyFont="1" applyFill="1" applyBorder="1" applyAlignment="1">
      <alignment horizontal="centerContinuous" vertical="center"/>
    </xf>
    <xf numFmtId="0" fontId="3" fillId="49" borderId="18" xfId="0" applyFont="1" applyFill="1" applyBorder="1" applyAlignment="1">
      <alignment horizontal="center" vertical="center" wrapText="1"/>
    </xf>
    <xf numFmtId="0" fontId="3" fillId="49" borderId="13" xfId="0" applyFont="1" applyFill="1" applyBorder="1" applyAlignment="1">
      <alignment horizontal="center" vertical="center" wrapText="1"/>
    </xf>
    <xf numFmtId="0" fontId="3" fillId="49" borderId="55" xfId="0" applyFont="1" applyFill="1" applyBorder="1" applyAlignment="1">
      <alignment horizontal="center" vertical="center" wrapText="1"/>
    </xf>
    <xf numFmtId="0" fontId="3" fillId="49" borderId="25" xfId="0" applyFont="1" applyFill="1" applyBorder="1" applyAlignment="1">
      <alignment horizontal="center" vertical="center" wrapText="1"/>
    </xf>
    <xf numFmtId="177" fontId="2" fillId="0" borderId="20" xfId="0" applyNumberFormat="1" applyFont="1" applyBorder="1" applyAlignment="1" applyProtection="1">
      <alignment vertical="center"/>
      <protection locked="0"/>
    </xf>
    <xf numFmtId="177" fontId="2" fillId="0" borderId="13" xfId="0" applyNumberFormat="1" applyFont="1" applyBorder="1" applyAlignment="1" applyProtection="1">
      <alignment vertical="center"/>
      <protection locked="0"/>
    </xf>
    <xf numFmtId="177" fontId="3" fillId="0" borderId="29" xfId="0" applyNumberFormat="1" applyFont="1" applyBorder="1" applyAlignment="1">
      <alignment horizontal="center" vertical="center"/>
    </xf>
    <xf numFmtId="0" fontId="0" fillId="0" borderId="8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24" borderId="0" xfId="65" applyFill="1"/>
    <xf numFmtId="0" fontId="75" fillId="24" borderId="0" xfId="65" applyFont="1" applyFill="1"/>
    <xf numFmtId="0" fontId="76" fillId="54" borderId="0" xfId="65" applyFont="1" applyFill="1" applyAlignment="1">
      <alignment horizontal="centerContinuous"/>
    </xf>
    <xf numFmtId="0" fontId="77" fillId="24" borderId="0" xfId="65" applyFont="1" applyFill="1" applyAlignment="1">
      <alignment horizontal="right" vertical="center"/>
    </xf>
    <xf numFmtId="0" fontId="77" fillId="0" borderId="14" xfId="65" applyFont="1" applyBorder="1" applyProtection="1">
      <protection locked="0"/>
    </xf>
    <xf numFmtId="0" fontId="77" fillId="24" borderId="0" xfId="65" applyFont="1" applyFill="1" applyAlignment="1">
      <alignment horizontal="right"/>
    </xf>
    <xf numFmtId="0" fontId="78" fillId="24" borderId="0" xfId="65" applyFont="1" applyFill="1"/>
    <xf numFmtId="0" fontId="77" fillId="55" borderId="14" xfId="65" applyFont="1" applyFill="1" applyBorder="1" applyProtection="1">
      <protection locked="0"/>
    </xf>
    <xf numFmtId="0" fontId="79" fillId="24" borderId="0" xfId="65" applyFont="1" applyFill="1" applyAlignment="1">
      <alignment horizontal="right"/>
    </xf>
    <xf numFmtId="0" fontId="2" fillId="54" borderId="0" xfId="65" applyFill="1"/>
    <xf numFmtId="0" fontId="81" fillId="54" borderId="0" xfId="65" applyFont="1" applyFill="1" applyAlignment="1">
      <alignment horizontal="right"/>
    </xf>
    <xf numFmtId="0" fontId="2" fillId="0" borderId="26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6" xfId="0" applyFont="1" applyBorder="1" applyProtection="1">
      <protection locked="0"/>
    </xf>
    <xf numFmtId="172" fontId="2" fillId="0" borderId="82" xfId="35" applyNumberFormat="1" applyFont="1" applyBorder="1" applyAlignment="1" applyProtection="1">
      <protection locked="0"/>
    </xf>
    <xf numFmtId="173" fontId="2" fillId="0" borderId="0" xfId="0" applyNumberFormat="1" applyFont="1" applyProtection="1">
      <protection locked="0"/>
    </xf>
    <xf numFmtId="172" fontId="2" fillId="0" borderId="83" xfId="35" applyNumberFormat="1" applyFont="1" applyBorder="1" applyAlignment="1" applyProtection="1">
      <protection locked="0"/>
    </xf>
    <xf numFmtId="0" fontId="2" fillId="0" borderId="34" xfId="0" applyFont="1" applyBorder="1" applyAlignment="1" applyProtection="1">
      <alignment horizontal="center"/>
      <protection locked="0"/>
    </xf>
    <xf numFmtId="3" fontId="68" fillId="0" borderId="0" xfId="0" applyNumberFormat="1" applyFont="1" applyAlignment="1" applyProtection="1">
      <alignment horizontal="justify" vertical="top" wrapText="1"/>
      <protection locked="0"/>
    </xf>
    <xf numFmtId="3" fontId="0" fillId="0" borderId="0" xfId="0" applyNumberFormat="1" applyProtection="1">
      <protection locked="0"/>
    </xf>
    <xf numFmtId="0" fontId="68" fillId="0" borderId="0" xfId="0" applyFont="1" applyAlignment="1" applyProtection="1">
      <alignment horizontal="justify" vertical="top" wrapText="1"/>
      <protection locked="0"/>
    </xf>
    <xf numFmtId="3" fontId="15" fillId="0" borderId="0" xfId="0" applyNumberFormat="1" applyFont="1" applyAlignment="1" applyProtection="1">
      <alignment horizontal="justify" vertical="top" wrapText="1"/>
      <protection locked="0"/>
    </xf>
    <xf numFmtId="0" fontId="15" fillId="0" borderId="0" xfId="0" applyFont="1" applyAlignment="1" applyProtection="1">
      <alignment horizontal="justify" vertical="top" wrapText="1"/>
      <protection locked="0"/>
    </xf>
    <xf numFmtId="3" fontId="18" fillId="0" borderId="0" xfId="0" applyNumberFormat="1" applyFont="1" applyAlignment="1" applyProtection="1">
      <alignment horizontal="center" vertical="top" wrapText="1"/>
      <protection locked="0"/>
    </xf>
    <xf numFmtId="3" fontId="2" fillId="0" borderId="0" xfId="0" applyNumberFormat="1" applyFont="1" applyProtection="1"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2" fontId="18" fillId="0" borderId="0" xfId="0" applyNumberFormat="1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horizontal="left"/>
      <protection locked="0"/>
    </xf>
    <xf numFmtId="3" fontId="18" fillId="0" borderId="0" xfId="0" applyNumberFormat="1" applyFont="1" applyAlignment="1" applyProtection="1">
      <alignment horizontal="justify" vertical="top" wrapText="1"/>
      <protection locked="0"/>
    </xf>
    <xf numFmtId="0" fontId="9" fillId="28" borderId="0" xfId="0" applyFont="1" applyFill="1" applyAlignment="1">
      <alignment horizontal="left"/>
    </xf>
    <xf numFmtId="0" fontId="9" fillId="28" borderId="0" xfId="0" applyFont="1" applyFill="1" applyAlignment="1">
      <alignment horizontal="center"/>
    </xf>
    <xf numFmtId="0" fontId="0" fillId="28" borderId="0" xfId="0" applyFill="1"/>
    <xf numFmtId="0" fontId="3" fillId="28" borderId="0" xfId="0" applyFont="1" applyFill="1" applyAlignment="1">
      <alignment horizontal="left"/>
    </xf>
    <xf numFmtId="0" fontId="0" fillId="28" borderId="0" xfId="0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Continuous" vertical="center" wrapText="1"/>
    </xf>
    <xf numFmtId="0" fontId="7" fillId="0" borderId="26" xfId="0" applyFont="1" applyBorder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4" fillId="0" borderId="26" xfId="0" applyFont="1" applyBorder="1" applyAlignment="1">
      <alignment horizontal="centerContinuous" vertical="center"/>
    </xf>
    <xf numFmtId="0" fontId="82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0" fillId="0" borderId="10" xfId="0" applyBorder="1" applyAlignment="1">
      <alignment horizontal="centerContinuous"/>
    </xf>
    <xf numFmtId="0" fontId="0" fillId="0" borderId="11" xfId="0" applyBorder="1" applyAlignment="1">
      <alignment horizontal="centerContinuous"/>
    </xf>
    <xf numFmtId="0" fontId="7" fillId="0" borderId="36" xfId="0" applyFont="1" applyBorder="1" applyAlignment="1">
      <alignment horizontal="left"/>
    </xf>
    <xf numFmtId="0" fontId="4" fillId="0" borderId="36" xfId="0" applyFont="1" applyBorder="1" applyAlignment="1">
      <alignment horizontal="centerContinuous"/>
    </xf>
    <xf numFmtId="0" fontId="4" fillId="0" borderId="36" xfId="0" applyFont="1" applyBorder="1" applyAlignment="1">
      <alignment horizontal="left"/>
    </xf>
    <xf numFmtId="0" fontId="3" fillId="26" borderId="0" xfId="0" applyFont="1" applyFill="1" applyAlignment="1">
      <alignment horizontal="right"/>
    </xf>
    <xf numFmtId="0" fontId="3" fillId="0" borderId="12" xfId="0" applyFont="1" applyBorder="1" applyAlignment="1">
      <alignment horizontal="center"/>
    </xf>
    <xf numFmtId="0" fontId="2" fillId="0" borderId="74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vertical="center" wrapText="1"/>
    </xf>
    <xf numFmtId="169" fontId="26" fillId="0" borderId="0" xfId="0" applyNumberFormat="1" applyFont="1" applyAlignment="1">
      <alignment vertical="center"/>
    </xf>
    <xf numFmtId="169" fontId="17" fillId="0" borderId="0" xfId="0" applyNumberFormat="1" applyFont="1" applyAlignment="1">
      <alignment vertical="center"/>
    </xf>
    <xf numFmtId="3" fontId="17" fillId="0" borderId="0" xfId="0" applyNumberFormat="1" applyFont="1" applyAlignment="1">
      <alignment vertical="center"/>
    </xf>
    <xf numFmtId="172" fontId="3" fillId="0" borderId="30" xfId="0" applyNumberFormat="1" applyFont="1" applyBorder="1" applyAlignment="1">
      <alignment horizontal="center" vertical="center"/>
    </xf>
    <xf numFmtId="0" fontId="77" fillId="24" borderId="0" xfId="65" applyFont="1" applyFill="1" applyAlignment="1">
      <alignment horizontal="centerContinuous" vertical="center"/>
    </xf>
    <xf numFmtId="172" fontId="2" fillId="0" borderId="13" xfId="0" applyNumberFormat="1" applyFont="1" applyBorder="1" applyAlignment="1" applyProtection="1">
      <alignment vertical="center"/>
      <protection locked="0"/>
    </xf>
    <xf numFmtId="172" fontId="2" fillId="0" borderId="58" xfId="0" quotePrefix="1" applyNumberFormat="1" applyFont="1" applyBorder="1" applyAlignment="1" applyProtection="1">
      <alignment vertical="center"/>
      <protection locked="0"/>
    </xf>
    <xf numFmtId="0" fontId="5" fillId="0" borderId="25" xfId="0" applyFont="1" applyBorder="1" applyAlignment="1">
      <alignment vertical="center"/>
    </xf>
    <xf numFmtId="0" fontId="17" fillId="0" borderId="32" xfId="0" applyFont="1" applyBorder="1" applyAlignment="1">
      <alignment vertical="center"/>
    </xf>
    <xf numFmtId="0" fontId="11" fillId="44" borderId="80" xfId="0" applyFont="1" applyFill="1" applyBorder="1" applyAlignment="1">
      <alignment horizontal="center" vertical="center" wrapText="1"/>
    </xf>
    <xf numFmtId="172" fontId="17" fillId="47" borderId="28" xfId="0" applyNumberFormat="1" applyFont="1" applyFill="1" applyBorder="1"/>
    <xf numFmtId="172" fontId="17" fillId="47" borderId="13" xfId="0" applyNumberFormat="1" applyFont="1" applyFill="1" applyBorder="1"/>
    <xf numFmtId="172" fontId="11" fillId="48" borderId="30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172" fontId="20" fillId="36" borderId="25" xfId="0" applyNumberFormat="1" applyFont="1" applyFill="1" applyBorder="1" applyAlignment="1">
      <alignment horizontal="center" vertical="center"/>
    </xf>
    <xf numFmtId="172" fontId="20" fillId="32" borderId="25" xfId="0" applyNumberFormat="1" applyFont="1" applyFill="1" applyBorder="1" applyAlignment="1">
      <alignment horizontal="center" vertical="center"/>
    </xf>
    <xf numFmtId="170" fontId="20" fillId="30" borderId="18" xfId="0" applyNumberFormat="1" applyFont="1" applyFill="1" applyBorder="1" applyAlignment="1">
      <alignment horizontal="centerContinuous" vertical="center"/>
    </xf>
    <xf numFmtId="172" fontId="2" fillId="0" borderId="0" xfId="0" applyNumberFormat="1" applyFont="1" applyAlignment="1" applyProtection="1">
      <alignment horizontal="center" vertical="center"/>
      <protection locked="0"/>
    </xf>
    <xf numFmtId="171" fontId="0" fillId="0" borderId="22" xfId="0" applyNumberFormat="1" applyBorder="1" applyProtection="1">
      <protection locked="0"/>
    </xf>
    <xf numFmtId="171" fontId="3" fillId="0" borderId="13" xfId="0" applyNumberFormat="1" applyFont="1" applyBorder="1" applyAlignment="1" applyProtection="1">
      <alignment horizontal="right"/>
      <protection locked="0"/>
    </xf>
    <xf numFmtId="171" fontId="3" fillId="0" borderId="13" xfId="0" applyNumberFormat="1" applyFont="1" applyBorder="1" applyAlignment="1" applyProtection="1">
      <alignment horizontal="center"/>
      <protection locked="0"/>
    </xf>
    <xf numFmtId="172" fontId="2" fillId="0" borderId="58" xfId="0" applyNumberFormat="1" applyFont="1" applyBorder="1" applyAlignment="1" applyProtection="1">
      <alignment vertical="center"/>
      <protection locked="0"/>
    </xf>
    <xf numFmtId="10" fontId="78" fillId="0" borderId="14" xfId="65" applyNumberFormat="1" applyFont="1" applyBorder="1" applyAlignment="1" applyProtection="1">
      <alignment horizontal="left"/>
      <protection locked="0"/>
    </xf>
    <xf numFmtId="0" fontId="78" fillId="55" borderId="14" xfId="65" applyFont="1" applyFill="1" applyBorder="1" applyAlignment="1" applyProtection="1">
      <alignment horizontal="left"/>
      <protection locked="0"/>
    </xf>
    <xf numFmtId="0" fontId="78" fillId="55" borderId="14" xfId="65" applyFont="1" applyFill="1" applyBorder="1" applyProtection="1">
      <protection locked="0"/>
    </xf>
    <xf numFmtId="178" fontId="78" fillId="0" borderId="14" xfId="65" applyNumberFormat="1" applyFont="1" applyBorder="1" applyAlignment="1" applyProtection="1">
      <alignment horizontal="left"/>
      <protection locked="0"/>
    </xf>
    <xf numFmtId="180" fontId="78" fillId="0" borderId="14" xfId="65" applyNumberFormat="1" applyFont="1" applyBorder="1" applyAlignment="1" applyProtection="1">
      <alignment vertical="center"/>
      <protection locked="0"/>
    </xf>
    <xf numFmtId="0" fontId="21" fillId="56" borderId="0" xfId="0" applyFont="1" applyFill="1"/>
    <xf numFmtId="172" fontId="21" fillId="56" borderId="0" xfId="0" applyNumberFormat="1" applyFont="1" applyFill="1" applyAlignment="1">
      <alignment vertical="center"/>
    </xf>
    <xf numFmtId="172" fontId="21" fillId="56" borderId="0" xfId="0" applyNumberFormat="1" applyFont="1" applyFill="1" applyAlignment="1">
      <alignment horizontal="center" vertical="center"/>
    </xf>
    <xf numFmtId="0" fontId="20" fillId="44" borderId="25" xfId="0" applyFont="1" applyFill="1" applyBorder="1" applyAlignment="1">
      <alignment horizontal="center" vertical="center" wrapText="1"/>
    </xf>
    <xf numFmtId="172" fontId="5" fillId="47" borderId="25" xfId="0" applyNumberFormat="1" applyFont="1" applyFill="1" applyBorder="1" applyAlignment="1">
      <alignment horizontal="right"/>
    </xf>
    <xf numFmtId="172" fontId="17" fillId="48" borderId="29" xfId="0" applyNumberFormat="1" applyFont="1" applyFill="1" applyBorder="1"/>
    <xf numFmtId="172" fontId="17" fillId="48" borderId="60" xfId="0" applyNumberFormat="1" applyFont="1" applyFill="1" applyBorder="1"/>
    <xf numFmtId="0" fontId="20" fillId="57" borderId="64" xfId="0" applyFont="1" applyFill="1" applyBorder="1" applyAlignment="1">
      <alignment horizontal="centerContinuous" vertical="center"/>
    </xf>
    <xf numFmtId="0" fontId="11" fillId="57" borderId="62" xfId="0" applyFont="1" applyFill="1" applyBorder="1" applyAlignment="1">
      <alignment horizontal="centerContinuous" vertical="center"/>
    </xf>
    <xf numFmtId="0" fontId="11" fillId="57" borderId="63" xfId="0" applyFont="1" applyFill="1" applyBorder="1" applyAlignment="1">
      <alignment horizontal="centerContinuous" vertical="center"/>
    </xf>
    <xf numFmtId="0" fontId="20" fillId="57" borderId="58" xfId="0" applyFont="1" applyFill="1" applyBorder="1" applyAlignment="1">
      <alignment horizontal="center" vertical="center" wrapText="1"/>
    </xf>
    <xf numFmtId="0" fontId="20" fillId="57" borderId="13" xfId="0" applyFont="1" applyFill="1" applyBorder="1" applyAlignment="1">
      <alignment horizontal="center" vertical="center" wrapText="1"/>
    </xf>
    <xf numFmtId="0" fontId="20" fillId="57" borderId="55" xfId="0" applyFont="1" applyFill="1" applyBorder="1" applyAlignment="1">
      <alignment horizontal="center" vertical="center" wrapText="1"/>
    </xf>
    <xf numFmtId="172" fontId="5" fillId="57" borderId="58" xfId="0" applyNumberFormat="1" applyFont="1" applyFill="1" applyBorder="1" applyAlignment="1">
      <alignment horizontal="right"/>
    </xf>
    <xf numFmtId="172" fontId="5" fillId="57" borderId="13" xfId="0" applyNumberFormat="1" applyFont="1" applyFill="1" applyBorder="1" applyAlignment="1">
      <alignment horizontal="right"/>
    </xf>
    <xf numFmtId="172" fontId="5" fillId="57" borderId="55" xfId="0" applyNumberFormat="1" applyFont="1" applyFill="1" applyBorder="1" applyAlignment="1">
      <alignment horizontal="right"/>
    </xf>
    <xf numFmtId="0" fontId="20" fillId="57" borderId="25" xfId="0" applyFont="1" applyFill="1" applyBorder="1" applyAlignment="1">
      <alignment horizontal="center" vertical="center" wrapText="1"/>
    </xf>
    <xf numFmtId="172" fontId="5" fillId="57" borderId="25" xfId="0" applyNumberFormat="1" applyFont="1" applyFill="1" applyBorder="1" applyAlignment="1">
      <alignment horizontal="right"/>
    </xf>
    <xf numFmtId="172" fontId="17" fillId="48" borderId="101" xfId="0" applyNumberFormat="1" applyFont="1" applyFill="1" applyBorder="1"/>
    <xf numFmtId="0" fontId="1" fillId="0" borderId="0" xfId="107"/>
    <xf numFmtId="0" fontId="3" fillId="0" borderId="73" xfId="0" applyFont="1" applyBorder="1" applyAlignment="1">
      <alignment horizontal="center" vertical="center" wrapText="1"/>
    </xf>
    <xf numFmtId="3" fontId="60" fillId="0" borderId="0" xfId="46" applyNumberFormat="1" applyFont="1"/>
    <xf numFmtId="0" fontId="4" fillId="0" borderId="0" xfId="0" applyFont="1" applyAlignment="1">
      <alignment horizontal="centerContinuous"/>
    </xf>
    <xf numFmtId="0" fontId="83" fillId="58" borderId="0" xfId="65" applyFont="1" applyFill="1" applyProtection="1">
      <protection locked="0"/>
    </xf>
    <xf numFmtId="0" fontId="80" fillId="54" borderId="0" xfId="65" applyFont="1" applyFill="1" applyAlignment="1">
      <alignment horizontal="centerContinuous" wrapText="1"/>
    </xf>
    <xf numFmtId="0" fontId="76" fillId="54" borderId="0" xfId="65" applyFont="1" applyFill="1" applyAlignment="1">
      <alignment horizontal="centerContinuous" wrapText="1"/>
    </xf>
    <xf numFmtId="0" fontId="3" fillId="0" borderId="25" xfId="0" applyFont="1" applyBorder="1" applyAlignment="1">
      <alignment vertical="center"/>
    </xf>
    <xf numFmtId="172" fontId="3" fillId="0" borderId="56" xfId="0" applyNumberFormat="1" applyFont="1" applyBorder="1" applyAlignment="1" applyProtection="1">
      <alignment horizontal="center" vertical="center"/>
      <protection locked="0"/>
    </xf>
    <xf numFmtId="0" fontId="2" fillId="33" borderId="13" xfId="0" applyFont="1" applyFill="1" applyBorder="1" applyAlignment="1">
      <alignment horizontal="center" vertical="center" wrapText="1"/>
    </xf>
    <xf numFmtId="172" fontId="2" fillId="0" borderId="77" xfId="41" applyNumberFormat="1" applyFill="1" applyBorder="1" applyProtection="1"/>
    <xf numFmtId="172" fontId="2" fillId="0" borderId="55" xfId="41" applyNumberFormat="1" applyFill="1" applyBorder="1" applyProtection="1"/>
    <xf numFmtId="0" fontId="84" fillId="0" borderId="81" xfId="0" applyFont="1" applyBorder="1" applyAlignment="1">
      <alignment horizontal="center" vertical="center"/>
    </xf>
    <xf numFmtId="3" fontId="0" fillId="0" borderId="55" xfId="0" applyNumberFormat="1" applyBorder="1" applyAlignment="1">
      <alignment horizontal="center" vertical="center"/>
    </xf>
    <xf numFmtId="172" fontId="2" fillId="0" borderId="35" xfId="41" applyNumberFormat="1" applyFill="1" applyBorder="1" applyProtection="1"/>
    <xf numFmtId="172" fontId="2" fillId="47" borderId="18" xfId="0" applyNumberFormat="1" applyFont="1" applyFill="1" applyBorder="1" applyAlignment="1">
      <alignment horizontal="right"/>
    </xf>
    <xf numFmtId="170" fontId="72" fillId="0" borderId="19" xfId="0" applyNumberFormat="1" applyFont="1" applyBorder="1" applyAlignment="1">
      <alignment horizontal="centerContinuous" vertical="center"/>
    </xf>
    <xf numFmtId="172" fontId="5" fillId="47" borderId="18" xfId="0" applyNumberFormat="1" applyFont="1" applyFill="1" applyBorder="1" applyAlignment="1">
      <alignment horizontal="right"/>
    </xf>
    <xf numFmtId="0" fontId="0" fillId="0" borderId="94" xfId="0" applyBorder="1"/>
    <xf numFmtId="0" fontId="0" fillId="0" borderId="22" xfId="0" applyBorder="1" applyAlignment="1">
      <alignment horizontal="center"/>
    </xf>
    <xf numFmtId="172" fontId="2" fillId="0" borderId="102" xfId="41" applyNumberFormat="1" applyFill="1" applyBorder="1" applyProtection="1"/>
    <xf numFmtId="0" fontId="13" fillId="57" borderId="33" xfId="0" applyFont="1" applyFill="1" applyBorder="1"/>
    <xf numFmtId="0" fontId="13" fillId="57" borderId="0" xfId="0" applyFont="1" applyFill="1" applyAlignment="1">
      <alignment horizontal="left"/>
    </xf>
    <xf numFmtId="0" fontId="3" fillId="57" borderId="0" xfId="0" applyFont="1" applyFill="1" applyAlignment="1">
      <alignment horizontal="left"/>
    </xf>
    <xf numFmtId="0" fontId="0" fillId="57" borderId="0" xfId="0" applyFill="1" applyAlignment="1">
      <alignment horizontal="left"/>
    </xf>
    <xf numFmtId="0" fontId="2" fillId="57" borderId="74" xfId="0" applyFont="1" applyFill="1" applyBorder="1" applyAlignment="1">
      <alignment horizontal="center" vertical="center" wrapText="1"/>
    </xf>
    <xf numFmtId="172" fontId="3" fillId="57" borderId="28" xfId="0" applyNumberFormat="1" applyFont="1" applyFill="1" applyBorder="1" applyAlignment="1">
      <alignment horizontal="center" vertical="center"/>
    </xf>
    <xf numFmtId="172" fontId="17" fillId="57" borderId="13" xfId="35" applyNumberFormat="1" applyFont="1" applyFill="1" applyBorder="1" applyAlignment="1" applyProtection="1">
      <alignment vertical="center"/>
    </xf>
    <xf numFmtId="172" fontId="3" fillId="57" borderId="61" xfId="0" applyNumberFormat="1" applyFont="1" applyFill="1" applyBorder="1" applyAlignment="1">
      <alignment horizontal="center" vertical="center"/>
    </xf>
    <xf numFmtId="0" fontId="34" fillId="57" borderId="0" xfId="0" applyFont="1" applyFill="1" applyAlignment="1">
      <alignment vertical="center"/>
    </xf>
    <xf numFmtId="0" fontId="36" fillId="57" borderId="0" xfId="0" applyFont="1" applyFill="1" applyAlignment="1">
      <alignment vertical="center"/>
    </xf>
    <xf numFmtId="0" fontId="11" fillId="57" borderId="0" xfId="0" applyFont="1" applyFill="1" applyAlignment="1">
      <alignment vertical="center"/>
    </xf>
    <xf numFmtId="0" fontId="17" fillId="57" borderId="0" xfId="0" applyFont="1" applyFill="1" applyAlignment="1">
      <alignment vertical="center"/>
    </xf>
    <xf numFmtId="0" fontId="21" fillId="57" borderId="25" xfId="0" applyFont="1" applyFill="1" applyBorder="1" applyAlignment="1">
      <alignment vertical="center"/>
    </xf>
    <xf numFmtId="0" fontId="21" fillId="57" borderId="17" xfId="0" applyFont="1" applyFill="1" applyBorder="1" applyAlignment="1">
      <alignment vertical="center"/>
    </xf>
    <xf numFmtId="0" fontId="20" fillId="57" borderId="17" xfId="0" applyFont="1" applyFill="1" applyBorder="1" applyAlignment="1">
      <alignment horizontal="centerContinuous" vertical="center"/>
    </xf>
    <xf numFmtId="3" fontId="21" fillId="57" borderId="17" xfId="0" applyNumberFormat="1" applyFont="1" applyFill="1" applyBorder="1" applyAlignment="1">
      <alignment horizontal="centerContinuous" vertical="center"/>
    </xf>
    <xf numFmtId="3" fontId="21" fillId="57" borderId="18" xfId="0" applyNumberFormat="1" applyFont="1" applyFill="1" applyBorder="1" applyAlignment="1">
      <alignment horizontal="centerContinuous" vertical="center"/>
    </xf>
    <xf numFmtId="0" fontId="21" fillId="57" borderId="17" xfId="0" applyFont="1" applyFill="1" applyBorder="1" applyAlignment="1">
      <alignment horizontal="right" vertical="center"/>
    </xf>
    <xf numFmtId="0" fontId="21" fillId="57" borderId="13" xfId="0" applyFont="1" applyFill="1" applyBorder="1" applyAlignment="1">
      <alignment vertical="center"/>
    </xf>
    <xf numFmtId="0" fontId="62" fillId="57" borderId="21" xfId="0" applyFont="1" applyFill="1" applyBorder="1" applyAlignment="1">
      <alignment horizontal="right" vertical="center"/>
    </xf>
    <xf numFmtId="169" fontId="20" fillId="57" borderId="20" xfId="0" applyNumberFormat="1" applyFont="1" applyFill="1" applyBorder="1" applyAlignment="1">
      <alignment vertical="center"/>
    </xf>
    <xf numFmtId="3" fontId="20" fillId="57" borderId="25" xfId="0" applyNumberFormat="1" applyFont="1" applyFill="1" applyBorder="1" applyAlignment="1">
      <alignment vertical="center"/>
    </xf>
    <xf numFmtId="3" fontId="20" fillId="57" borderId="17" xfId="0" applyNumberFormat="1" applyFont="1" applyFill="1" applyBorder="1" applyAlignment="1">
      <alignment vertical="center"/>
    </xf>
    <xf numFmtId="3" fontId="20" fillId="57" borderId="18" xfId="0" applyNumberFormat="1" applyFont="1" applyFill="1" applyBorder="1" applyAlignment="1">
      <alignment vertical="center"/>
    </xf>
    <xf numFmtId="169" fontId="21" fillId="57" borderId="13" xfId="0" applyNumberFormat="1" applyFont="1" applyFill="1" applyBorder="1" applyAlignment="1">
      <alignment vertical="center"/>
    </xf>
    <xf numFmtId="0" fontId="20" fillId="57" borderId="25" xfId="0" applyFont="1" applyFill="1" applyBorder="1" applyAlignment="1">
      <alignment vertical="center"/>
    </xf>
    <xf numFmtId="0" fontId="20" fillId="57" borderId="17" xfId="0" applyFont="1" applyFill="1" applyBorder="1" applyAlignment="1">
      <alignment vertical="center"/>
    </xf>
    <xf numFmtId="169" fontId="20" fillId="57" borderId="13" xfId="0" applyNumberFormat="1" applyFont="1" applyFill="1" applyBorder="1" applyAlignment="1">
      <alignment vertical="center"/>
    </xf>
    <xf numFmtId="0" fontId="20" fillId="57" borderId="58" xfId="0" applyFont="1" applyFill="1" applyBorder="1" applyAlignment="1">
      <alignment horizontal="center" vertical="top" wrapText="1"/>
    </xf>
    <xf numFmtId="172" fontId="21" fillId="57" borderId="58" xfId="0" applyNumberFormat="1" applyFont="1" applyFill="1" applyBorder="1" applyAlignment="1">
      <alignment horizontal="center" vertical="center"/>
    </xf>
    <xf numFmtId="172" fontId="20" fillId="57" borderId="58" xfId="35" applyNumberFormat="1" applyFont="1" applyFill="1" applyBorder="1" applyAlignment="1" applyProtection="1">
      <alignment horizontal="center" vertical="center"/>
    </xf>
    <xf numFmtId="0" fontId="20" fillId="57" borderId="18" xfId="0" applyFont="1" applyFill="1" applyBorder="1" applyAlignment="1">
      <alignment horizontal="center" vertical="top" wrapText="1"/>
    </xf>
    <xf numFmtId="0" fontId="20" fillId="57" borderId="25" xfId="0" applyFont="1" applyFill="1" applyBorder="1" applyAlignment="1">
      <alignment horizontal="centerContinuous" vertical="center"/>
    </xf>
    <xf numFmtId="0" fontId="20" fillId="57" borderId="18" xfId="0" applyFont="1" applyFill="1" applyBorder="1" applyAlignment="1">
      <alignment horizontal="centerContinuous" vertical="center"/>
    </xf>
    <xf numFmtId="0" fontId="21" fillId="57" borderId="13" xfId="0" applyFont="1" applyFill="1" applyBorder="1" applyAlignment="1">
      <alignment horizontal="center" vertical="center"/>
    </xf>
    <xf numFmtId="0" fontId="19" fillId="57" borderId="0" xfId="0" applyFont="1" applyFill="1"/>
    <xf numFmtId="0" fontId="33" fillId="57" borderId="0" xfId="0" applyFont="1" applyFill="1"/>
    <xf numFmtId="0" fontId="19" fillId="57" borderId="0" xfId="0" applyFont="1" applyFill="1" applyAlignment="1">
      <alignment vertical="center"/>
    </xf>
    <xf numFmtId="0" fontId="5" fillId="57" borderId="40" xfId="0" applyFont="1" applyFill="1" applyBorder="1" applyAlignment="1">
      <alignment horizontal="center" vertical="center" wrapText="1"/>
    </xf>
    <xf numFmtId="0" fontId="5" fillId="57" borderId="40" xfId="0" applyFont="1" applyFill="1" applyBorder="1" applyAlignment="1">
      <alignment horizontal="center"/>
    </xf>
    <xf numFmtId="172" fontId="5" fillId="57" borderId="40" xfId="0" quotePrefix="1" applyNumberFormat="1" applyFont="1" applyFill="1" applyBorder="1" applyAlignment="1">
      <alignment horizontal="center"/>
    </xf>
    <xf numFmtId="172" fontId="11" fillId="57" borderId="68" xfId="0" applyNumberFormat="1" applyFont="1" applyFill="1" applyBorder="1" applyAlignment="1">
      <alignment horizontal="center"/>
    </xf>
    <xf numFmtId="0" fontId="34" fillId="57" borderId="33" xfId="0" applyFont="1" applyFill="1" applyBorder="1"/>
    <xf numFmtId="0" fontId="11" fillId="57" borderId="33" xfId="0" applyFont="1" applyFill="1" applyBorder="1"/>
    <xf numFmtId="170" fontId="32" fillId="57" borderId="0" xfId="0" applyNumberFormat="1" applyFont="1" applyFill="1"/>
    <xf numFmtId="170" fontId="35" fillId="57" borderId="0" xfId="0" applyNumberFormat="1" applyFont="1" applyFill="1"/>
    <xf numFmtId="170" fontId="20" fillId="57" borderId="25" xfId="0" applyNumberFormat="1" applyFont="1" applyFill="1" applyBorder="1" applyAlignment="1">
      <alignment horizontal="centerContinuous" vertical="center"/>
    </xf>
    <xf numFmtId="170" fontId="20" fillId="57" borderId="17" xfId="0" applyNumberFormat="1" applyFont="1" applyFill="1" applyBorder="1" applyAlignment="1">
      <alignment horizontal="centerContinuous" vertical="center"/>
    </xf>
    <xf numFmtId="170" fontId="20" fillId="57" borderId="20" xfId="0" applyNumberFormat="1" applyFont="1" applyFill="1" applyBorder="1" applyAlignment="1">
      <alignment horizontal="centerContinuous" vertical="center"/>
    </xf>
    <xf numFmtId="170" fontId="20" fillId="57" borderId="22" xfId="0" applyNumberFormat="1" applyFont="1" applyFill="1" applyBorder="1" applyAlignment="1">
      <alignment horizontal="centerContinuous" vertical="center"/>
    </xf>
    <xf numFmtId="170" fontId="21" fillId="57" borderId="13" xfId="0" applyNumberFormat="1" applyFont="1" applyFill="1" applyBorder="1" applyAlignment="1">
      <alignment horizontal="center" vertical="center"/>
    </xf>
    <xf numFmtId="170" fontId="21" fillId="57" borderId="13" xfId="0" applyNumberFormat="1" applyFont="1" applyFill="1" applyBorder="1" applyAlignment="1">
      <alignment horizontal="center" vertical="center" wrapText="1"/>
    </xf>
    <xf numFmtId="0" fontId="21" fillId="57" borderId="13" xfId="0" applyFont="1" applyFill="1" applyBorder="1" applyAlignment="1">
      <alignment horizontal="center" wrapText="1"/>
    </xf>
    <xf numFmtId="0" fontId="21" fillId="57" borderId="20" xfId="0" applyFont="1" applyFill="1" applyBorder="1"/>
    <xf numFmtId="0" fontId="5" fillId="57" borderId="0" xfId="0" applyFont="1" applyFill="1"/>
    <xf numFmtId="0" fontId="7" fillId="57" borderId="0" xfId="0" applyFont="1" applyFill="1"/>
    <xf numFmtId="0" fontId="12" fillId="57" borderId="0" xfId="0" applyFont="1" applyFill="1"/>
    <xf numFmtId="0" fontId="32" fillId="57" borderId="0" xfId="0" applyFont="1" applyFill="1"/>
    <xf numFmtId="0" fontId="0" fillId="57" borderId="0" xfId="0" applyFill="1"/>
    <xf numFmtId="3" fontId="59" fillId="57" borderId="0" xfId="46" applyNumberFormat="1" applyFont="1" applyFill="1" applyAlignment="1">
      <alignment vertical="center"/>
    </xf>
    <xf numFmtId="0" fontId="11" fillId="57" borderId="0" xfId="0" applyFont="1" applyFill="1" applyAlignment="1">
      <alignment horizontal="right" vertical="center"/>
    </xf>
    <xf numFmtId="3" fontId="57" fillId="0" borderId="13" xfId="46" applyNumberFormat="1" applyFont="1" applyBorder="1" applyAlignment="1">
      <alignment vertical="center" wrapText="1"/>
    </xf>
    <xf numFmtId="3" fontId="57" fillId="0" borderId="0" xfId="46" applyNumberFormat="1" applyFont="1"/>
    <xf numFmtId="0" fontId="29" fillId="59" borderId="25" xfId="0" applyFont="1" applyFill="1" applyBorder="1" applyAlignment="1">
      <alignment vertical="center" wrapText="1"/>
    </xf>
    <xf numFmtId="0" fontId="29" fillId="59" borderId="39" xfId="0" applyFont="1" applyFill="1" applyBorder="1" applyAlignment="1">
      <alignment vertical="center" wrapText="1"/>
    </xf>
    <xf numFmtId="0" fontId="29" fillId="59" borderId="13" xfId="0" applyFont="1" applyFill="1" applyBorder="1" applyAlignment="1">
      <alignment vertical="center" wrapText="1"/>
    </xf>
    <xf numFmtId="0" fontId="0" fillId="0" borderId="90" xfId="0" applyBorder="1"/>
    <xf numFmtId="0" fontId="0" fillId="0" borderId="99" xfId="0" applyBorder="1"/>
    <xf numFmtId="0" fontId="3" fillId="30" borderId="64" xfId="0" applyFont="1" applyFill="1" applyBorder="1"/>
    <xf numFmtId="0" fontId="0" fillId="0" borderId="62" xfId="0" applyBorder="1"/>
    <xf numFmtId="0" fontId="5" fillId="0" borderId="85" xfId="0" applyFont="1" applyBorder="1"/>
    <xf numFmtId="0" fontId="0" fillId="0" borderId="17" xfId="0" applyBorder="1"/>
    <xf numFmtId="0" fontId="0" fillId="0" borderId="85" xfId="0" applyBorder="1"/>
    <xf numFmtId="0" fontId="0" fillId="0" borderId="85" xfId="0" applyBorder="1" applyAlignment="1">
      <alignment horizontal="left"/>
    </xf>
    <xf numFmtId="0" fontId="0" fillId="0" borderId="18" xfId="0" applyBorder="1" applyAlignment="1">
      <alignment horizontal="left"/>
    </xf>
    <xf numFmtId="0" fontId="2" fillId="0" borderId="85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33" borderId="0" xfId="0" applyFill="1" applyAlignment="1">
      <alignment horizontal="left"/>
    </xf>
    <xf numFmtId="0" fontId="0" fillId="0" borderId="85" xfId="0" applyBorder="1" applyAlignment="1">
      <alignment horizontal="left" vertical="center" wrapText="1"/>
    </xf>
    <xf numFmtId="0" fontId="0" fillId="0" borderId="90" xfId="0" applyBorder="1" applyAlignment="1">
      <alignment horizontal="left"/>
    </xf>
    <xf numFmtId="0" fontId="0" fillId="0" borderId="66" xfId="0" applyBorder="1" applyAlignment="1">
      <alignment horizontal="left"/>
    </xf>
    <xf numFmtId="0" fontId="5" fillId="0" borderId="85" xfId="0" applyFont="1" applyBorder="1" applyAlignment="1">
      <alignment horizontal="left"/>
    </xf>
    <xf numFmtId="0" fontId="2" fillId="0" borderId="85" xfId="0" applyFont="1" applyBorder="1" applyAlignment="1">
      <alignment horizontal="left"/>
    </xf>
    <xf numFmtId="0" fontId="25" fillId="0" borderId="36" xfId="0" applyFont="1" applyBorder="1" applyAlignment="1">
      <alignment vertical="center"/>
    </xf>
    <xf numFmtId="0" fontId="65" fillId="0" borderId="36" xfId="0" applyFont="1" applyBorder="1" applyAlignment="1">
      <alignment vertical="center"/>
    </xf>
    <xf numFmtId="0" fontId="20" fillId="44" borderId="81" xfId="0" applyFont="1" applyFill="1" applyBorder="1" applyAlignment="1">
      <alignment horizontal="center" vertical="center" wrapText="1"/>
    </xf>
    <xf numFmtId="0" fontId="20" fillId="44" borderId="93" xfId="0" applyFont="1" applyFill="1" applyBorder="1" applyAlignment="1">
      <alignment horizontal="center" vertical="center" wrapText="1"/>
    </xf>
    <xf numFmtId="0" fontId="3" fillId="44" borderId="74" xfId="0" applyFont="1" applyFill="1" applyBorder="1" applyAlignment="1">
      <alignment horizontal="center" vertical="center" wrapText="1"/>
    </xf>
    <xf numFmtId="0" fontId="3" fillId="44" borderId="22" xfId="0" applyFont="1" applyFill="1" applyBorder="1" applyAlignment="1">
      <alignment horizontal="center" vertical="center" wrapText="1"/>
    </xf>
    <xf numFmtId="0" fontId="62" fillId="44" borderId="73" xfId="0" applyFont="1" applyFill="1" applyBorder="1" applyAlignment="1">
      <alignment horizontal="center" vertical="center" wrapText="1"/>
    </xf>
    <xf numFmtId="0" fontId="62" fillId="44" borderId="94" xfId="0" applyFont="1" applyFill="1" applyBorder="1" applyAlignment="1">
      <alignment horizontal="center" vertical="center" wrapText="1"/>
    </xf>
    <xf numFmtId="0" fontId="62" fillId="44" borderId="74" xfId="0" applyFont="1" applyFill="1" applyBorder="1" applyAlignment="1">
      <alignment horizontal="center" vertical="center" wrapText="1"/>
    </xf>
    <xf numFmtId="0" fontId="62" fillId="44" borderId="22" xfId="0" applyFont="1" applyFill="1" applyBorder="1" applyAlignment="1">
      <alignment horizontal="center" vertical="center" wrapText="1"/>
    </xf>
    <xf numFmtId="0" fontId="3" fillId="49" borderId="12" xfId="0" applyFont="1" applyFill="1" applyBorder="1" applyAlignment="1">
      <alignment horizontal="center" vertical="center" wrapText="1"/>
    </xf>
    <xf numFmtId="0" fontId="3" fillId="49" borderId="16" xfId="0" applyFont="1" applyFill="1" applyBorder="1" applyAlignment="1">
      <alignment horizontal="center" vertical="center" wrapText="1"/>
    </xf>
    <xf numFmtId="0" fontId="3" fillId="49" borderId="95" xfId="0" applyFont="1" applyFill="1" applyBorder="1" applyAlignment="1">
      <alignment horizontal="center" vertical="center" wrapText="1"/>
    </xf>
    <xf numFmtId="0" fontId="3" fillId="49" borderId="96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9" fillId="36" borderId="97" xfId="0" applyFont="1" applyFill="1" applyBorder="1" applyAlignment="1">
      <alignment horizontal="center" vertical="center" wrapText="1"/>
    </xf>
    <xf numFmtId="0" fontId="19" fillId="36" borderId="98" xfId="0" applyFont="1" applyFill="1" applyBorder="1" applyAlignment="1">
      <alignment horizontal="center" vertical="center" wrapText="1"/>
    </xf>
    <xf numFmtId="0" fontId="19" fillId="36" borderId="54" xfId="0" applyFont="1" applyFill="1" applyBorder="1" applyAlignment="1">
      <alignment horizontal="center" vertical="center" wrapText="1"/>
    </xf>
    <xf numFmtId="0" fontId="19" fillId="36" borderId="41" xfId="0" applyFont="1" applyFill="1" applyBorder="1" applyAlignment="1">
      <alignment horizontal="center" vertical="center" wrapText="1"/>
    </xf>
    <xf numFmtId="170" fontId="20" fillId="57" borderId="20" xfId="0" applyNumberFormat="1" applyFont="1" applyFill="1" applyBorder="1" applyAlignment="1">
      <alignment horizontal="center" vertical="center" wrapText="1"/>
    </xf>
    <xf numFmtId="170" fontId="20" fillId="57" borderId="22" xfId="0" applyNumberFormat="1" applyFont="1" applyFill="1" applyBorder="1" applyAlignment="1">
      <alignment horizontal="center" vertical="center" wrapText="1"/>
    </xf>
    <xf numFmtId="170" fontId="20" fillId="57" borderId="20" xfId="0" applyNumberFormat="1" applyFont="1" applyFill="1" applyBorder="1" applyAlignment="1">
      <alignment horizontal="center" vertical="center"/>
    </xf>
    <xf numFmtId="170" fontId="20" fillId="57" borderId="22" xfId="0" applyNumberFormat="1" applyFont="1" applyFill="1" applyBorder="1" applyAlignment="1">
      <alignment horizontal="center" vertical="center"/>
    </xf>
    <xf numFmtId="3" fontId="3" fillId="49" borderId="20" xfId="0" applyNumberFormat="1" applyFont="1" applyFill="1" applyBorder="1" applyAlignment="1">
      <alignment horizontal="center" vertical="center" wrapText="1"/>
    </xf>
    <xf numFmtId="3" fontId="3" fillId="49" borderId="22" xfId="0" applyNumberFormat="1" applyFont="1" applyFill="1" applyBorder="1" applyAlignment="1">
      <alignment horizontal="center" vertical="center" wrapText="1"/>
    </xf>
    <xf numFmtId="3" fontId="3" fillId="49" borderId="20" xfId="0" applyNumberFormat="1" applyFont="1" applyFill="1" applyBorder="1" applyAlignment="1">
      <alignment horizontal="center" vertical="center"/>
    </xf>
    <xf numFmtId="3" fontId="3" fillId="49" borderId="22" xfId="0" applyNumberFormat="1" applyFont="1" applyFill="1" applyBorder="1" applyAlignment="1">
      <alignment horizontal="center" vertical="center"/>
    </xf>
  </cellXfs>
  <cellStyles count="108">
    <cellStyle name="20 % - Accent1" xfId="1" builtinId="30" customBuiltin="1"/>
    <cellStyle name="20 % - Accent1 2" xfId="66" xr:uid="{00000000-0005-0000-0000-000001000000}"/>
    <cellStyle name="20 % - Accent2" xfId="2" builtinId="34" customBuiltin="1"/>
    <cellStyle name="20 % - Accent2 2" xfId="67" xr:uid="{00000000-0005-0000-0000-000003000000}"/>
    <cellStyle name="20 % - Accent3" xfId="3" builtinId="38" customBuiltin="1"/>
    <cellStyle name="20 % - Accent3 2" xfId="68" xr:uid="{00000000-0005-0000-0000-000005000000}"/>
    <cellStyle name="20 % - Accent4" xfId="4" builtinId="42" customBuiltin="1"/>
    <cellStyle name="20 % - Accent4 2" xfId="69" xr:uid="{00000000-0005-0000-0000-000007000000}"/>
    <cellStyle name="20 % - Accent5" xfId="5" builtinId="46" customBuiltin="1"/>
    <cellStyle name="20 % - Accent5 2" xfId="70" xr:uid="{00000000-0005-0000-0000-000009000000}"/>
    <cellStyle name="20 % - Accent6" xfId="6" builtinId="50" customBuiltin="1"/>
    <cellStyle name="20 % - Accent6 2" xfId="71" xr:uid="{00000000-0005-0000-0000-00000B000000}"/>
    <cellStyle name="40 % - Accent1" xfId="7" builtinId="31" customBuiltin="1"/>
    <cellStyle name="40 % - Accent1 2" xfId="72" xr:uid="{00000000-0005-0000-0000-00000D000000}"/>
    <cellStyle name="40 % - Accent2" xfId="8" builtinId="35" customBuiltin="1"/>
    <cellStyle name="40 % - Accent2 2" xfId="73" xr:uid="{00000000-0005-0000-0000-00000F000000}"/>
    <cellStyle name="40 % - Accent3" xfId="9" builtinId="39" customBuiltin="1"/>
    <cellStyle name="40 % - Accent3 2" xfId="74" xr:uid="{00000000-0005-0000-0000-000011000000}"/>
    <cellStyle name="40 % - Accent4" xfId="10" builtinId="43" customBuiltin="1"/>
    <cellStyle name="40 % - Accent4 2" xfId="75" xr:uid="{00000000-0005-0000-0000-000013000000}"/>
    <cellStyle name="40 % - Accent5" xfId="11" builtinId="47" customBuiltin="1"/>
    <cellStyle name="40 % - Accent5 2" xfId="76" xr:uid="{00000000-0005-0000-0000-000015000000}"/>
    <cellStyle name="40 % - Accent6" xfId="12" builtinId="51" customBuiltin="1"/>
    <cellStyle name="40 % - Accent6 2" xfId="77" xr:uid="{00000000-0005-0000-0000-000017000000}"/>
    <cellStyle name="60 % - Accent1" xfId="13" builtinId="32" customBuiltin="1"/>
    <cellStyle name="60 % - Accent1 2" xfId="78" xr:uid="{00000000-0005-0000-0000-000019000000}"/>
    <cellStyle name="60 % - Accent2" xfId="14" builtinId="36" customBuiltin="1"/>
    <cellStyle name="60 % - Accent2 2" xfId="79" xr:uid="{00000000-0005-0000-0000-00001B000000}"/>
    <cellStyle name="60 % - Accent3" xfId="15" builtinId="40" customBuiltin="1"/>
    <cellStyle name="60 % - Accent3 2" xfId="80" xr:uid="{00000000-0005-0000-0000-00001D000000}"/>
    <cellStyle name="60 % - Accent4" xfId="16" builtinId="44" customBuiltin="1"/>
    <cellStyle name="60 % - Accent4 2" xfId="81" xr:uid="{00000000-0005-0000-0000-00001F000000}"/>
    <cellStyle name="60 % - Accent5" xfId="17" builtinId="48" customBuiltin="1"/>
    <cellStyle name="60 % - Accent5 2" xfId="82" xr:uid="{00000000-0005-0000-0000-000021000000}"/>
    <cellStyle name="60 % - Accent6" xfId="18" builtinId="52" customBuiltin="1"/>
    <cellStyle name="60 % - Accent6 2" xfId="83" xr:uid="{00000000-0005-0000-0000-000023000000}"/>
    <cellStyle name="Accent1" xfId="19" builtinId="29" customBuiltin="1"/>
    <cellStyle name="Accent1 2" xfId="84" xr:uid="{00000000-0005-0000-0000-000025000000}"/>
    <cellStyle name="Accent2" xfId="20" builtinId="33" customBuiltin="1"/>
    <cellStyle name="Accent2 2" xfId="85" xr:uid="{00000000-0005-0000-0000-000027000000}"/>
    <cellStyle name="Accent3" xfId="21" builtinId="37" customBuiltin="1"/>
    <cellStyle name="Accent3 2" xfId="86" xr:uid="{00000000-0005-0000-0000-000029000000}"/>
    <cellStyle name="Accent4" xfId="22" builtinId="41" customBuiltin="1"/>
    <cellStyle name="Accent4 2" xfId="87" xr:uid="{00000000-0005-0000-0000-00002B000000}"/>
    <cellStyle name="Accent5" xfId="23" builtinId="45" customBuiltin="1"/>
    <cellStyle name="Accent5 2" xfId="88" xr:uid="{00000000-0005-0000-0000-00002D000000}"/>
    <cellStyle name="Accent6" xfId="24" builtinId="49" customBuiltin="1"/>
    <cellStyle name="Accent6 2" xfId="89" xr:uid="{00000000-0005-0000-0000-00002F000000}"/>
    <cellStyle name="Avertissement" xfId="64" builtinId="11" customBuiltin="1"/>
    <cellStyle name="Avertissement 2" xfId="90" xr:uid="{00000000-0005-0000-0000-000031000000}"/>
    <cellStyle name="Bad" xfId="33" xr:uid="{00000000-0005-0000-0000-000032000000}"/>
    <cellStyle name="Calcul" xfId="25" builtinId="22" customBuiltin="1"/>
    <cellStyle name="Calcul 2" xfId="91" xr:uid="{00000000-0005-0000-0000-000034000000}"/>
    <cellStyle name="Cellule liée" xfId="34" builtinId="24" customBuiltin="1"/>
    <cellStyle name="Cellule liée 2" xfId="92" xr:uid="{00000000-0005-0000-0000-000036000000}"/>
    <cellStyle name="Check Cell" xfId="63" xr:uid="{00000000-0005-0000-0000-000037000000}"/>
    <cellStyle name="Commentaire" xfId="47" builtinId="10" customBuiltin="1"/>
    <cellStyle name="Commentaire 2" xfId="26" xr:uid="{00000000-0005-0000-0000-000039000000}"/>
    <cellStyle name="Commentaire 3" xfId="27" xr:uid="{00000000-0005-0000-0000-00003A000000}"/>
    <cellStyle name="Commentaire 4" xfId="28" xr:uid="{00000000-0005-0000-0000-00003B000000}"/>
    <cellStyle name="Commentaire 5" xfId="29" xr:uid="{00000000-0005-0000-0000-00003C000000}"/>
    <cellStyle name="Commentaire 6" xfId="30" xr:uid="{00000000-0005-0000-0000-00003D000000}"/>
    <cellStyle name="Entrée" xfId="32" builtinId="20" customBuiltin="1"/>
    <cellStyle name="Entrée 2" xfId="93" xr:uid="{00000000-0005-0000-0000-00003F000000}"/>
    <cellStyle name="Euro" xfId="31" xr:uid="{00000000-0005-0000-0000-000040000000}"/>
    <cellStyle name="Explanatory Text" xfId="56" xr:uid="{00000000-0005-0000-0000-000041000000}"/>
    <cellStyle name="Good" xfId="54" xr:uid="{00000000-0005-0000-0000-000042000000}"/>
    <cellStyle name="Heading 1" xfId="58" xr:uid="{00000000-0005-0000-0000-000043000000}"/>
    <cellStyle name="Heading 2" xfId="59" xr:uid="{00000000-0005-0000-0000-000044000000}"/>
    <cellStyle name="Heading 3" xfId="60" xr:uid="{00000000-0005-0000-0000-000045000000}"/>
    <cellStyle name="Heading 4" xfId="61" xr:uid="{00000000-0005-0000-0000-000046000000}"/>
    <cellStyle name="Insatisfaisant 2" xfId="94" xr:uid="{00000000-0005-0000-0000-000047000000}"/>
    <cellStyle name="Milliers" xfId="35" builtinId="3"/>
    <cellStyle name="Milliers 2" xfId="36" xr:uid="{00000000-0005-0000-0000-000049000000}"/>
    <cellStyle name="Milliers 3" xfId="37" xr:uid="{00000000-0005-0000-0000-00004A000000}"/>
    <cellStyle name="Milliers 4" xfId="38" xr:uid="{00000000-0005-0000-0000-00004B000000}"/>
    <cellStyle name="Milliers 5" xfId="39" xr:uid="{00000000-0005-0000-0000-00004C000000}"/>
    <cellStyle name="Milliers 6" xfId="40" xr:uid="{00000000-0005-0000-0000-00004D000000}"/>
    <cellStyle name="Milliers_MAD Measles MICROPLAN SSD" xfId="41" xr:uid="{00000000-0005-0000-0000-00004E000000}"/>
    <cellStyle name="Monétaire 2" xfId="95" xr:uid="{00000000-0005-0000-0000-00004F000000}"/>
    <cellStyle name="Neutral" xfId="42" xr:uid="{00000000-0005-0000-0000-000050000000}"/>
    <cellStyle name="Neutre 2" xfId="96" xr:uid="{00000000-0005-0000-0000-000051000000}"/>
    <cellStyle name="Normal" xfId="0" builtinId="0"/>
    <cellStyle name="Normal 2" xfId="43" xr:uid="{00000000-0005-0000-0000-000053000000}"/>
    <cellStyle name="Normal 2 2" xfId="44" xr:uid="{00000000-0005-0000-0000-000054000000}"/>
    <cellStyle name="Normal 2 3" xfId="65" xr:uid="{00000000-0005-0000-0000-000055000000}"/>
    <cellStyle name="Normal 3" xfId="45" xr:uid="{00000000-0005-0000-0000-000056000000}"/>
    <cellStyle name="Normal 4" xfId="107" xr:uid="{00000000-0005-0000-0000-000057000000}"/>
    <cellStyle name="Normal_MICROPLANIFICATION COMMUNICTION MenAfriVac 2012" xfId="46" xr:uid="{00000000-0005-0000-0000-000058000000}"/>
    <cellStyle name="Output" xfId="55" xr:uid="{00000000-0005-0000-0000-000059000000}"/>
    <cellStyle name="Pourcentage" xfId="48" builtinId="5"/>
    <cellStyle name="Pourcentage 2" xfId="49" xr:uid="{00000000-0005-0000-0000-00005B000000}"/>
    <cellStyle name="Pourcentage 3" xfId="50" xr:uid="{00000000-0005-0000-0000-00005C000000}"/>
    <cellStyle name="Pourcentage 4" xfId="51" xr:uid="{00000000-0005-0000-0000-00005D000000}"/>
    <cellStyle name="Pourcentage 5" xfId="52" xr:uid="{00000000-0005-0000-0000-00005E000000}"/>
    <cellStyle name="Pourcentage 6" xfId="53" xr:uid="{00000000-0005-0000-0000-00005F000000}"/>
    <cellStyle name="Satisfaisant 2" xfId="97" xr:uid="{00000000-0005-0000-0000-000060000000}"/>
    <cellStyle name="Sortie 2" xfId="98" xr:uid="{00000000-0005-0000-0000-000061000000}"/>
    <cellStyle name="Texte explicatif 2" xfId="99" xr:uid="{00000000-0005-0000-0000-000062000000}"/>
    <cellStyle name="Title" xfId="57" xr:uid="{00000000-0005-0000-0000-000063000000}"/>
    <cellStyle name="Titre 2" xfId="100" xr:uid="{00000000-0005-0000-0000-000064000000}"/>
    <cellStyle name="Titre 1 2" xfId="101" xr:uid="{00000000-0005-0000-0000-000065000000}"/>
    <cellStyle name="Titre 2 2" xfId="102" xr:uid="{00000000-0005-0000-0000-000066000000}"/>
    <cellStyle name="Titre 3 2" xfId="103" xr:uid="{00000000-0005-0000-0000-000067000000}"/>
    <cellStyle name="Titre 4 2" xfId="104" xr:uid="{00000000-0005-0000-0000-000068000000}"/>
    <cellStyle name="Total" xfId="62" builtinId="25" customBuiltin="1"/>
    <cellStyle name="Total 2" xfId="105" xr:uid="{00000000-0005-0000-0000-00006A000000}"/>
    <cellStyle name="Vérification 2" xfId="106" xr:uid="{00000000-0005-0000-0000-00006B000000}"/>
  </cellStyles>
  <dxfs count="6"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  <dxf>
      <fill>
        <patternFill>
          <bgColor indexed="9"/>
        </patternFill>
      </fill>
    </dxf>
  </dxfs>
  <tableStyles count="0" defaultTableStyle="TableStyleMedium2" defaultPivotStyle="PivotStyleLight16"/>
  <colors>
    <mruColors>
      <color rgb="FFCCFFFF"/>
      <color rgb="FFC0C0C0"/>
      <color rgb="FF66FF66"/>
      <color rgb="FFFFFF99"/>
      <color rgb="FFCCFFCC"/>
      <color rgb="FF99FF33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worksheet" Target="worksheets/sheet18.xml" /><Relationship Id="rId3" Type="http://schemas.openxmlformats.org/officeDocument/2006/relationships/worksheet" Target="worksheets/sheet3.xml" /><Relationship Id="rId21" Type="http://schemas.openxmlformats.org/officeDocument/2006/relationships/theme" Target="theme/theme1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worksheet" Target="worksheets/sheet17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24" Type="http://schemas.openxmlformats.org/officeDocument/2006/relationships/calcChain" Target="calcChain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23" Type="http://schemas.openxmlformats.org/officeDocument/2006/relationships/sharedStrings" Target="sharedStrings.xml" /><Relationship Id="rId10" Type="http://schemas.openxmlformats.org/officeDocument/2006/relationships/worksheet" Target="worksheets/sheet10.xml" /><Relationship Id="rId19" Type="http://schemas.openxmlformats.org/officeDocument/2006/relationships/worksheet" Target="worksheets/sheet19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Relationship Id="rId22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tiff" /><Relationship Id="rId1" Type="http://schemas.openxmlformats.org/officeDocument/2006/relationships/image" Target="../media/image1.png" 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 /><Relationship Id="rId2" Type="http://schemas.openxmlformats.org/officeDocument/2006/relationships/image" Target="../media/image5.emf" /><Relationship Id="rId1" Type="http://schemas.openxmlformats.org/officeDocument/2006/relationships/image" Target="../media/image4.emf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19</xdr:row>
      <xdr:rowOff>57150</xdr:rowOff>
    </xdr:from>
    <xdr:to>
      <xdr:col>5</xdr:col>
      <xdr:colOff>1914525</xdr:colOff>
      <xdr:row>22</xdr:row>
      <xdr:rowOff>95250</xdr:rowOff>
    </xdr:to>
    <xdr:pic>
      <xdr:nvPicPr>
        <xdr:cNvPr id="2" name="Picture 1" descr="WHO_logotype_whit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0775" y="4629150"/>
          <a:ext cx="1657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76201</xdr:colOff>
      <xdr:row>19</xdr:row>
      <xdr:rowOff>9526</xdr:rowOff>
    </xdr:from>
    <xdr:to>
      <xdr:col>2</xdr:col>
      <xdr:colOff>733425</xdr:colOff>
      <xdr:row>22</xdr:row>
      <xdr:rowOff>180975</xdr:rowOff>
    </xdr:to>
    <xdr:pic>
      <xdr:nvPicPr>
        <xdr:cNvPr id="3" name="Picture 3" descr="K:\Jenner_Public\EPI_new\EPI GENERAL\Logos\EPI_logo_blue.t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6" y="4581526"/>
          <a:ext cx="657224" cy="7429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1888619</xdr:colOff>
      <xdr:row>19</xdr:row>
      <xdr:rowOff>19051</xdr:rowOff>
    </xdr:from>
    <xdr:to>
      <xdr:col>3</xdr:col>
      <xdr:colOff>2400301</xdr:colOff>
      <xdr:row>22</xdr:row>
      <xdr:rowOff>180975</xdr:rowOff>
    </xdr:to>
    <xdr:pic>
      <xdr:nvPicPr>
        <xdr:cNvPr id="4" name="Image 1" descr="minsan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0744" y="4591051"/>
          <a:ext cx="511682" cy="7334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426720</xdr:colOff>
          <xdr:row>0</xdr:row>
          <xdr:rowOff>45720</xdr:rowOff>
        </xdr:from>
        <xdr:to>
          <xdr:col>12</xdr:col>
          <xdr:colOff>274320</xdr:colOff>
          <xdr:row>70</xdr:row>
          <xdr:rowOff>60960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1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99" mc:Ignorable="a14" a14:legacySpreadsheetColorIndex="43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30480</xdr:rowOff>
        </xdr:from>
        <xdr:to>
          <xdr:col>12</xdr:col>
          <xdr:colOff>83820</xdr:colOff>
          <xdr:row>140</xdr:row>
          <xdr:rowOff>114300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1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27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1173480</xdr:colOff>
          <xdr:row>142</xdr:row>
          <xdr:rowOff>312420</xdr:rowOff>
        </xdr:from>
        <xdr:to>
          <xdr:col>11</xdr:col>
          <xdr:colOff>1173480</xdr:colOff>
          <xdr:row>186</xdr:row>
          <xdr:rowOff>289560</xdr:rowOff>
        </xdr:to>
        <xdr:sp macro="" textlink="">
          <xdr:nvSpPr>
            <xdr:cNvPr id="22531" name="Object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1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FF" mc:Ignorable="a14" a14:legacySpreadsheetColorIndex="27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STION%20DES%20VACCINS_2013/SMT_fr_2013_masque_XLS97.xls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dex"/>
      <sheetName val="prog"/>
      <sheetName val="recipients"/>
      <sheetName val="forecast"/>
      <sheetName val="Entrees"/>
      <sheetName val="Sorties"/>
      <sheetName val="Voucher"/>
      <sheetName val="Lots"/>
      <sheetName val="Temperature"/>
      <sheetName val="Rpt_Grl"/>
      <sheetName val="Rpt_Stock"/>
      <sheetName val="Origin_Vax"/>
      <sheetName val="Origin_Cons"/>
      <sheetName val="distribution"/>
      <sheetName val="Stocks_Trends"/>
      <sheetName val="Grf_Stocks"/>
      <sheetName val="Grf_dispo"/>
      <sheetName val="Approv"/>
      <sheetName val="Grf_approv"/>
      <sheetName val="Storage"/>
      <sheetName val="Stocks_status"/>
      <sheetName val="supplies"/>
      <sheetName val="vaccines"/>
      <sheetName val="Translation"/>
      <sheetName val="Noms_pays"/>
    </sheetNames>
    <sheetDataSet>
      <sheetData sheetId="0"/>
      <sheetData sheetId="1"/>
      <sheetData sheetId="2">
        <row r="10">
          <cell r="B10" t="str">
            <v>National</v>
          </cell>
        </row>
        <row r="11">
          <cell r="B11" t="str">
            <v>Régional</v>
          </cell>
        </row>
        <row r="12">
          <cell r="B12" t="str">
            <v>District</v>
          </cell>
        </row>
        <row r="13">
          <cell r="B13" t="str">
            <v>Aire de Santé</v>
          </cell>
        </row>
        <row r="50">
          <cell r="D50" t="str">
            <v>ChF positive 1</v>
          </cell>
          <cell r="K50" t="str">
            <v>Report</v>
          </cell>
        </row>
        <row r="51">
          <cell r="D51" t="str">
            <v>ChF positive 2</v>
          </cell>
          <cell r="K51" t="str">
            <v>Arrivage</v>
          </cell>
        </row>
        <row r="52">
          <cell r="D52" t="str">
            <v>Cong 1</v>
          </cell>
          <cell r="K52" t="str">
            <v>Sur-plus</v>
          </cell>
        </row>
        <row r="53">
          <cell r="D53" t="str">
            <v>Cong 2</v>
          </cell>
          <cell r="K53" t="str">
            <v>Retour</v>
          </cell>
        </row>
        <row r="54">
          <cell r="D54" t="str">
            <v>Cong 3</v>
          </cell>
          <cell r="K54" t="str">
            <v>Autres</v>
          </cell>
        </row>
        <row r="55">
          <cell r="D55" t="str">
            <v>Cong 4</v>
          </cell>
        </row>
        <row r="56">
          <cell r="D56" t="str">
            <v>Cong 5</v>
          </cell>
        </row>
        <row r="57">
          <cell r="D57" t="str">
            <v>Cong 6</v>
          </cell>
          <cell r="K57" t="str">
            <v>Casses</v>
          </cell>
        </row>
        <row r="58">
          <cell r="D58" t="str">
            <v>Cong 7</v>
          </cell>
          <cell r="K58" t="str">
            <v>Périmés</v>
          </cell>
        </row>
        <row r="59">
          <cell r="D59" t="str">
            <v>Cong 8</v>
          </cell>
          <cell r="K59" t="str">
            <v>Congelés</v>
          </cell>
        </row>
        <row r="60">
          <cell r="D60" t="str">
            <v>Cong 9</v>
          </cell>
          <cell r="K60" t="str">
            <v>PCV virée</v>
          </cell>
        </row>
        <row r="61">
          <cell r="D61" t="str">
            <v>Mag.mat Inject</v>
          </cell>
          <cell r="K61" t="str">
            <v>Manquant</v>
          </cell>
        </row>
        <row r="62">
          <cell r="K62" t="str">
            <v>Autres</v>
          </cell>
        </row>
        <row r="64">
          <cell r="K64" t="str">
            <v>inventaire</v>
          </cell>
        </row>
        <row r="65">
          <cell r="K65" t="str">
            <v>pertes</v>
          </cell>
        </row>
      </sheetData>
      <sheetData sheetId="3">
        <row r="10">
          <cell r="C10" t="str">
            <v>BIBEMI</v>
          </cell>
        </row>
        <row r="11">
          <cell r="C11" t="str">
            <v>FIGUIL</v>
          </cell>
        </row>
        <row r="12">
          <cell r="C12" t="str">
            <v>GAROUA I</v>
          </cell>
        </row>
        <row r="13">
          <cell r="C13" t="str">
            <v>GAROUA II</v>
          </cell>
        </row>
        <row r="14">
          <cell r="C14" t="str">
            <v>GASCHIGA</v>
          </cell>
        </row>
        <row r="15">
          <cell r="C15" t="str">
            <v>GOLOMBE</v>
          </cell>
        </row>
        <row r="16">
          <cell r="C16" t="str">
            <v>GUIDER</v>
          </cell>
        </row>
        <row r="17">
          <cell r="C17" t="str">
            <v>LAGDO</v>
          </cell>
        </row>
        <row r="18">
          <cell r="C18" t="str">
            <v>MAYO OULO</v>
          </cell>
        </row>
        <row r="19">
          <cell r="C19" t="str">
            <v>NGONG</v>
          </cell>
        </row>
        <row r="20">
          <cell r="C20" t="str">
            <v>PITOA</v>
          </cell>
        </row>
        <row r="21">
          <cell r="C21" t="str">
            <v>POLI</v>
          </cell>
        </row>
        <row r="22">
          <cell r="C22" t="str">
            <v>REY BOUBA</v>
          </cell>
        </row>
        <row r="23">
          <cell r="C23" t="str">
            <v>TCHOLLIRE</v>
          </cell>
        </row>
        <row r="24">
          <cell r="C24" t="str">
            <v>TOUBORO</v>
          </cell>
        </row>
        <row r="25">
          <cell r="C25" t="str">
            <v>Casses</v>
          </cell>
        </row>
        <row r="26">
          <cell r="C26" t="str">
            <v>Périmés</v>
          </cell>
        </row>
        <row r="27">
          <cell r="C27" t="str">
            <v>Congelés</v>
          </cell>
        </row>
        <row r="28">
          <cell r="C28" t="str">
            <v>PCV virée</v>
          </cell>
        </row>
        <row r="29">
          <cell r="C29" t="str">
            <v>Manquant</v>
          </cell>
        </row>
        <row r="30">
          <cell r="C30" t="str">
            <v>Autres</v>
          </cell>
        </row>
      </sheetData>
      <sheetData sheetId="4">
        <row r="12">
          <cell r="B12" t="str">
            <v>BCG</v>
          </cell>
        </row>
        <row r="13">
          <cell r="B13" t="str">
            <v>DTC-HepB-Hib</v>
          </cell>
        </row>
        <row r="14">
          <cell r="B14" t="str">
            <v>VPO</v>
          </cell>
        </row>
        <row r="15">
          <cell r="B15" t="str">
            <v>VAR</v>
          </cell>
        </row>
        <row r="16">
          <cell r="B16" t="str">
            <v>PCV-13</v>
          </cell>
        </row>
        <row r="17">
          <cell r="B17" t="str">
            <v>VAA</v>
          </cell>
        </row>
        <row r="18">
          <cell r="B18" t="str">
            <v>VAT</v>
          </cell>
        </row>
        <row r="19">
          <cell r="B19" t="str">
            <v/>
          </cell>
        </row>
        <row r="20">
          <cell r="B20" t="str">
            <v/>
          </cell>
        </row>
        <row r="21">
          <cell r="B21" t="str">
            <v/>
          </cell>
        </row>
        <row r="22">
          <cell r="B22" t="str">
            <v/>
          </cell>
        </row>
        <row r="33">
          <cell r="C33" t="str">
            <v>SAB_0.05ml</v>
          </cell>
        </row>
        <row r="34">
          <cell r="C34" t="str">
            <v>SAB_0.5ml</v>
          </cell>
        </row>
        <row r="35">
          <cell r="C35" t="str">
            <v>Sdilution_2ml</v>
          </cell>
        </row>
        <row r="36">
          <cell r="C36" t="str">
            <v>Sdilution_5ml</v>
          </cell>
        </row>
        <row r="37">
          <cell r="C37" t="str">
            <v>Sdilution_10ml</v>
          </cell>
        </row>
        <row r="38">
          <cell r="C38" t="str">
            <v>BS_5l</v>
          </cell>
        </row>
      </sheetData>
      <sheetData sheetId="5"/>
      <sheetData sheetId="6"/>
      <sheetData sheetId="7"/>
      <sheetData sheetId="8">
        <row r="11">
          <cell r="B11" t="str">
            <v>037G1117</v>
          </cell>
        </row>
        <row r="12">
          <cell r="B12" t="str">
            <v>037g1139</v>
          </cell>
        </row>
        <row r="13">
          <cell r="B13" t="str">
            <v>037G1140</v>
          </cell>
        </row>
        <row r="14">
          <cell r="B14" t="str">
            <v>Total général</v>
          </cell>
        </row>
      </sheetData>
      <sheetData sheetId="9"/>
      <sheetData sheetId="10"/>
      <sheetData sheetId="11"/>
      <sheetData sheetId="12">
        <row r="16">
          <cell r="C16" t="str">
            <v>Switzerland</v>
          </cell>
          <cell r="D16" t="str">
            <v>Berna Biotech (ch)</v>
          </cell>
        </row>
        <row r="17">
          <cell r="C17" t="str">
            <v>Korea</v>
          </cell>
          <cell r="D17" t="str">
            <v>Berna Biotech (Korea)</v>
          </cell>
        </row>
        <row r="18">
          <cell r="C18" t="str">
            <v>India</v>
          </cell>
          <cell r="D18" t="str">
            <v>Bharat Biotech</v>
          </cell>
        </row>
        <row r="19">
          <cell r="C19" t="str">
            <v>Indonesia</v>
          </cell>
          <cell r="D19" t="str">
            <v>Bio Farma</v>
          </cell>
        </row>
        <row r="20">
          <cell r="C20" t="str">
            <v>Brazil</v>
          </cell>
          <cell r="D20" t="str">
            <v>Biomanguinhos</v>
          </cell>
        </row>
        <row r="21">
          <cell r="C21" t="str">
            <v>Cuba</v>
          </cell>
          <cell r="D21" t="str">
            <v>CGEB Cuba</v>
          </cell>
        </row>
        <row r="22">
          <cell r="C22" t="str">
            <v>Germany</v>
          </cell>
          <cell r="D22" t="str">
            <v>Novartis Germany</v>
          </cell>
        </row>
        <row r="23">
          <cell r="C23" t="str">
            <v>India</v>
          </cell>
          <cell r="D23" t="str">
            <v>Novartis India</v>
          </cell>
        </row>
        <row r="24">
          <cell r="C24" t="str">
            <v>Italy</v>
          </cell>
          <cell r="D24" t="str">
            <v>Novartis Italy</v>
          </cell>
        </row>
        <row r="25">
          <cell r="C25" t="str">
            <v>Belgium</v>
          </cell>
          <cell r="D25" t="str">
            <v>GlaxoSmithKline</v>
          </cell>
        </row>
        <row r="26">
          <cell r="C26" t="str">
            <v>India</v>
          </cell>
          <cell r="D26" t="str">
            <v>Haffkine Bio</v>
          </cell>
        </row>
        <row r="27">
          <cell r="C27" t="str">
            <v>Senegal</v>
          </cell>
          <cell r="D27" t="str">
            <v>Institut Pasteur Dakar</v>
          </cell>
        </row>
        <row r="28">
          <cell r="C28" t="str">
            <v>Canada</v>
          </cell>
          <cell r="D28" t="str">
            <v>Intervax</v>
          </cell>
        </row>
        <row r="29">
          <cell r="C29" t="str">
            <v>Japan</v>
          </cell>
          <cell r="D29" t="str">
            <v>Japan BCG</v>
          </cell>
        </row>
        <row r="30">
          <cell r="C30" t="str">
            <v>Korea</v>
          </cell>
          <cell r="D30" t="str">
            <v>LG Life</v>
          </cell>
        </row>
        <row r="31">
          <cell r="C31" t="str">
            <v>USA</v>
          </cell>
          <cell r="D31" t="str">
            <v>Merck</v>
          </cell>
        </row>
        <row r="32">
          <cell r="C32" t="str">
            <v>Bulgaria</v>
          </cell>
          <cell r="D32" t="str">
            <v>BB-NCIPD Ltd</v>
          </cell>
        </row>
        <row r="33">
          <cell r="C33" t="str">
            <v>India</v>
          </cell>
          <cell r="D33" t="str">
            <v>Panacea</v>
          </cell>
        </row>
        <row r="34">
          <cell r="C34" t="str">
            <v>France</v>
          </cell>
          <cell r="D34" t="str">
            <v>Sanofi Pasteur</v>
          </cell>
        </row>
        <row r="35">
          <cell r="C35" t="str">
            <v>Sweden</v>
          </cell>
          <cell r="D35" t="str">
            <v>SBL Vaccin</v>
          </cell>
        </row>
        <row r="36">
          <cell r="C36" t="str">
            <v>India</v>
          </cell>
          <cell r="D36" t="str">
            <v>Serum Institute of India</v>
          </cell>
        </row>
        <row r="37">
          <cell r="C37" t="str">
            <v>India</v>
          </cell>
          <cell r="D37" t="str">
            <v>Shantha Biotechnics</v>
          </cell>
        </row>
        <row r="38">
          <cell r="C38" t="str">
            <v>Denmark</v>
          </cell>
          <cell r="D38" t="str">
            <v>Statens Seruminstitut</v>
          </cell>
        </row>
        <row r="39">
          <cell r="C39" t="str">
            <v>India</v>
          </cell>
          <cell r="D39" t="str">
            <v>Zydus Cadila</v>
          </cell>
        </row>
        <row r="40">
          <cell r="C40" t="str">
            <v>USA</v>
          </cell>
          <cell r="D40" t="str">
            <v>Wyeth</v>
          </cell>
        </row>
        <row r="41">
          <cell r="C41" t="str">
            <v>Netherlands</v>
          </cell>
          <cell r="D41" t="str">
            <v>NVI</v>
          </cell>
        </row>
        <row r="42">
          <cell r="C42" t="str">
            <v>Russia</v>
          </cell>
          <cell r="D42" t="str">
            <v>GPO-MBP</v>
          </cell>
        </row>
        <row r="43">
          <cell r="C43" t="str">
            <v>USA</v>
          </cell>
          <cell r="D43" t="str">
            <v>Pfizer</v>
          </cell>
        </row>
      </sheetData>
      <sheetData sheetId="13">
        <row r="15">
          <cell r="D15" t="str">
            <v>MEDECO</v>
          </cell>
        </row>
        <row r="16">
          <cell r="D16" t="str">
            <v>Terumo</v>
          </cell>
        </row>
        <row r="17">
          <cell r="D17" t="str">
            <v>BD India</v>
          </cell>
        </row>
        <row r="18">
          <cell r="D18" t="str">
            <v>BD Spain</v>
          </cell>
        </row>
        <row r="19">
          <cell r="D19" t="str">
            <v>BD Singapour</v>
          </cell>
        </row>
        <row r="20">
          <cell r="D20" t="str">
            <v>Revitalhcare</v>
          </cell>
        </row>
        <row r="21">
          <cell r="D21" t="str">
            <v>Tiankang Medical</v>
          </cell>
        </row>
        <row r="22">
          <cell r="D22" t="str">
            <v>VanishPoint</v>
          </cell>
        </row>
        <row r="23">
          <cell r="D23" t="str">
            <v>Wuxi Yushou Medical</v>
          </cell>
        </row>
        <row r="24">
          <cell r="D24" t="str">
            <v>Hindustan Syringes</v>
          </cell>
        </row>
        <row r="25">
          <cell r="D25" t="str">
            <v>ONEJECT</v>
          </cell>
        </row>
        <row r="26">
          <cell r="D26" t="str">
            <v>MedExcel</v>
          </cell>
        </row>
        <row r="27">
          <cell r="D27" t="str">
            <v>Mitra Rajawali</v>
          </cell>
        </row>
        <row r="28">
          <cell r="D28" t="str">
            <v>Tonninko</v>
          </cell>
        </row>
        <row r="29">
          <cell r="D29" t="str">
            <v>Mediplast</v>
          </cell>
        </row>
        <row r="30">
          <cell r="D30" t="str">
            <v>Monomedi</v>
          </cell>
        </row>
        <row r="31">
          <cell r="D31" t="str">
            <v>Codan Medical</v>
          </cell>
        </row>
        <row r="32">
          <cell r="D32" t="str">
            <v>FORMERS</v>
          </cell>
        </row>
      </sheetData>
      <sheetData sheetId="14"/>
      <sheetData sheetId="15"/>
      <sheetData sheetId="16"/>
      <sheetData sheetId="17"/>
      <sheetData sheetId="18"/>
      <sheetData sheetId="19" refreshError="1"/>
      <sheetData sheetId="20"/>
      <sheetData sheetId="21"/>
      <sheetData sheetId="22">
        <row r="5">
          <cell r="C5" t="str">
            <v>SAB_0.05ml</v>
          </cell>
        </row>
        <row r="6">
          <cell r="C6" t="str">
            <v>SAB_0.1ml</v>
          </cell>
        </row>
        <row r="7">
          <cell r="C7" t="str">
            <v>SAB_0.5ml</v>
          </cell>
        </row>
        <row r="8">
          <cell r="C8" t="str">
            <v>Sdilution_2ml</v>
          </cell>
        </row>
        <row r="9">
          <cell r="C9" t="str">
            <v>Sdilution_5ml</v>
          </cell>
        </row>
        <row r="10">
          <cell r="C10" t="str">
            <v>Sdilution_10ml</v>
          </cell>
        </row>
        <row r="11">
          <cell r="C11" t="str">
            <v>RUPF_Sdilution_2ml</v>
          </cell>
        </row>
        <row r="12">
          <cell r="C12" t="str">
            <v>RUPF_Sdilution_5ml</v>
          </cell>
        </row>
        <row r="13">
          <cell r="C13" t="str">
            <v>RUPF_Sdilution_10ml</v>
          </cell>
        </row>
        <row r="14">
          <cell r="C14" t="str">
            <v>BS_2.5l</v>
          </cell>
        </row>
        <row r="15">
          <cell r="C15" t="str">
            <v>BS_5l</v>
          </cell>
        </row>
        <row r="16">
          <cell r="C16" t="str">
            <v>BS_10l</v>
          </cell>
        </row>
        <row r="17">
          <cell r="C17" t="str">
            <v>BS_15l</v>
          </cell>
        </row>
        <row r="19">
          <cell r="C19" t="str">
            <v>Désignation</v>
          </cell>
        </row>
        <row r="20">
          <cell r="C20" t="str">
            <v>MII_X-Small_rectangulaire</v>
          </cell>
        </row>
        <row r="21">
          <cell r="C21" t="str">
            <v>MII_Small_rectangulaire</v>
          </cell>
        </row>
        <row r="22">
          <cell r="C22" t="str">
            <v>MII_Medium_rectangulaire</v>
          </cell>
        </row>
        <row r="23">
          <cell r="C23" t="str">
            <v>MII_Large_rectangulaire</v>
          </cell>
        </row>
        <row r="24">
          <cell r="C24" t="str">
            <v>MII_X-Large_rectangulaire</v>
          </cell>
        </row>
        <row r="25">
          <cell r="C25" t="str">
            <v>MII_Small_circulaire</v>
          </cell>
        </row>
        <row r="26">
          <cell r="C26" t="str">
            <v>MII_Medium_circulaire</v>
          </cell>
        </row>
        <row r="27">
          <cell r="C27" t="str">
            <v>MII_Large_circulaire</v>
          </cell>
        </row>
        <row r="28">
          <cell r="C28" t="str">
            <v>Désignation</v>
          </cell>
        </row>
        <row r="29">
          <cell r="C29" t="str">
            <v>Vit_A_100000UI</v>
          </cell>
        </row>
        <row r="30">
          <cell r="C30" t="str">
            <v>Vit_A_200000UI</v>
          </cell>
        </row>
        <row r="31">
          <cell r="C31" t="str">
            <v>Albendazole_200mg</v>
          </cell>
        </row>
        <row r="32">
          <cell r="C32" t="str">
            <v>Albendazole_400mg</v>
          </cell>
        </row>
        <row r="33">
          <cell r="C33" t="str">
            <v>Mebendazole_500mg</v>
          </cell>
        </row>
      </sheetData>
      <sheetData sheetId="23">
        <row r="4">
          <cell r="C4" t="str">
            <v>Vaccine_designation</v>
          </cell>
        </row>
        <row r="5">
          <cell r="C5" t="str">
            <v>BCG</v>
          </cell>
        </row>
        <row r="6">
          <cell r="C6" t="str">
            <v>DTC</v>
          </cell>
        </row>
        <row r="7">
          <cell r="C7" t="str">
            <v>DTC</v>
          </cell>
        </row>
        <row r="8">
          <cell r="C8" t="str">
            <v>DT</v>
          </cell>
        </row>
        <row r="9">
          <cell r="C9" t="str">
            <v>Td</v>
          </cell>
        </row>
        <row r="10">
          <cell r="C10" t="str">
            <v>VAT</v>
          </cell>
        </row>
        <row r="11">
          <cell r="C11" t="str">
            <v>VAT</v>
          </cell>
        </row>
        <row r="12">
          <cell r="C12" t="str">
            <v>VAT</v>
          </cell>
        </row>
        <row r="13">
          <cell r="C13" t="str">
            <v>VAR</v>
          </cell>
        </row>
        <row r="14">
          <cell r="C14" t="str">
            <v>VAR</v>
          </cell>
        </row>
        <row r="15">
          <cell r="C15" t="str">
            <v>VAR</v>
          </cell>
        </row>
        <row r="16">
          <cell r="C16" t="str">
            <v>VAR</v>
          </cell>
        </row>
        <row r="17">
          <cell r="C17" t="str">
            <v>RR</v>
          </cell>
        </row>
        <row r="18">
          <cell r="C18" t="str">
            <v>RR</v>
          </cell>
        </row>
        <row r="19">
          <cell r="C19" t="str">
            <v>RR</v>
          </cell>
        </row>
        <row r="20">
          <cell r="C20" t="str">
            <v>RR</v>
          </cell>
        </row>
        <row r="21">
          <cell r="C21" t="str">
            <v>ROR</v>
          </cell>
        </row>
        <row r="22">
          <cell r="C22" t="str">
            <v>ROR</v>
          </cell>
        </row>
        <row r="23">
          <cell r="C23" t="str">
            <v>ROR</v>
          </cell>
        </row>
        <row r="24">
          <cell r="C24" t="str">
            <v>ROR</v>
          </cell>
        </row>
        <row r="25">
          <cell r="C25" t="str">
            <v>VPO</v>
          </cell>
        </row>
        <row r="26">
          <cell r="C26" t="str">
            <v>VPO</v>
          </cell>
        </row>
        <row r="27">
          <cell r="C27" t="str">
            <v>VAA</v>
          </cell>
        </row>
        <row r="28">
          <cell r="C28" t="str">
            <v>VAA</v>
          </cell>
        </row>
        <row r="29">
          <cell r="C29" t="str">
            <v>VAA</v>
          </cell>
        </row>
        <row r="30">
          <cell r="C30" t="str">
            <v>VAA</v>
          </cell>
        </row>
        <row r="31">
          <cell r="C31" t="str">
            <v>DTC-HepB</v>
          </cell>
        </row>
        <row r="32">
          <cell r="C32" t="str">
            <v>DTC-HepB</v>
          </cell>
        </row>
        <row r="33">
          <cell r="C33" t="str">
            <v>DTC-HepB</v>
          </cell>
        </row>
        <row r="34">
          <cell r="C34" t="str">
            <v>HepB</v>
          </cell>
        </row>
        <row r="35">
          <cell r="C35" t="str">
            <v>HepB</v>
          </cell>
        </row>
        <row r="36">
          <cell r="C36" t="str">
            <v>HepB</v>
          </cell>
        </row>
        <row r="37">
          <cell r="C37" t="str">
            <v>HepB</v>
          </cell>
        </row>
        <row r="38">
          <cell r="C38" t="str">
            <v>HepB</v>
          </cell>
        </row>
        <row r="39">
          <cell r="C39" t="str">
            <v>HepB</v>
          </cell>
        </row>
        <row r="40">
          <cell r="C40" t="str">
            <v>Hib_liq</v>
          </cell>
        </row>
        <row r="41">
          <cell r="C41" t="str">
            <v>Hib_liq</v>
          </cell>
        </row>
        <row r="42">
          <cell r="C42" t="str">
            <v>Hib_lyo</v>
          </cell>
        </row>
        <row r="43">
          <cell r="C43" t="str">
            <v>Hib_lyo</v>
          </cell>
        </row>
        <row r="44">
          <cell r="C44" t="str">
            <v>Hib_lyo</v>
          </cell>
        </row>
        <row r="45">
          <cell r="C45" t="str">
            <v>DTC+Hib</v>
          </cell>
        </row>
        <row r="46">
          <cell r="C46" t="str">
            <v>DTC+Hib</v>
          </cell>
        </row>
        <row r="47">
          <cell r="C47" t="str">
            <v>DTC-Hib</v>
          </cell>
        </row>
        <row r="48">
          <cell r="C48" t="str">
            <v>DTC-Hib</v>
          </cell>
        </row>
        <row r="49">
          <cell r="C49" t="str">
            <v>DTC-HepB+Hib</v>
          </cell>
        </row>
        <row r="50">
          <cell r="C50" t="str">
            <v>DTC-HepB+Hib</v>
          </cell>
        </row>
        <row r="51">
          <cell r="C51" t="str">
            <v>DTC-HepB+Hib</v>
          </cell>
        </row>
        <row r="52">
          <cell r="C52" t="str">
            <v>DTC-HepB+Hib</v>
          </cell>
        </row>
        <row r="53">
          <cell r="C53" t="str">
            <v>DTC-HepB+Hib</v>
          </cell>
        </row>
        <row r="54">
          <cell r="C54" t="str">
            <v>DTC-HepB+Hib</v>
          </cell>
        </row>
        <row r="55">
          <cell r="C55" t="str">
            <v>DTC-HepB-Hib</v>
          </cell>
        </row>
        <row r="56">
          <cell r="C56" t="str">
            <v>DTC-HepB-Hib</v>
          </cell>
        </row>
        <row r="57">
          <cell r="C57" t="str">
            <v>DTC-HepB-Hib</v>
          </cell>
        </row>
        <row r="58">
          <cell r="C58" t="str">
            <v>DTC-HepB-Hib</v>
          </cell>
        </row>
        <row r="59">
          <cell r="C59" t="str">
            <v>DTC-HepB-Hib</v>
          </cell>
        </row>
        <row r="60">
          <cell r="C60" t="str">
            <v>DTC-HepB-Hib</v>
          </cell>
        </row>
        <row r="61">
          <cell r="C61" t="str">
            <v>DTC-HepB-Hib</v>
          </cell>
        </row>
        <row r="62">
          <cell r="C62" t="str">
            <v>DTC-HepB-Hib</v>
          </cell>
        </row>
        <row r="63">
          <cell r="C63" t="str">
            <v>MV_A/C</v>
          </cell>
        </row>
        <row r="64">
          <cell r="C64" t="str">
            <v>MV_A/C</v>
          </cell>
        </row>
        <row r="65">
          <cell r="C65" t="str">
            <v>MV_A/C/W</v>
          </cell>
        </row>
        <row r="66">
          <cell r="C66" t="str">
            <v>MV_A/C/W/Y</v>
          </cell>
        </row>
        <row r="67">
          <cell r="C67" t="str">
            <v>MV_W137</v>
          </cell>
        </row>
        <row r="68">
          <cell r="C68" t="str">
            <v>Men_A</v>
          </cell>
        </row>
        <row r="69">
          <cell r="C69" t="str">
            <v>JE_lyo</v>
          </cell>
        </row>
        <row r="70">
          <cell r="C70" t="str">
            <v>JE_lyo</v>
          </cell>
        </row>
        <row r="71">
          <cell r="C71" t="str">
            <v>JE_lyo</v>
          </cell>
        </row>
        <row r="72">
          <cell r="C72" t="str">
            <v>JE_lyo</v>
          </cell>
        </row>
        <row r="73">
          <cell r="C73" t="str">
            <v>JE_liq</v>
          </cell>
        </row>
        <row r="74">
          <cell r="C74" t="str">
            <v>Rage</v>
          </cell>
        </row>
        <row r="75">
          <cell r="C75" t="str">
            <v>Rage</v>
          </cell>
        </row>
        <row r="76">
          <cell r="C76" t="str">
            <v>Rota_lyo</v>
          </cell>
        </row>
        <row r="77">
          <cell r="C77" t="str">
            <v>Rota_lyo</v>
          </cell>
        </row>
        <row r="78">
          <cell r="C78" t="str">
            <v>Rota_lyo</v>
          </cell>
        </row>
        <row r="79">
          <cell r="C79" t="str">
            <v>Rota_liq</v>
          </cell>
        </row>
        <row r="80">
          <cell r="C80" t="str">
            <v>Rota_liq</v>
          </cell>
        </row>
        <row r="81">
          <cell r="C81" t="str">
            <v>PCV-7</v>
          </cell>
        </row>
        <row r="82">
          <cell r="C82" t="str">
            <v>PCV-7</v>
          </cell>
        </row>
        <row r="83">
          <cell r="C83" t="str">
            <v>PCV-13</v>
          </cell>
        </row>
        <row r="84">
          <cell r="C84" t="str">
            <v>PCV-10</v>
          </cell>
        </row>
        <row r="85">
          <cell r="C85" t="str">
            <v>PCV-10</v>
          </cell>
        </row>
        <row r="86">
          <cell r="C86" t="str">
            <v>PCV-xx</v>
          </cell>
        </row>
        <row r="87">
          <cell r="C87" t="str">
            <v>PCV-xx</v>
          </cell>
        </row>
        <row r="88">
          <cell r="C88" t="str">
            <v>PCV-xx</v>
          </cell>
        </row>
        <row r="89">
          <cell r="C89" t="str">
            <v>IPV</v>
          </cell>
        </row>
        <row r="90">
          <cell r="C90" t="str">
            <v>IPV</v>
          </cell>
        </row>
        <row r="91">
          <cell r="C91" t="str">
            <v>IPV</v>
          </cell>
        </row>
        <row r="92">
          <cell r="C92" t="str">
            <v>HPV</v>
          </cell>
        </row>
        <row r="93">
          <cell r="C93" t="str">
            <v>HPV</v>
          </cell>
        </row>
        <row r="94">
          <cell r="C94" t="str">
            <v>mVPO1</v>
          </cell>
        </row>
        <row r="95">
          <cell r="C95" t="str">
            <v>mVPO3</v>
          </cell>
        </row>
        <row r="96">
          <cell r="C96" t="str">
            <v>H1N1</v>
          </cell>
        </row>
        <row r="97">
          <cell r="C97" t="str">
            <v>H1N1</v>
          </cell>
        </row>
        <row r="98">
          <cell r="C98" t="str">
            <v>H1N1</v>
          </cell>
        </row>
        <row r="99">
          <cell r="C99" t="str">
            <v>H1N1</v>
          </cell>
        </row>
        <row r="100">
          <cell r="C100" t="str">
            <v>H1N1</v>
          </cell>
        </row>
        <row r="101">
          <cell r="C101" t="str">
            <v>bVPO1+3</v>
          </cell>
        </row>
        <row r="102">
          <cell r="C102" t="str">
            <v>bVPO1+3</v>
          </cell>
        </row>
        <row r="103">
          <cell r="C103" t="str">
            <v>dil_MV_A/C</v>
          </cell>
        </row>
        <row r="104">
          <cell r="C104" t="str">
            <v>dil_MV_A/C</v>
          </cell>
        </row>
        <row r="105">
          <cell r="C105" t="str">
            <v>dil_MV_A/C/W</v>
          </cell>
        </row>
        <row r="106">
          <cell r="C106" t="str">
            <v>dil_MV_A/C/W/Y</v>
          </cell>
        </row>
        <row r="107">
          <cell r="C107" t="str">
            <v>dil_MV_W137</v>
          </cell>
        </row>
        <row r="108">
          <cell r="C108" t="str">
            <v>dil_Men_A</v>
          </cell>
        </row>
        <row r="109">
          <cell r="C109" t="str">
            <v>dil_JE_lyo</v>
          </cell>
        </row>
        <row r="110">
          <cell r="C110" t="str">
            <v>dil_JE_lyo</v>
          </cell>
        </row>
        <row r="111">
          <cell r="C111" t="str">
            <v>dil_JE_lyo</v>
          </cell>
        </row>
        <row r="112">
          <cell r="C112" t="str">
            <v>dil_Rota_lyo</v>
          </cell>
        </row>
        <row r="113">
          <cell r="C113" t="str">
            <v>dil_BCG</v>
          </cell>
        </row>
        <row r="114">
          <cell r="C114" t="str">
            <v>dil_VAR</v>
          </cell>
        </row>
        <row r="115">
          <cell r="C115" t="str">
            <v>dil_VAR</v>
          </cell>
        </row>
        <row r="116">
          <cell r="C116" t="str">
            <v>dil_VAR</v>
          </cell>
        </row>
        <row r="117">
          <cell r="C117" t="str">
            <v>dil_VAR</v>
          </cell>
        </row>
        <row r="118">
          <cell r="C118" t="str">
            <v>dil_RR</v>
          </cell>
        </row>
        <row r="119">
          <cell r="C119" t="str">
            <v>dil_RR</v>
          </cell>
        </row>
        <row r="120">
          <cell r="C120" t="str">
            <v>dil_RR</v>
          </cell>
        </row>
        <row r="121">
          <cell r="C121" t="str">
            <v>dil_RR</v>
          </cell>
        </row>
        <row r="122">
          <cell r="C122" t="str">
            <v>dil_ROR</v>
          </cell>
        </row>
        <row r="123">
          <cell r="C123" t="str">
            <v>dil_ROR</v>
          </cell>
        </row>
        <row r="124">
          <cell r="C124" t="str">
            <v>dil_ROR</v>
          </cell>
        </row>
        <row r="125">
          <cell r="C125" t="str">
            <v>dil_ROR</v>
          </cell>
        </row>
        <row r="126">
          <cell r="C126" t="str">
            <v>dil_Hib_lyo</v>
          </cell>
        </row>
        <row r="127">
          <cell r="C127" t="str">
            <v>dil_Hib_lyo</v>
          </cell>
        </row>
        <row r="128">
          <cell r="C128" t="str">
            <v>dil_VAA</v>
          </cell>
        </row>
        <row r="129">
          <cell r="C129" t="str">
            <v>dil_VAA</v>
          </cell>
        </row>
        <row r="130">
          <cell r="C130" t="str">
            <v>dil_VAA</v>
          </cell>
        </row>
        <row r="131">
          <cell r="C131" t="str">
            <v>dil_VAA</v>
          </cell>
        </row>
        <row r="132">
          <cell r="C132" t="str">
            <v/>
          </cell>
        </row>
        <row r="133">
          <cell r="C133" t="str">
            <v/>
          </cell>
        </row>
        <row r="134">
          <cell r="C134" t="str">
            <v/>
          </cell>
        </row>
        <row r="135">
          <cell r="C135" t="str">
            <v/>
          </cell>
        </row>
        <row r="136">
          <cell r="C136" t="str">
            <v/>
          </cell>
        </row>
        <row r="137">
          <cell r="C137" t="str">
            <v/>
          </cell>
        </row>
        <row r="143">
          <cell r="C143" t="str">
            <v>Vaccine_designation</v>
          </cell>
        </row>
        <row r="144">
          <cell r="C144" t="str">
            <v>BCG</v>
          </cell>
        </row>
        <row r="145">
          <cell r="C145" t="str">
            <v>DTC</v>
          </cell>
        </row>
        <row r="146">
          <cell r="C146" t="str">
            <v>DT</v>
          </cell>
        </row>
        <row r="147">
          <cell r="C147" t="str">
            <v>Td</v>
          </cell>
        </row>
        <row r="148">
          <cell r="C148" t="str">
            <v>VAT</v>
          </cell>
        </row>
        <row r="149">
          <cell r="C149" t="str">
            <v>VAR</v>
          </cell>
        </row>
        <row r="150">
          <cell r="C150" t="str">
            <v>RR</v>
          </cell>
        </row>
        <row r="151">
          <cell r="C151" t="str">
            <v>ROR</v>
          </cell>
        </row>
        <row r="152">
          <cell r="C152" t="str">
            <v>VPO</v>
          </cell>
        </row>
        <row r="153">
          <cell r="C153" t="str">
            <v>VAA</v>
          </cell>
        </row>
        <row r="154">
          <cell r="C154" t="str">
            <v>DTC-HepB</v>
          </cell>
        </row>
        <row r="155">
          <cell r="C155" t="str">
            <v>HepB</v>
          </cell>
        </row>
        <row r="156">
          <cell r="C156" t="str">
            <v>Hib_liq</v>
          </cell>
        </row>
        <row r="157">
          <cell r="C157" t="str">
            <v>Hib_lyo</v>
          </cell>
        </row>
        <row r="158">
          <cell r="C158" t="str">
            <v>DTC+Hib</v>
          </cell>
        </row>
        <row r="159">
          <cell r="C159" t="str">
            <v>DTC-Hib</v>
          </cell>
        </row>
        <row r="160">
          <cell r="C160" t="str">
            <v>DTC-HepB+Hib</v>
          </cell>
        </row>
        <row r="161">
          <cell r="C161" t="str">
            <v>DTC-HepB-Hib</v>
          </cell>
        </row>
        <row r="162">
          <cell r="C162" t="str">
            <v>MV_A/C</v>
          </cell>
        </row>
        <row r="163">
          <cell r="C163" t="str">
            <v>MV_A/C/W</v>
          </cell>
        </row>
        <row r="164">
          <cell r="C164" t="str">
            <v>MV_A/C/W/Y</v>
          </cell>
        </row>
        <row r="165">
          <cell r="C165" t="str">
            <v>MV_W137</v>
          </cell>
        </row>
        <row r="166">
          <cell r="C166" t="str">
            <v>Men_A</v>
          </cell>
        </row>
        <row r="167">
          <cell r="C167" t="str">
            <v>JE_lyo</v>
          </cell>
        </row>
        <row r="168">
          <cell r="C168" t="str">
            <v>JE_liq</v>
          </cell>
        </row>
        <row r="169">
          <cell r="C169" t="str">
            <v>Rage</v>
          </cell>
        </row>
        <row r="170">
          <cell r="C170" t="str">
            <v>Rota_lyo</v>
          </cell>
        </row>
        <row r="171">
          <cell r="C171" t="str">
            <v>Rota_liq</v>
          </cell>
        </row>
        <row r="172">
          <cell r="C172" t="str">
            <v>PCV-7</v>
          </cell>
        </row>
        <row r="173">
          <cell r="C173" t="str">
            <v>PCV-13</v>
          </cell>
        </row>
        <row r="174">
          <cell r="C174" t="str">
            <v>PCV-10</v>
          </cell>
        </row>
        <row r="175">
          <cell r="C175" t="str">
            <v>PCV-xx</v>
          </cell>
        </row>
        <row r="176">
          <cell r="C176" t="str">
            <v>IPV</v>
          </cell>
        </row>
        <row r="177">
          <cell r="C177" t="str">
            <v>HPV</v>
          </cell>
        </row>
        <row r="178">
          <cell r="C178" t="str">
            <v>mVPO1</v>
          </cell>
        </row>
        <row r="179">
          <cell r="C179" t="str">
            <v>mVPO3</v>
          </cell>
        </row>
        <row r="180">
          <cell r="C180" t="str">
            <v>H1N1</v>
          </cell>
        </row>
        <row r="181">
          <cell r="C181" t="str">
            <v>bVPO1+3</v>
          </cell>
        </row>
        <row r="182">
          <cell r="C182" t="str">
            <v>dil_MV_A/C</v>
          </cell>
        </row>
        <row r="183">
          <cell r="C183" t="str">
            <v>dil_MV_A/C/W</v>
          </cell>
        </row>
        <row r="184">
          <cell r="C184" t="str">
            <v>dil_MV_A/C/W/Y</v>
          </cell>
        </row>
        <row r="185">
          <cell r="C185" t="str">
            <v>dil_MV_W137</v>
          </cell>
        </row>
        <row r="186">
          <cell r="C186" t="str">
            <v>dil_Men_A</v>
          </cell>
        </row>
        <row r="187">
          <cell r="C187" t="str">
            <v>dil_JE_lyo</v>
          </cell>
        </row>
        <row r="188">
          <cell r="C188" t="str">
            <v>dil_Rota_lyo</v>
          </cell>
        </row>
        <row r="189">
          <cell r="C189" t="str">
            <v>dil_BCG</v>
          </cell>
        </row>
        <row r="190">
          <cell r="C190" t="str">
            <v>dil_VAR</v>
          </cell>
        </row>
        <row r="191">
          <cell r="C191" t="str">
            <v>dil_RR</v>
          </cell>
        </row>
        <row r="192">
          <cell r="C192" t="str">
            <v>dil_ROR</v>
          </cell>
        </row>
        <row r="193">
          <cell r="C193" t="str">
            <v>dil_Hib_lyo</v>
          </cell>
        </row>
        <row r="194">
          <cell r="C194" t="str">
            <v>dil_VAA</v>
          </cell>
        </row>
        <row r="195">
          <cell r="C195" t="str">
            <v/>
          </cell>
        </row>
      </sheetData>
      <sheetData sheetId="24">
        <row r="9">
          <cell r="D9" t="str">
            <v>English</v>
          </cell>
          <cell r="E9" t="str">
            <v>Français</v>
          </cell>
          <cell r="F9" t="str">
            <v>Spanish</v>
          </cell>
          <cell r="G9" t="str">
            <v>Russian</v>
          </cell>
          <cell r="H9" t="str">
            <v>Potugease</v>
          </cell>
          <cell r="I9" t="str">
            <v>Other</v>
          </cell>
        </row>
        <row r="38">
          <cell r="C38" t="str">
            <v>Chambre froide positive</v>
          </cell>
        </row>
        <row r="39">
          <cell r="C39" t="str">
            <v>Chambre froide négative</v>
          </cell>
        </row>
        <row r="40">
          <cell r="C40" t="str">
            <v>Réfrigérateur horizontal</v>
          </cell>
        </row>
        <row r="41">
          <cell r="C41" t="str">
            <v>Réfrigérateur vertical</v>
          </cell>
        </row>
        <row r="42">
          <cell r="C42" t="str">
            <v>Congélateur horizontal</v>
          </cell>
        </row>
        <row r="43">
          <cell r="C43" t="str">
            <v>Congélateur vertical</v>
          </cell>
        </row>
        <row r="44">
          <cell r="C44" t="str">
            <v>Congélateur d'accus</v>
          </cell>
        </row>
        <row r="45">
          <cell r="C45" t="str">
            <v>magasin sec</v>
          </cell>
        </row>
        <row r="46">
          <cell r="C46" t="str">
            <v>+5°C</v>
          </cell>
        </row>
        <row r="47">
          <cell r="C47" t="str">
            <v>-20°C</v>
          </cell>
        </row>
        <row r="48">
          <cell r="C48" t="str">
            <v>Ambiant</v>
          </cell>
        </row>
        <row r="111">
          <cell r="C111" t="str">
            <v>USD</v>
          </cell>
        </row>
        <row r="112">
          <cell r="C112" t="str">
            <v>EUR</v>
          </cell>
        </row>
        <row r="113">
          <cell r="C113">
            <v>0</v>
          </cell>
        </row>
        <row r="114">
          <cell r="C114" t="str">
            <v>doses</v>
          </cell>
        </row>
        <row r="115">
          <cell r="C115" t="str">
            <v>flacons</v>
          </cell>
        </row>
        <row r="116">
          <cell r="C116" t="str">
            <v>ampoules</v>
          </cell>
        </row>
        <row r="117">
          <cell r="C117" t="str">
            <v>unités</v>
          </cell>
        </row>
        <row r="118">
          <cell r="C118" t="str">
            <v>boîtes</v>
          </cell>
        </row>
        <row r="151">
          <cell r="C151" t="str">
            <v>au jour</v>
          </cell>
        </row>
        <row r="152">
          <cell r="C152" t="str">
            <v>en fin d'année</v>
          </cell>
        </row>
        <row r="259">
          <cell r="C259" t="str">
            <v>Sdilution_2ml</v>
          </cell>
        </row>
        <row r="260">
          <cell r="C260" t="str">
            <v>Sdilution_5ml</v>
          </cell>
        </row>
        <row r="261">
          <cell r="C261" t="str">
            <v>Sdilution_10ml</v>
          </cell>
        </row>
        <row r="262">
          <cell r="C262" t="str">
            <v>RUPF_Sdilution_2ml</v>
          </cell>
        </row>
        <row r="263">
          <cell r="C263" t="str">
            <v>RUPF_Sdilution_5ml</v>
          </cell>
        </row>
        <row r="264">
          <cell r="C264" t="str">
            <v>RUPF_Sdilution_10ml</v>
          </cell>
        </row>
        <row r="382">
          <cell r="C382" t="str">
            <v>besoins</v>
          </cell>
        </row>
        <row r="383">
          <cell r="C383" t="str">
            <v>couverture</v>
          </cell>
        </row>
        <row r="514">
          <cell r="C514" t="str">
            <v>VAC/DIL</v>
          </cell>
        </row>
        <row r="515">
          <cell r="C515" t="str">
            <v>CONS</v>
          </cell>
        </row>
        <row r="538">
          <cell r="C538" t="str">
            <v>Oral</v>
          </cell>
        </row>
        <row r="539">
          <cell r="C539" t="str">
            <v>Nasal</v>
          </cell>
        </row>
        <row r="540">
          <cell r="C540" t="str">
            <v>SAB_0.05ml</v>
          </cell>
        </row>
        <row r="541">
          <cell r="C541" t="str">
            <v>SAB_0.1ml</v>
          </cell>
        </row>
        <row r="542">
          <cell r="C542" t="str">
            <v>SAB_0.5ml</v>
          </cell>
        </row>
        <row r="543">
          <cell r="C543" t="str">
            <v>No(combo)</v>
          </cell>
        </row>
      </sheetData>
      <sheetData sheetId="25">
        <row r="2">
          <cell r="B2" t="str">
            <v>Afghanistan</v>
          </cell>
        </row>
        <row r="3">
          <cell r="B3" t="str">
            <v>Albania</v>
          </cell>
        </row>
        <row r="4">
          <cell r="B4" t="str">
            <v>Algeria</v>
          </cell>
        </row>
        <row r="5">
          <cell r="B5" t="str">
            <v>Andorra</v>
          </cell>
        </row>
        <row r="6">
          <cell r="B6" t="str">
            <v>Angola</v>
          </cell>
        </row>
        <row r="7">
          <cell r="B7" t="str">
            <v>Antigua and Barbuda</v>
          </cell>
        </row>
        <row r="8">
          <cell r="B8" t="str">
            <v>Argentina</v>
          </cell>
        </row>
        <row r="9">
          <cell r="B9" t="str">
            <v>Armenia</v>
          </cell>
        </row>
        <row r="10">
          <cell r="B10" t="str">
            <v>Australia</v>
          </cell>
        </row>
        <row r="11">
          <cell r="B11" t="str">
            <v>Austria</v>
          </cell>
        </row>
        <row r="12">
          <cell r="B12" t="str">
            <v>Azerbaijan</v>
          </cell>
        </row>
        <row r="13">
          <cell r="B13" t="str">
            <v>Bahrain</v>
          </cell>
        </row>
        <row r="14">
          <cell r="B14" t="str">
            <v>Bahamas</v>
          </cell>
        </row>
        <row r="15">
          <cell r="B15" t="str">
            <v>Bangladesh</v>
          </cell>
        </row>
        <row r="16">
          <cell r="B16" t="str">
            <v>Barbados</v>
          </cell>
        </row>
        <row r="17">
          <cell r="B17" t="str">
            <v>Belgium</v>
          </cell>
        </row>
        <row r="18">
          <cell r="B18" t="str">
            <v>Bénin</v>
          </cell>
        </row>
        <row r="19">
          <cell r="B19" t="str">
            <v>Burkina Faso</v>
          </cell>
        </row>
        <row r="20">
          <cell r="B20" t="str">
            <v>Bhutan</v>
          </cell>
        </row>
        <row r="21">
          <cell r="B21" t="str">
            <v>Bosnia and Herzegovina</v>
          </cell>
        </row>
        <row r="22">
          <cell r="B22" t="str">
            <v>Palau</v>
          </cell>
        </row>
        <row r="23">
          <cell r="B23" t="str">
            <v>Belarus</v>
          </cell>
        </row>
        <row r="24">
          <cell r="B24" t="str">
            <v>Belize</v>
          </cell>
        </row>
        <row r="25">
          <cell r="B25" t="str">
            <v>Bolivia</v>
          </cell>
        </row>
        <row r="26">
          <cell r="B26" t="str">
            <v>Botswana</v>
          </cell>
        </row>
        <row r="27">
          <cell r="B27" t="str">
            <v>Brazil</v>
          </cell>
        </row>
        <row r="28">
          <cell r="B28" t="str">
            <v>Brunei</v>
          </cell>
        </row>
        <row r="29">
          <cell r="B29" t="str">
            <v>Bulgaria</v>
          </cell>
        </row>
        <row r="30">
          <cell r="B30" t="str">
            <v>Burundi</v>
          </cell>
        </row>
        <row r="31">
          <cell r="B31" t="str">
            <v>Cameroun</v>
          </cell>
        </row>
        <row r="32">
          <cell r="B32" t="str">
            <v>République Centrafricaine</v>
          </cell>
        </row>
        <row r="33">
          <cell r="B33" t="str">
            <v>Cambodia</v>
          </cell>
        </row>
        <row r="34">
          <cell r="B34" t="str">
            <v>Canada</v>
          </cell>
        </row>
        <row r="35">
          <cell r="B35" t="str">
            <v>Cape Verde</v>
          </cell>
        </row>
        <row r="36">
          <cell r="B36" t="str">
            <v>Tchad</v>
          </cell>
        </row>
        <row r="37">
          <cell r="B37" t="str">
            <v>Chile</v>
          </cell>
        </row>
        <row r="38">
          <cell r="B38" t="str">
            <v>China</v>
          </cell>
        </row>
        <row r="39">
          <cell r="B39" t="str">
            <v>Congo</v>
          </cell>
        </row>
        <row r="40">
          <cell r="B40" t="str">
            <v>République Démocratique du Congo</v>
          </cell>
        </row>
        <row r="41">
          <cell r="B41" t="str">
            <v>Cook Islands</v>
          </cell>
        </row>
        <row r="42">
          <cell r="B42" t="str">
            <v>Colombia</v>
          </cell>
        </row>
        <row r="43">
          <cell r="B43" t="str">
            <v>Comoros</v>
          </cell>
        </row>
        <row r="44">
          <cell r="B44" t="str">
            <v>Costa Rica</v>
          </cell>
        </row>
        <row r="45">
          <cell r="B45" t="str">
            <v>Croatia</v>
          </cell>
        </row>
        <row r="46">
          <cell r="B46" t="str">
            <v>Cuba</v>
          </cell>
        </row>
        <row r="47">
          <cell r="B47" t="str">
            <v>Cyprus</v>
          </cell>
        </row>
        <row r="48">
          <cell r="B48" t="str">
            <v>Czech Republic</v>
          </cell>
        </row>
        <row r="49">
          <cell r="B49" t="str">
            <v>Denmark</v>
          </cell>
        </row>
        <row r="50">
          <cell r="B50" t="str">
            <v>Germany</v>
          </cell>
        </row>
        <row r="51">
          <cell r="B51" t="str">
            <v>Djibouti</v>
          </cell>
        </row>
        <row r="52">
          <cell r="B52" t="str">
            <v>Dominica</v>
          </cell>
        </row>
        <row r="53">
          <cell r="B53" t="str">
            <v>Dominican Republic</v>
          </cell>
        </row>
        <row r="54">
          <cell r="B54" t="str">
            <v>Ecuador</v>
          </cell>
        </row>
        <row r="55">
          <cell r="B55" t="str">
            <v>Egypt</v>
          </cell>
        </row>
        <row r="56">
          <cell r="B56" t="str">
            <v>El Salvador</v>
          </cell>
        </row>
        <row r="57">
          <cell r="B57" t="str">
            <v>Equatorial Guinea</v>
          </cell>
        </row>
        <row r="58">
          <cell r="B58" t="str">
            <v>Eritrea</v>
          </cell>
        </row>
        <row r="59">
          <cell r="B59" t="str">
            <v>Estonia</v>
          </cell>
        </row>
        <row r="60">
          <cell r="B60" t="str">
            <v>Ethiopia</v>
          </cell>
        </row>
        <row r="61">
          <cell r="B61" t="str">
            <v>Fiji</v>
          </cell>
        </row>
        <row r="62">
          <cell r="B62" t="str">
            <v>Finland</v>
          </cell>
        </row>
        <row r="63">
          <cell r="B63" t="str">
            <v>France</v>
          </cell>
        </row>
        <row r="64">
          <cell r="B64" t="str">
            <v>Gabon</v>
          </cell>
        </row>
        <row r="65">
          <cell r="B65" t="str">
            <v>Gambia</v>
          </cell>
        </row>
        <row r="66">
          <cell r="B66" t="str">
            <v>Ghana</v>
          </cell>
        </row>
        <row r="67">
          <cell r="B67" t="str">
            <v>Georgia</v>
          </cell>
        </row>
        <row r="68">
          <cell r="B68" t="str">
            <v>Grenada</v>
          </cell>
        </row>
        <row r="69">
          <cell r="B69" t="str">
            <v>Greece</v>
          </cell>
        </row>
        <row r="70">
          <cell r="B70" t="str">
            <v>Guinea-Bissau</v>
          </cell>
        </row>
        <row r="71">
          <cell r="B71" t="str">
            <v>Guinée</v>
          </cell>
        </row>
        <row r="72">
          <cell r="B72" t="str">
            <v>Guatemala</v>
          </cell>
        </row>
        <row r="73">
          <cell r="B73" t="str">
            <v>Guyana</v>
          </cell>
        </row>
        <row r="74">
          <cell r="B74" t="str">
            <v>Haiti</v>
          </cell>
        </row>
        <row r="75">
          <cell r="B75" t="str">
            <v>Honduras</v>
          </cell>
        </row>
        <row r="76">
          <cell r="B76" t="str">
            <v>Hungary</v>
          </cell>
        </row>
        <row r="77">
          <cell r="B77" t="str">
            <v>Iceland</v>
          </cell>
        </row>
        <row r="78">
          <cell r="B78" t="str">
            <v>India</v>
          </cell>
        </row>
        <row r="79">
          <cell r="B79" t="str">
            <v>Indonesia</v>
          </cell>
        </row>
        <row r="80">
          <cell r="B80" t="str">
            <v>Iran (Islamic Republic of)</v>
          </cell>
        </row>
        <row r="81">
          <cell r="B81" t="str">
            <v>Ireland</v>
          </cell>
        </row>
        <row r="82">
          <cell r="B82" t="str">
            <v>Iraq</v>
          </cell>
        </row>
        <row r="83">
          <cell r="B83" t="str">
            <v>Israel</v>
          </cell>
        </row>
        <row r="84">
          <cell r="B84" t="str">
            <v>Italy</v>
          </cell>
        </row>
        <row r="85">
          <cell r="B85" t="str">
            <v>Côte d'Ivoire</v>
          </cell>
        </row>
        <row r="86">
          <cell r="B86" t="str">
            <v>Jamaica</v>
          </cell>
        </row>
        <row r="87">
          <cell r="B87" t="str">
            <v>Jordan</v>
          </cell>
        </row>
        <row r="88">
          <cell r="B88" t="str">
            <v>Japan</v>
          </cell>
        </row>
        <row r="89">
          <cell r="B89" t="str">
            <v>Kazakhstan</v>
          </cell>
        </row>
        <row r="90">
          <cell r="B90" t="str">
            <v>Kenya</v>
          </cell>
        </row>
        <row r="91">
          <cell r="B91" t="str">
            <v>Kyrgyzstan</v>
          </cell>
        </row>
        <row r="92">
          <cell r="B92" t="str">
            <v>Kiribati</v>
          </cell>
        </row>
        <row r="93">
          <cell r="B93" t="str">
            <v>Republic of Korea</v>
          </cell>
        </row>
        <row r="94">
          <cell r="B94" t="str">
            <v>Democratic People's Republic of Korea</v>
          </cell>
        </row>
        <row r="95">
          <cell r="B95" t="str">
            <v>Kuwait</v>
          </cell>
        </row>
        <row r="96">
          <cell r="B96" t="str">
            <v>Lao People's Democratic Republic</v>
          </cell>
        </row>
        <row r="97">
          <cell r="B97" t="str">
            <v>Lebanon</v>
          </cell>
        </row>
        <row r="98">
          <cell r="B98" t="str">
            <v>Lesotho</v>
          </cell>
        </row>
        <row r="99">
          <cell r="B99" t="str">
            <v>Liberia</v>
          </cell>
        </row>
        <row r="100">
          <cell r="B100" t="str">
            <v>Libyan Arab Jamahiriya</v>
          </cell>
        </row>
        <row r="101">
          <cell r="B101" t="str">
            <v>Lithuania</v>
          </cell>
        </row>
        <row r="102">
          <cell r="B102" t="str">
            <v>Luxembourg</v>
          </cell>
        </row>
        <row r="103">
          <cell r="B103" t="str">
            <v>Latvia</v>
          </cell>
        </row>
        <row r="104">
          <cell r="B104" t="str">
            <v>Malaysia</v>
          </cell>
        </row>
        <row r="105">
          <cell r="B105" t="str">
            <v>Madagascar</v>
          </cell>
        </row>
        <row r="106">
          <cell r="B106" t="str">
            <v>Mali</v>
          </cell>
        </row>
        <row r="107">
          <cell r="B107" t="str">
            <v>Malawi</v>
          </cell>
        </row>
        <row r="108">
          <cell r="B108" t="str">
            <v>Mauritius</v>
          </cell>
        </row>
        <row r="109">
          <cell r="B109" t="str">
            <v>Malta</v>
          </cell>
        </row>
        <row r="110">
          <cell r="B110" t="str">
            <v>Mauritanie</v>
          </cell>
        </row>
        <row r="111">
          <cell r="B111" t="str">
            <v>Maldives</v>
          </cell>
        </row>
        <row r="112">
          <cell r="B112" t="str">
            <v>Republic of Moldova</v>
          </cell>
        </row>
        <row r="113">
          <cell r="B113" t="str">
            <v>Mexico</v>
          </cell>
        </row>
        <row r="114">
          <cell r="B114" t="str">
            <v>Micronesia</v>
          </cell>
        </row>
        <row r="115">
          <cell r="B115" t="str">
            <v>Macedonia</v>
          </cell>
        </row>
        <row r="116">
          <cell r="B116" t="str">
            <v>Myanmar</v>
          </cell>
        </row>
        <row r="117">
          <cell r="B117" t="str">
            <v>Montenegro</v>
          </cell>
        </row>
        <row r="118">
          <cell r="B118" t="str">
            <v>Mongolia</v>
          </cell>
        </row>
        <row r="119">
          <cell r="B119" t="str">
            <v>Monaco</v>
          </cell>
        </row>
        <row r="120">
          <cell r="B120" t="str">
            <v>Morocco</v>
          </cell>
        </row>
        <row r="121">
          <cell r="B121" t="str">
            <v>Mozambique</v>
          </cell>
        </row>
        <row r="122">
          <cell r="B122" t="str">
            <v>Marshall Islands</v>
          </cell>
        </row>
        <row r="123">
          <cell r="B123" t="str">
            <v>Namibia</v>
          </cell>
        </row>
        <row r="124">
          <cell r="B124" t="str">
            <v>Nepal</v>
          </cell>
        </row>
        <row r="125">
          <cell r="B125" t="str">
            <v>Netherlands</v>
          </cell>
        </row>
        <row r="126">
          <cell r="B126" t="str">
            <v>New Zealand</v>
          </cell>
        </row>
        <row r="127">
          <cell r="B127" t="str">
            <v>Nicaragua</v>
          </cell>
        </row>
        <row r="128">
          <cell r="B128" t="str">
            <v>Nigeria</v>
          </cell>
        </row>
        <row r="129">
          <cell r="B129" t="str">
            <v>Niger</v>
          </cell>
        </row>
        <row r="130">
          <cell r="B130" t="str">
            <v>Niue</v>
          </cell>
        </row>
        <row r="131">
          <cell r="B131" t="str">
            <v>Norway</v>
          </cell>
        </row>
        <row r="132">
          <cell r="B132" t="str">
            <v>Nauru</v>
          </cell>
        </row>
        <row r="133">
          <cell r="B133" t="str">
            <v>Oman</v>
          </cell>
        </row>
        <row r="134">
          <cell r="B134" t="str">
            <v>Pakistan</v>
          </cell>
        </row>
        <row r="135">
          <cell r="B135" t="str">
            <v>Panama</v>
          </cell>
        </row>
        <row r="136">
          <cell r="B136" t="str">
            <v>Paraguay</v>
          </cell>
        </row>
        <row r="137">
          <cell r="B137" t="str">
            <v>Peru</v>
          </cell>
        </row>
        <row r="138">
          <cell r="B138" t="str">
            <v>Philippines</v>
          </cell>
        </row>
        <row r="139">
          <cell r="B139" t="str">
            <v>Papua New Guinea</v>
          </cell>
        </row>
        <row r="140">
          <cell r="B140" t="str">
            <v>Poland</v>
          </cell>
        </row>
        <row r="141">
          <cell r="B141" t="str">
            <v>Portugal</v>
          </cell>
        </row>
        <row r="142">
          <cell r="B142" t="str">
            <v>Qatar</v>
          </cell>
        </row>
        <row r="143">
          <cell r="B143" t="str">
            <v>Romania</v>
          </cell>
        </row>
        <row r="144">
          <cell r="B144" t="str">
            <v>Russian Federation</v>
          </cell>
        </row>
        <row r="145">
          <cell r="B145" t="str">
            <v>Rwanda</v>
          </cell>
        </row>
        <row r="146">
          <cell r="B146" t="str">
            <v>Saudi Arabia</v>
          </cell>
        </row>
        <row r="147">
          <cell r="B147" t="str">
            <v>Saint Lucia</v>
          </cell>
        </row>
        <row r="148">
          <cell r="B148" t="str">
            <v>Saint Vincent and The Grenadines</v>
          </cell>
        </row>
        <row r="149">
          <cell r="B149" t="str">
            <v>Saint Kitts and Nevis</v>
          </cell>
        </row>
        <row r="150">
          <cell r="B150" t="str">
            <v>Sénégal</v>
          </cell>
        </row>
        <row r="151">
          <cell r="B151" t="str">
            <v>Seychelles</v>
          </cell>
        </row>
        <row r="152">
          <cell r="B152" t="str">
            <v>Sierra Leone</v>
          </cell>
        </row>
        <row r="153">
          <cell r="B153" t="str">
            <v>Singapore</v>
          </cell>
        </row>
        <row r="154">
          <cell r="B154" t="str">
            <v>Samoa</v>
          </cell>
        </row>
        <row r="155">
          <cell r="B155" t="str">
            <v>San Marino</v>
          </cell>
        </row>
        <row r="156">
          <cell r="B156" t="str">
            <v>South Africa</v>
          </cell>
        </row>
        <row r="157">
          <cell r="B157" t="str">
            <v>Solomon Islands</v>
          </cell>
        </row>
        <row r="158">
          <cell r="B158" t="str">
            <v>Somalia</v>
          </cell>
        </row>
        <row r="159">
          <cell r="B159" t="str">
            <v>Spain</v>
          </cell>
        </row>
        <row r="160">
          <cell r="B160" t="str">
            <v>Sri Lanka</v>
          </cell>
        </row>
        <row r="161">
          <cell r="B161" t="str">
            <v>Sao Tome and Principe</v>
          </cell>
        </row>
        <row r="162">
          <cell r="B162" t="str">
            <v>Sudan</v>
          </cell>
        </row>
        <row r="163">
          <cell r="B163" t="str">
            <v>South Sudan</v>
          </cell>
        </row>
        <row r="164">
          <cell r="B164" t="str">
            <v>Suriname</v>
          </cell>
        </row>
        <row r="165">
          <cell r="B165" t="str">
            <v>Slovakia</v>
          </cell>
        </row>
        <row r="166">
          <cell r="B166" t="str">
            <v>Slovenia</v>
          </cell>
        </row>
        <row r="167">
          <cell r="B167" t="str">
            <v>Sweden</v>
          </cell>
        </row>
        <row r="168">
          <cell r="B168" t="str">
            <v>Switzerland</v>
          </cell>
        </row>
        <row r="169">
          <cell r="B169" t="str">
            <v>Swaziland</v>
          </cell>
        </row>
        <row r="170">
          <cell r="B170" t="str">
            <v>Syrian Arab Republic</v>
          </cell>
        </row>
        <row r="171">
          <cell r="B171" t="str">
            <v>Tanzania</v>
          </cell>
        </row>
        <row r="172">
          <cell r="B172" t="str">
            <v>Thailand</v>
          </cell>
        </row>
        <row r="173">
          <cell r="B173" t="str">
            <v>Tajikistan</v>
          </cell>
        </row>
        <row r="174">
          <cell r="B174" t="str">
            <v>Turkmenistan</v>
          </cell>
        </row>
        <row r="175">
          <cell r="B175" t="str">
            <v>Timor-Leste</v>
          </cell>
        </row>
        <row r="176">
          <cell r="B176" t="str">
            <v>Togo</v>
          </cell>
        </row>
        <row r="177">
          <cell r="B177" t="str">
            <v>Tonga</v>
          </cell>
        </row>
        <row r="178">
          <cell r="B178" t="str">
            <v>Trinidad and Tobago</v>
          </cell>
        </row>
        <row r="179">
          <cell r="B179" t="str">
            <v>Tunisie</v>
          </cell>
        </row>
        <row r="180">
          <cell r="B180" t="str">
            <v>Turkey</v>
          </cell>
        </row>
        <row r="181">
          <cell r="B181" t="str">
            <v>Tuvalu</v>
          </cell>
        </row>
        <row r="182">
          <cell r="B182" t="str">
            <v>United Arab Emirates</v>
          </cell>
        </row>
        <row r="183">
          <cell r="B183" t="str">
            <v>Uganda</v>
          </cell>
        </row>
        <row r="184">
          <cell r="B184" t="str">
            <v>Ukraine</v>
          </cell>
        </row>
        <row r="185">
          <cell r="B185" t="str">
            <v>United Kingdom</v>
          </cell>
        </row>
        <row r="186">
          <cell r="B186" t="str">
            <v>Uruguay</v>
          </cell>
        </row>
        <row r="187">
          <cell r="B187" t="str">
            <v>United States of America</v>
          </cell>
        </row>
        <row r="188">
          <cell r="B188" t="str">
            <v>Uzbekistan</v>
          </cell>
        </row>
        <row r="189">
          <cell r="B189" t="str">
            <v>Vanuatu</v>
          </cell>
        </row>
        <row r="190">
          <cell r="B190" t="str">
            <v>Venezuela</v>
          </cell>
        </row>
        <row r="191">
          <cell r="B191" t="str">
            <v>Viet Nam</v>
          </cell>
        </row>
        <row r="192">
          <cell r="B192" t="str">
            <v>Yemen</v>
          </cell>
        </row>
        <row r="193">
          <cell r="B193" t="str">
            <v>Serbia</v>
          </cell>
        </row>
        <row r="194">
          <cell r="B194" t="str">
            <v>Zambia</v>
          </cell>
        </row>
        <row r="195">
          <cell r="B19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 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 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 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 /><Relationship Id="rId3" Type="http://schemas.openxmlformats.org/officeDocument/2006/relationships/vmlDrawing" Target="../drawings/vmlDrawing1.vml" /><Relationship Id="rId7" Type="http://schemas.openxmlformats.org/officeDocument/2006/relationships/image" Target="../media/image5.emf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6" Type="http://schemas.openxmlformats.org/officeDocument/2006/relationships/package" Target="../embeddings/Microsoft_Word_Document1.docx" /><Relationship Id="rId5" Type="http://schemas.openxmlformats.org/officeDocument/2006/relationships/image" Target="../media/image4.emf" /><Relationship Id="rId4" Type="http://schemas.openxmlformats.org/officeDocument/2006/relationships/package" Target="../embeddings/Microsoft_Word_Document.docx" /><Relationship Id="rId9" Type="http://schemas.openxmlformats.org/officeDocument/2006/relationships/image" Target="../media/image6.emf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6FF66"/>
  </sheetPr>
  <dimension ref="B2:G24"/>
  <sheetViews>
    <sheetView showGridLines="0" workbookViewId="0">
      <selection activeCell="K12" sqref="K12"/>
    </sheetView>
  </sheetViews>
  <sheetFormatPr defaultColWidth="11.4609375" defaultRowHeight="15" x14ac:dyDescent="0.2"/>
  <cols>
    <col min="1" max="1" width="2.01953125" style="797" customWidth="1"/>
    <col min="2" max="2" width="4.71875" style="797" customWidth="1"/>
    <col min="3" max="3" width="19.6875" style="797" customWidth="1"/>
    <col min="4" max="4" width="44.63671875" style="797" customWidth="1"/>
    <col min="5" max="5" width="17.93359375" style="797" customWidth="1"/>
    <col min="6" max="6" width="30.609375" style="797" customWidth="1"/>
    <col min="7" max="7" width="5.93359375" style="797" customWidth="1"/>
    <col min="8" max="8" width="3.37109375" style="797" customWidth="1"/>
    <col min="9" max="16384" width="11.4609375" style="797"/>
  </cols>
  <sheetData>
    <row r="2" spans="2:7" x14ac:dyDescent="0.2">
      <c r="B2" s="697"/>
      <c r="C2" s="801" t="s">
        <v>507</v>
      </c>
      <c r="D2" s="697"/>
      <c r="E2" s="697"/>
      <c r="F2" s="697"/>
      <c r="G2" s="697"/>
    </row>
    <row r="3" spans="2:7" ht="21" x14ac:dyDescent="0.3">
      <c r="B3" s="698"/>
      <c r="C3" s="699" t="s">
        <v>468</v>
      </c>
      <c r="D3" s="699"/>
      <c r="E3" s="699"/>
      <c r="F3" s="699"/>
      <c r="G3" s="698"/>
    </row>
    <row r="4" spans="2:7" x14ac:dyDescent="0.2">
      <c r="B4" s="697"/>
      <c r="C4" s="697"/>
      <c r="D4" s="697"/>
      <c r="E4" s="697"/>
      <c r="F4" s="697"/>
      <c r="G4" s="697"/>
    </row>
    <row r="5" spans="2:7" x14ac:dyDescent="0.2">
      <c r="B5" s="697"/>
      <c r="C5" s="697"/>
      <c r="D5" s="697"/>
      <c r="E5" s="697"/>
      <c r="F5" s="697"/>
      <c r="G5" s="697"/>
    </row>
    <row r="6" spans="2:7" x14ac:dyDescent="0.2">
      <c r="B6" s="697"/>
      <c r="C6" s="697"/>
      <c r="D6" s="697"/>
      <c r="E6" s="697"/>
      <c r="F6" s="697"/>
      <c r="G6" s="697"/>
    </row>
    <row r="7" spans="2:7" ht="18.75" x14ac:dyDescent="0.25">
      <c r="B7" s="698"/>
      <c r="C7" s="700" t="s">
        <v>469</v>
      </c>
      <c r="D7" s="701" t="s">
        <v>1</v>
      </c>
      <c r="E7" s="702" t="s">
        <v>481</v>
      </c>
      <c r="F7" s="774">
        <v>2023</v>
      </c>
      <c r="G7" s="698"/>
    </row>
    <row r="8" spans="2:7" ht="18.75" x14ac:dyDescent="0.25">
      <c r="B8" s="698"/>
      <c r="C8" s="703"/>
      <c r="D8" s="698"/>
      <c r="E8" s="703"/>
      <c r="F8" s="698"/>
      <c r="G8" s="698"/>
    </row>
    <row r="9" spans="2:7" ht="18.75" x14ac:dyDescent="0.25">
      <c r="B9" s="698"/>
      <c r="C9" s="700" t="s">
        <v>470</v>
      </c>
      <c r="D9" s="704"/>
      <c r="E9" s="702" t="s">
        <v>482</v>
      </c>
      <c r="F9" s="775"/>
      <c r="G9" s="698"/>
    </row>
    <row r="10" spans="2:7" ht="18.75" x14ac:dyDescent="0.25">
      <c r="B10" s="698"/>
      <c r="C10" s="703"/>
      <c r="D10" s="698"/>
      <c r="E10" s="703"/>
      <c r="F10" s="698"/>
      <c r="G10" s="698"/>
    </row>
    <row r="11" spans="2:7" ht="18.75" x14ac:dyDescent="0.25">
      <c r="B11" s="698"/>
      <c r="C11" s="702" t="s">
        <v>471</v>
      </c>
      <c r="D11" s="704"/>
      <c r="E11" s="702" t="s">
        <v>472</v>
      </c>
      <c r="F11" s="776"/>
      <c r="G11" s="698"/>
    </row>
    <row r="12" spans="2:7" ht="18.75" x14ac:dyDescent="0.25">
      <c r="B12" s="697"/>
      <c r="C12" s="702"/>
      <c r="D12" s="705"/>
      <c r="E12" s="705"/>
      <c r="F12" s="705"/>
      <c r="G12" s="697"/>
    </row>
    <row r="13" spans="2:7" ht="18.75" x14ac:dyDescent="0.25">
      <c r="B13" s="703"/>
      <c r="C13" s="754"/>
      <c r="D13" s="754" t="s">
        <v>473</v>
      </c>
      <c r="E13" s="754"/>
      <c r="F13" s="754"/>
      <c r="G13" s="703"/>
    </row>
    <row r="14" spans="2:7" ht="22.5" x14ac:dyDescent="0.3">
      <c r="B14" s="698"/>
      <c r="C14" s="802" t="s">
        <v>515</v>
      </c>
      <c r="D14" s="803"/>
      <c r="E14" s="803"/>
      <c r="F14" s="803"/>
      <c r="G14" s="698"/>
    </row>
    <row r="15" spans="2:7" x14ac:dyDescent="0.2">
      <c r="B15" s="697"/>
      <c r="C15" s="697"/>
      <c r="D15" s="697"/>
      <c r="E15" s="697"/>
      <c r="F15" s="697"/>
      <c r="G15" s="697"/>
    </row>
    <row r="16" spans="2:7" ht="18.75" x14ac:dyDescent="0.25">
      <c r="B16" s="698"/>
      <c r="C16" s="702" t="s">
        <v>474</v>
      </c>
      <c r="D16" s="775" t="s">
        <v>506</v>
      </c>
      <c r="E16" s="702" t="s">
        <v>475</v>
      </c>
      <c r="F16" s="773">
        <v>0.115</v>
      </c>
      <c r="G16" s="698"/>
    </row>
    <row r="17" spans="2:7" ht="18.75" x14ac:dyDescent="0.25">
      <c r="B17" s="698"/>
      <c r="C17" s="702"/>
      <c r="D17" s="697"/>
      <c r="E17" s="702"/>
      <c r="F17" s="697"/>
      <c r="G17" s="698"/>
    </row>
    <row r="18" spans="2:7" ht="18.75" x14ac:dyDescent="0.25">
      <c r="B18" s="698"/>
      <c r="C18" s="702" t="s">
        <v>476</v>
      </c>
      <c r="D18" s="774">
        <v>10</v>
      </c>
      <c r="E18" s="702" t="s">
        <v>477</v>
      </c>
      <c r="F18" s="777">
        <v>5</v>
      </c>
      <c r="G18" s="698"/>
    </row>
    <row r="19" spans="2:7" x14ac:dyDescent="0.2">
      <c r="B19" s="697"/>
      <c r="C19" s="697"/>
      <c r="D19" s="697"/>
      <c r="E19" s="697"/>
      <c r="F19" s="697"/>
      <c r="G19" s="697"/>
    </row>
    <row r="20" spans="2:7" x14ac:dyDescent="0.2">
      <c r="B20" s="697"/>
      <c r="C20" s="706"/>
      <c r="D20" s="706"/>
      <c r="E20" s="706"/>
      <c r="F20" s="706"/>
      <c r="G20" s="697"/>
    </row>
    <row r="21" spans="2:7" x14ac:dyDescent="0.2">
      <c r="B21" s="697"/>
      <c r="C21" s="706"/>
      <c r="D21" s="706"/>
      <c r="E21" s="706"/>
      <c r="F21" s="706"/>
      <c r="G21" s="697"/>
    </row>
    <row r="22" spans="2:7" x14ac:dyDescent="0.2">
      <c r="B22" s="697"/>
      <c r="C22" s="706"/>
      <c r="D22" s="706"/>
      <c r="E22" s="706"/>
      <c r="F22" s="706"/>
      <c r="G22" s="697"/>
    </row>
    <row r="23" spans="2:7" x14ac:dyDescent="0.2">
      <c r="B23" s="697"/>
      <c r="C23" s="706"/>
      <c r="D23" s="706"/>
      <c r="E23" s="706"/>
      <c r="F23" s="707"/>
      <c r="G23" s="697"/>
    </row>
    <row r="24" spans="2:7" x14ac:dyDescent="0.2">
      <c r="B24" s="697"/>
      <c r="C24" s="697"/>
      <c r="D24" s="697"/>
      <c r="E24" s="697"/>
      <c r="F24" s="697"/>
      <c r="G24" s="697"/>
    </row>
  </sheetData>
  <sheetProtection selectLockedCells="1"/>
  <protectedRanges>
    <protectedRange sqref="D9" name="Range1_1"/>
  </protectedRanges>
  <conditionalFormatting sqref="D9">
    <cfRule type="cellIs" dxfId="5" priority="6" stopIfTrue="1" operator="notEqual">
      <formula>""</formula>
    </cfRule>
  </conditionalFormatting>
  <conditionalFormatting sqref="D11">
    <cfRule type="cellIs" dxfId="4" priority="5" stopIfTrue="1" operator="notEqual">
      <formula>""</formula>
    </cfRule>
  </conditionalFormatting>
  <conditionalFormatting sqref="D16">
    <cfRule type="cellIs" dxfId="3" priority="2" stopIfTrue="1" operator="notEqual">
      <formula>""</formula>
    </cfRule>
  </conditionalFormatting>
  <conditionalFormatting sqref="D18">
    <cfRule type="cellIs" dxfId="2" priority="1" stopIfTrue="1" operator="notEqual">
      <formula>""</formula>
    </cfRule>
  </conditionalFormatting>
  <conditionalFormatting sqref="F7">
    <cfRule type="cellIs" dxfId="1" priority="4" stopIfTrue="1" operator="notEqual">
      <formula>""</formula>
    </cfRule>
  </conditionalFormatting>
  <conditionalFormatting sqref="F9">
    <cfRule type="cellIs" dxfId="0" priority="3" stopIfTrue="1" operator="notEqual">
      <formula>""</formula>
    </cfRule>
  </conditionalFormatting>
  <dataValidations count="2">
    <dataValidation type="list" allowBlank="1" showInputMessage="1" showErrorMessage="1" sqref="D16" xr:uid="{00000000-0002-0000-0000-000000000000}">
      <formula1>"VAT,VAA,VAR,RR,VPO,mVPO1,mVPO3,bVPO1+3,H1N1"</formula1>
    </dataValidation>
    <dataValidation type="list" allowBlank="1" showInputMessage="1" showErrorMessage="1" sqref="D18" xr:uid="{00000000-0002-0000-0000-000001000000}">
      <formula1>"1,2,3,5,6,10,20,50,Uniject,PFS"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3"/>
  <sheetViews>
    <sheetView showGridLines="0" view="pageBreakPreview" zoomScale="98" zoomScaleNormal="154" zoomScaleSheetLayoutView="98" workbookViewId="0">
      <selection activeCell="C16" sqref="C16:D17"/>
    </sheetView>
  </sheetViews>
  <sheetFormatPr defaultColWidth="11.4609375" defaultRowHeight="12.75" x14ac:dyDescent="0.15"/>
  <cols>
    <col min="1" max="1" width="4.58203125" style="1" customWidth="1"/>
    <col min="2" max="2" width="21.98046875" style="1" customWidth="1"/>
    <col min="3" max="3" width="8.359375" style="1" customWidth="1"/>
    <col min="4" max="4" width="8.08984375" style="1" customWidth="1"/>
    <col min="5" max="6" width="11.32421875" style="1" customWidth="1"/>
    <col min="7" max="7" width="12" style="1" customWidth="1"/>
    <col min="8" max="8" width="9.9765625" style="1" customWidth="1"/>
    <col min="9" max="10" width="11.59375" style="1" customWidth="1"/>
    <col min="11" max="11" width="12.5390625" style="1" customWidth="1"/>
    <col min="12" max="12" width="2.828125" style="1" customWidth="1"/>
    <col min="13" max="13" width="9.9765625" style="1" customWidth="1"/>
    <col min="14" max="14" width="9.16796875" style="1" customWidth="1"/>
    <col min="15" max="15" width="9.03515625" style="1" customWidth="1"/>
    <col min="16" max="16" width="9.9765625" style="1" customWidth="1"/>
    <col min="17" max="17" width="8.4921875" style="1" customWidth="1"/>
    <col min="18" max="18" width="8.62890625" style="1" customWidth="1"/>
    <col min="19" max="19" width="9.4375" style="1" customWidth="1"/>
    <col min="20" max="20" width="9.3046875" style="1" customWidth="1"/>
    <col min="21" max="21" width="8.62890625" style="1" customWidth="1"/>
    <col min="22" max="22" width="8.4921875" style="1" customWidth="1"/>
    <col min="23" max="23" width="9.84375" style="1" customWidth="1"/>
    <col min="24" max="24" width="8.62890625" style="1" customWidth="1"/>
    <col min="25" max="16384" width="11.4609375" style="1"/>
  </cols>
  <sheetData>
    <row r="1" spans="1:24" x14ac:dyDescent="0.15">
      <c r="A1"/>
      <c r="B1"/>
      <c r="C1"/>
      <c r="D1"/>
      <c r="E1"/>
      <c r="F1"/>
      <c r="G1"/>
      <c r="H1"/>
      <c r="I1"/>
      <c r="J1"/>
      <c r="K1"/>
      <c r="L1"/>
    </row>
    <row r="2" spans="1:24" ht="33" x14ac:dyDescent="0.2">
      <c r="A2"/>
      <c r="B2" s="734" t="str">
        <f>'1.Stratégie'!$B$2</f>
        <v>Microplanification Campagne de vaccination préventive contre la Rougeole et la Rubeole (RR), 2023</v>
      </c>
      <c r="C2" s="162"/>
      <c r="D2" s="162"/>
      <c r="E2" s="162"/>
      <c r="F2" s="162"/>
      <c r="G2" s="162"/>
      <c r="H2" s="162"/>
      <c r="I2" s="162"/>
      <c r="J2" s="162"/>
      <c r="K2" s="162"/>
      <c r="L2" s="21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</row>
    <row r="3" spans="1:24" x14ac:dyDescent="0.15">
      <c r="A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4" ht="18" x14ac:dyDescent="0.2">
      <c r="A4" s="567"/>
      <c r="B4" s="568" t="s">
        <v>283</v>
      </c>
      <c r="C4" s="567"/>
      <c r="D4" s="569"/>
      <c r="E4" s="567"/>
      <c r="F4" s="567"/>
      <c r="G4" s="567"/>
      <c r="H4" s="567"/>
      <c r="I4" s="567"/>
      <c r="J4" s="567"/>
      <c r="K4" s="567"/>
      <c r="L4" s="567"/>
      <c r="M4" s="515"/>
      <c r="N4" s="515"/>
      <c r="O4" s="515"/>
      <c r="P4" s="515"/>
      <c r="Q4" s="515"/>
      <c r="R4" s="515"/>
      <c r="S4" s="515"/>
      <c r="T4" s="515"/>
      <c r="U4" s="515"/>
      <c r="V4" s="515"/>
      <c r="W4" s="515"/>
      <c r="X4" s="515"/>
    </row>
    <row r="5" spans="1:24" ht="18" x14ac:dyDescent="0.2">
      <c r="A5" s="567"/>
      <c r="B5" s="568"/>
      <c r="C5" s="567"/>
      <c r="D5" s="569"/>
      <c r="E5" s="567"/>
      <c r="F5" s="567"/>
      <c r="G5" s="567"/>
      <c r="H5" s="567"/>
      <c r="I5" s="567"/>
      <c r="J5" s="567"/>
      <c r="K5" s="567"/>
      <c r="L5" s="567"/>
      <c r="M5" s="515"/>
      <c r="N5" s="515"/>
      <c r="O5" s="515"/>
      <c r="P5" s="515"/>
      <c r="Q5" s="515"/>
      <c r="R5" s="515"/>
      <c r="S5" s="515"/>
      <c r="T5" s="515"/>
      <c r="U5" s="515"/>
      <c r="V5" s="515"/>
      <c r="W5" s="515"/>
      <c r="X5" s="515"/>
    </row>
    <row r="6" spans="1:24" ht="20.25" x14ac:dyDescent="0.25">
      <c r="A6" s="567"/>
      <c r="B6" s="130" t="str">
        <f>'1.Stratégie'!$B$4</f>
        <v>PAYS :</v>
      </c>
      <c r="C6" s="862" t="str">
        <f>'1.Stratégie'!$C$4</f>
        <v>CAMEROUN</v>
      </c>
      <c r="D6" s="863"/>
      <c r="E6" s="863"/>
      <c r="F6" s="863"/>
      <c r="G6"/>
      <c r="H6"/>
      <c r="I6"/>
      <c r="J6"/>
      <c r="K6" s="567"/>
      <c r="L6" s="567"/>
      <c r="M6" s="515"/>
      <c r="N6" s="515"/>
    </row>
    <row r="7" spans="1:24" ht="8.25" customHeight="1" x14ac:dyDescent="0.25">
      <c r="A7" s="567"/>
      <c r="B7" s="130"/>
      <c r="C7" s="570"/>
      <c r="D7" s="571"/>
      <c r="E7" s="129"/>
      <c r="F7" s="129"/>
      <c r="G7" s="161"/>
      <c r="H7" s="129"/>
      <c r="I7" s="161"/>
      <c r="J7" s="161"/>
      <c r="K7" s="567"/>
      <c r="L7" s="567"/>
      <c r="M7" s="515"/>
      <c r="N7" s="515"/>
    </row>
    <row r="8" spans="1:24" ht="20.25" x14ac:dyDescent="0.25">
      <c r="A8" s="567"/>
      <c r="B8" s="129" t="str">
        <f>'1.Stratégie'!$D$4</f>
        <v>REGION :</v>
      </c>
      <c r="C8" s="826">
        <f>'1.Stratégie'!$E$4</f>
        <v>0</v>
      </c>
      <c r="D8" s="863"/>
      <c r="E8" s="863"/>
      <c r="F8" s="863"/>
      <c r="G8" s="161"/>
      <c r="H8" s="129"/>
      <c r="I8" s="161"/>
      <c r="J8" s="161"/>
      <c r="K8" s="567"/>
      <c r="L8" s="567"/>
      <c r="M8" s="515"/>
      <c r="N8" s="515"/>
    </row>
    <row r="9" spans="1:24" ht="8.25" customHeight="1" x14ac:dyDescent="0.25">
      <c r="A9" s="567"/>
      <c r="B9" s="130"/>
      <c r="C9" s="570"/>
      <c r="D9" s="571"/>
      <c r="E9"/>
      <c r="F9"/>
      <c r="G9"/>
      <c r="H9"/>
      <c r="I9" s="161"/>
      <c r="J9" s="161"/>
      <c r="K9" s="567"/>
      <c r="L9" s="567"/>
      <c r="M9" s="567"/>
      <c r="N9" s="515"/>
    </row>
    <row r="10" spans="1:24" ht="18" x14ac:dyDescent="0.15">
      <c r="A10" s="567"/>
      <c r="B10" s="128" t="str">
        <f>IF(('1.Stratégie'!$F$4)="","",'1.Stratégie'!$F$4)</f>
        <v>DISTRICT :</v>
      </c>
      <c r="C10" s="826">
        <f>IF(('1.Stratégie'!$G$4)="","",'1.Stratégie'!$G$4)</f>
        <v>0</v>
      </c>
      <c r="D10" s="826"/>
      <c r="E10" s="826"/>
      <c r="F10" s="826"/>
      <c r="G10"/>
      <c r="H10" s="129"/>
      <c r="I10" s="161"/>
      <c r="J10" s="161"/>
      <c r="K10" s="567"/>
      <c r="L10" s="567"/>
      <c r="M10" s="567"/>
      <c r="N10" s="515"/>
    </row>
    <row r="11" spans="1:24" x14ac:dyDescent="0.15">
      <c r="A11" s="567"/>
      <c r="B11" s="567"/>
      <c r="C11" s="567"/>
      <c r="D11" s="567"/>
      <c r="E11" s="567"/>
      <c r="F11" s="567"/>
      <c r="G11" s="567"/>
      <c r="H11" s="567"/>
      <c r="I11" s="567"/>
      <c r="J11" s="567"/>
      <c r="K11"/>
      <c r="L11"/>
      <c r="M11"/>
    </row>
    <row r="12" spans="1:24" ht="17.25" x14ac:dyDescent="0.15">
      <c r="A12" s="567"/>
      <c r="B12" s="567"/>
      <c r="C12" s="567"/>
      <c r="D12" s="567"/>
      <c r="E12" s="572" t="s">
        <v>382</v>
      </c>
      <c r="F12" s="573"/>
      <c r="G12" s="573"/>
      <c r="H12" s="573"/>
      <c r="I12" s="573"/>
      <c r="J12" s="813"/>
      <c r="K12" s="574"/>
      <c r="L12"/>
      <c r="M12"/>
    </row>
    <row r="13" spans="1:24" s="37" customFormat="1" x14ac:dyDescent="0.15">
      <c r="A13" s="575"/>
      <c r="B13" s="576"/>
      <c r="C13" s="576"/>
      <c r="D13" s="576"/>
      <c r="E13" s="864" t="s">
        <v>51</v>
      </c>
      <c r="F13" s="865"/>
      <c r="G13" s="865"/>
      <c r="H13" s="865"/>
      <c r="I13" s="866" t="s">
        <v>52</v>
      </c>
      <c r="J13" s="866"/>
      <c r="K13" s="871"/>
      <c r="L13" s="185"/>
      <c r="M13" s="185"/>
    </row>
    <row r="14" spans="1:24" s="37" customFormat="1" x14ac:dyDescent="0.15">
      <c r="A14" s="924" t="s">
        <v>2</v>
      </c>
      <c r="B14" s="922" t="s">
        <v>245</v>
      </c>
      <c r="C14" s="577" t="s">
        <v>279</v>
      </c>
      <c r="D14" s="578"/>
      <c r="E14" s="864" t="s">
        <v>288</v>
      </c>
      <c r="F14" s="864" t="s">
        <v>246</v>
      </c>
      <c r="G14" s="864" t="s">
        <v>247</v>
      </c>
      <c r="H14" s="864" t="s">
        <v>276</v>
      </c>
      <c r="I14" s="867" t="s">
        <v>57</v>
      </c>
      <c r="J14" s="867"/>
      <c r="K14" s="867" t="s">
        <v>25</v>
      </c>
      <c r="L14" s="185"/>
      <c r="M14" s="185"/>
    </row>
    <row r="15" spans="1:24" s="37" customFormat="1" ht="24" x14ac:dyDescent="0.15">
      <c r="A15" s="925"/>
      <c r="B15" s="923"/>
      <c r="C15" s="579" t="s">
        <v>278</v>
      </c>
      <c r="D15" s="579" t="s">
        <v>389</v>
      </c>
      <c r="E15" s="868" t="s">
        <v>383</v>
      </c>
      <c r="F15" s="868"/>
      <c r="G15" s="868" t="s">
        <v>383</v>
      </c>
      <c r="H15" s="868" t="s">
        <v>383</v>
      </c>
      <c r="I15" s="869" t="s">
        <v>497</v>
      </c>
      <c r="J15" s="869" t="s">
        <v>498</v>
      </c>
      <c r="K15" s="870" t="s">
        <v>274</v>
      </c>
      <c r="L15" s="185"/>
      <c r="M15" s="185"/>
    </row>
    <row r="16" spans="1:24" s="188" customFormat="1" ht="15" customHeight="1" x14ac:dyDescent="0.15">
      <c r="A16" s="215">
        <v>1</v>
      </c>
      <c r="B16" s="580">
        <f>'1.Stratégie'!$B8</f>
        <v>0</v>
      </c>
      <c r="C16" s="142"/>
      <c r="D16" s="142"/>
      <c r="E16" s="187">
        <f>'2.Equipe'!$N7*'2.Equipe'!$O7*Data!$C$48</f>
        <v>0</v>
      </c>
      <c r="F16" s="187">
        <f>'2.Equipe'!$P7*'2.Equipe'!$Q7*Data!$C$49</f>
        <v>0</v>
      </c>
      <c r="G16" s="187">
        <f>'2.Equipe'!$R7*'2.Equipe'!$S7*Data!$C$50</f>
        <v>0</v>
      </c>
      <c r="H16" s="187">
        <f>'2.Equipe'!$T7*'2.Equipe'!$U7*Data!$C$50</f>
        <v>0</v>
      </c>
      <c r="I16" s="187">
        <f>IF('1.Stratégie'!J8=0,0,Data!$H$13*Data!$C$51)</f>
        <v>0</v>
      </c>
      <c r="J16" s="187">
        <f>'3.Personnel'!V8*Data!$C$51*Data!$H$13</f>
        <v>0</v>
      </c>
      <c r="K16" s="187">
        <f>SUM(E16:J16)</f>
        <v>0</v>
      </c>
      <c r="L16" s="586"/>
      <c r="M16" s="586"/>
    </row>
    <row r="17" spans="1:13" s="188" customFormat="1" ht="15" customHeight="1" x14ac:dyDescent="0.15">
      <c r="A17" s="215">
        <v>2</v>
      </c>
      <c r="B17" s="580">
        <f>'1.Stratégie'!$B9</f>
        <v>0</v>
      </c>
      <c r="C17" s="142"/>
      <c r="D17" s="142"/>
      <c r="E17" s="187">
        <f>'2.Equipe'!$N8*'2.Equipe'!$O8*Data!$C$48</f>
        <v>0</v>
      </c>
      <c r="F17" s="187">
        <f>'2.Equipe'!$P8*'2.Equipe'!$Q8*Data!$C$49</f>
        <v>0</v>
      </c>
      <c r="G17" s="187">
        <f>'2.Equipe'!$R8*'2.Equipe'!$S8*Data!$C$50</f>
        <v>0</v>
      </c>
      <c r="H17" s="187">
        <f>'2.Equipe'!$T8*'2.Equipe'!$U8*Data!$C$50</f>
        <v>0</v>
      </c>
      <c r="I17" s="187">
        <f>IF('1.Stratégie'!J9=0,0,Data!$H$13*Data!$C$51)</f>
        <v>0</v>
      </c>
      <c r="J17" s="187">
        <f>'3.Personnel'!V9*Data!$C$51*Data!$H$13</f>
        <v>0</v>
      </c>
      <c r="K17" s="187">
        <f t="shared" ref="K17:K45" si="0">SUM(E17:J17)</f>
        <v>0</v>
      </c>
      <c r="L17" s="586"/>
      <c r="M17" s="586"/>
    </row>
    <row r="18" spans="1:13" s="188" customFormat="1" ht="15" customHeight="1" x14ac:dyDescent="0.15">
      <c r="A18" s="215">
        <v>3</v>
      </c>
      <c r="B18" s="580">
        <f>'1.Stratégie'!$B10</f>
        <v>0</v>
      </c>
      <c r="C18" s="142"/>
      <c r="D18" s="142"/>
      <c r="E18" s="187">
        <f>'2.Equipe'!$N9*'2.Equipe'!$O9*Data!$C$48</f>
        <v>0</v>
      </c>
      <c r="F18" s="187">
        <f>'2.Equipe'!$P9*'2.Equipe'!$Q9*Data!$C$49</f>
        <v>0</v>
      </c>
      <c r="G18" s="187">
        <f>'2.Equipe'!$R9*'2.Equipe'!$S9*Data!$C$50</f>
        <v>0</v>
      </c>
      <c r="H18" s="187">
        <f>'2.Equipe'!$T9*'2.Equipe'!$U9*Data!$C$50</f>
        <v>0</v>
      </c>
      <c r="I18" s="187">
        <f>IF('1.Stratégie'!J10=0,0,Data!$H$13*Data!$C$51)</f>
        <v>0</v>
      </c>
      <c r="J18" s="187">
        <f>'3.Personnel'!V10*Data!$C$51*Data!$H$13</f>
        <v>0</v>
      </c>
      <c r="K18" s="187">
        <f t="shared" si="0"/>
        <v>0</v>
      </c>
      <c r="L18" s="586"/>
      <c r="M18" s="586"/>
    </row>
    <row r="19" spans="1:13" s="188" customFormat="1" ht="15" customHeight="1" x14ac:dyDescent="0.15">
      <c r="A19" s="215">
        <v>4</v>
      </c>
      <c r="B19" s="580">
        <f>'1.Stratégie'!$B11</f>
        <v>0</v>
      </c>
      <c r="C19" s="142"/>
      <c r="D19" s="142"/>
      <c r="E19" s="187">
        <f>'2.Equipe'!$N10*'2.Equipe'!$O10*Data!$C$48</f>
        <v>0</v>
      </c>
      <c r="F19" s="187">
        <f>'2.Equipe'!$P10*'2.Equipe'!$Q10*Data!$C$49</f>
        <v>0</v>
      </c>
      <c r="G19" s="187">
        <f>'2.Equipe'!$R10*'2.Equipe'!$S10*Data!$C$50</f>
        <v>0</v>
      </c>
      <c r="H19" s="187">
        <f>'2.Equipe'!$T10*'2.Equipe'!$U10*Data!$C$50</f>
        <v>0</v>
      </c>
      <c r="I19" s="187">
        <f>IF('1.Stratégie'!J11=0,0,Data!$H$13*Data!$C$51)</f>
        <v>0</v>
      </c>
      <c r="J19" s="187">
        <f>'3.Personnel'!V11*Data!$C$51*Data!$H$13</f>
        <v>0</v>
      </c>
      <c r="K19" s="187">
        <f t="shared" si="0"/>
        <v>0</v>
      </c>
      <c r="L19" s="586"/>
      <c r="M19" s="586"/>
    </row>
    <row r="20" spans="1:13" s="188" customFormat="1" ht="15" customHeight="1" x14ac:dyDescent="0.15">
      <c r="A20" s="215">
        <v>5</v>
      </c>
      <c r="B20" s="580">
        <f>'1.Stratégie'!$B12</f>
        <v>0</v>
      </c>
      <c r="C20" s="142"/>
      <c r="D20" s="142"/>
      <c r="E20" s="187">
        <f>'2.Equipe'!$N11*'2.Equipe'!$O11*Data!$C$48</f>
        <v>0</v>
      </c>
      <c r="F20" s="187">
        <f>'2.Equipe'!$P11*'2.Equipe'!$Q11*Data!$C$49</f>
        <v>0</v>
      </c>
      <c r="G20" s="187">
        <f>'2.Equipe'!$R11*'2.Equipe'!$S11*Data!$C$50</f>
        <v>0</v>
      </c>
      <c r="H20" s="187">
        <f>'2.Equipe'!$T11*'2.Equipe'!$U11*Data!$C$50</f>
        <v>0</v>
      </c>
      <c r="I20" s="187">
        <f>IF('1.Stratégie'!J12=0,0,Data!$H$13*Data!$C$51)</f>
        <v>0</v>
      </c>
      <c r="J20" s="187">
        <f>'3.Personnel'!V12*Data!$C$51*Data!$H$13</f>
        <v>0</v>
      </c>
      <c r="K20" s="187">
        <f t="shared" si="0"/>
        <v>0</v>
      </c>
      <c r="L20" s="586"/>
      <c r="M20" s="586"/>
    </row>
    <row r="21" spans="1:13" s="188" customFormat="1" ht="15" customHeight="1" x14ac:dyDescent="0.15">
      <c r="A21" s="215">
        <v>6</v>
      </c>
      <c r="B21" s="580">
        <f>'1.Stratégie'!$B13</f>
        <v>0</v>
      </c>
      <c r="C21" s="142"/>
      <c r="D21" s="142"/>
      <c r="E21" s="187">
        <f>'2.Equipe'!$N12*'2.Equipe'!$O12*Data!$C$48</f>
        <v>0</v>
      </c>
      <c r="F21" s="187">
        <f>'2.Equipe'!$P12*'2.Equipe'!$Q12*Data!$C$49</f>
        <v>0</v>
      </c>
      <c r="G21" s="187">
        <f>'2.Equipe'!$R12*'2.Equipe'!$S12*Data!$C$50</f>
        <v>0</v>
      </c>
      <c r="H21" s="187">
        <f>'2.Equipe'!$T12*'2.Equipe'!$U12*Data!$C$50</f>
        <v>0</v>
      </c>
      <c r="I21" s="187">
        <f>IF('1.Stratégie'!J13=0,0,Data!$H$13*Data!$C$51)</f>
        <v>0</v>
      </c>
      <c r="J21" s="187">
        <f>'3.Personnel'!V13*Data!$C$51*Data!$H$13</f>
        <v>0</v>
      </c>
      <c r="K21" s="187">
        <f t="shared" si="0"/>
        <v>0</v>
      </c>
      <c r="L21" s="586"/>
      <c r="M21" s="586"/>
    </row>
    <row r="22" spans="1:13" s="188" customFormat="1" ht="15" customHeight="1" x14ac:dyDescent="0.15">
      <c r="A22" s="215">
        <v>7</v>
      </c>
      <c r="B22" s="580">
        <f>'1.Stratégie'!$B14</f>
        <v>0</v>
      </c>
      <c r="C22" s="142"/>
      <c r="D22" s="142"/>
      <c r="E22" s="187">
        <f>'2.Equipe'!$N13*'2.Equipe'!$O13*Data!$C$48</f>
        <v>0</v>
      </c>
      <c r="F22" s="187">
        <f>'2.Equipe'!$P13*'2.Equipe'!$Q13*Data!$C$49</f>
        <v>0</v>
      </c>
      <c r="G22" s="187">
        <f>'2.Equipe'!$R13*'2.Equipe'!$S13*Data!$C$50</f>
        <v>0</v>
      </c>
      <c r="H22" s="187">
        <f>'2.Equipe'!$T13*'2.Equipe'!$U13*Data!$C$50</f>
        <v>0</v>
      </c>
      <c r="I22" s="187">
        <f>IF('1.Stratégie'!J14=0,0,Data!$H$13*Data!$C$51)</f>
        <v>0</v>
      </c>
      <c r="J22" s="187">
        <f>'3.Personnel'!V14*Data!$C$51*Data!$H$13</f>
        <v>0</v>
      </c>
      <c r="K22" s="187">
        <f t="shared" si="0"/>
        <v>0</v>
      </c>
      <c r="L22" s="586"/>
      <c r="M22" s="586"/>
    </row>
    <row r="23" spans="1:13" s="188" customFormat="1" ht="15" customHeight="1" x14ac:dyDescent="0.15">
      <c r="A23" s="215">
        <v>8</v>
      </c>
      <c r="B23" s="580">
        <f>'1.Stratégie'!$B15</f>
        <v>0</v>
      </c>
      <c r="C23" s="142"/>
      <c r="D23" s="142"/>
      <c r="E23" s="187">
        <f>'2.Equipe'!$N14*'2.Equipe'!$O14*Data!$C$48</f>
        <v>0</v>
      </c>
      <c r="F23" s="187">
        <f>'2.Equipe'!$P14*'2.Equipe'!$Q14*Data!$C$49</f>
        <v>0</v>
      </c>
      <c r="G23" s="187">
        <f>'2.Equipe'!$R14*'2.Equipe'!$S14*Data!$C$50</f>
        <v>0</v>
      </c>
      <c r="H23" s="187">
        <f>'2.Equipe'!$T14*'2.Equipe'!$U14*Data!$C$50</f>
        <v>0</v>
      </c>
      <c r="I23" s="187">
        <f>IF('1.Stratégie'!J15=0,0,Data!$H$13*Data!$C$51)</f>
        <v>0</v>
      </c>
      <c r="J23" s="187">
        <f>'3.Personnel'!V15*Data!$C$51*Data!$H$13</f>
        <v>0</v>
      </c>
      <c r="K23" s="187">
        <f t="shared" si="0"/>
        <v>0</v>
      </c>
      <c r="L23" s="586"/>
      <c r="M23" s="586"/>
    </row>
    <row r="24" spans="1:13" s="188" customFormat="1" ht="15" customHeight="1" x14ac:dyDescent="0.15">
      <c r="A24" s="215">
        <v>9</v>
      </c>
      <c r="B24" s="580">
        <f>'1.Stratégie'!$B16</f>
        <v>0</v>
      </c>
      <c r="C24" s="142"/>
      <c r="D24" s="142"/>
      <c r="E24" s="187">
        <f>'2.Equipe'!$N15*'2.Equipe'!$O15*Data!$C$48</f>
        <v>0</v>
      </c>
      <c r="F24" s="187">
        <f>'2.Equipe'!$P15*'2.Equipe'!$Q15*Data!$C$49</f>
        <v>0</v>
      </c>
      <c r="G24" s="187">
        <f>'2.Equipe'!$R15*'2.Equipe'!$S15*Data!$C$50</f>
        <v>0</v>
      </c>
      <c r="H24" s="187">
        <f>'2.Equipe'!$T15*'2.Equipe'!$U15*Data!$C$50</f>
        <v>0</v>
      </c>
      <c r="I24" s="187">
        <f>IF('1.Stratégie'!J16=0,0,Data!$H$13*Data!$C$51)</f>
        <v>0</v>
      </c>
      <c r="J24" s="187">
        <f>'3.Personnel'!V16*Data!$C$51*Data!$H$13</f>
        <v>0</v>
      </c>
      <c r="K24" s="187">
        <f t="shared" si="0"/>
        <v>0</v>
      </c>
      <c r="L24" s="586"/>
      <c r="M24" s="586"/>
    </row>
    <row r="25" spans="1:13" s="188" customFormat="1" ht="15" customHeight="1" x14ac:dyDescent="0.15">
      <c r="A25" s="215">
        <v>10</v>
      </c>
      <c r="B25" s="580">
        <f>'1.Stratégie'!$B17</f>
        <v>0</v>
      </c>
      <c r="C25" s="142"/>
      <c r="D25" s="142"/>
      <c r="E25" s="187">
        <f>'2.Equipe'!$N16*'2.Equipe'!$O16*Data!$C$48</f>
        <v>0</v>
      </c>
      <c r="F25" s="187">
        <f>'2.Equipe'!$P16*'2.Equipe'!$Q16*Data!$C$49</f>
        <v>0</v>
      </c>
      <c r="G25" s="187">
        <f>'2.Equipe'!$R16*'2.Equipe'!$S16*Data!$C$50</f>
        <v>0</v>
      </c>
      <c r="H25" s="187">
        <f>'2.Equipe'!$T16*'2.Equipe'!$U16*Data!$C$50</f>
        <v>0</v>
      </c>
      <c r="I25" s="187">
        <f>IF('1.Stratégie'!J17=0,0,Data!$H$13*Data!$C$51)</f>
        <v>0</v>
      </c>
      <c r="J25" s="187">
        <f>'3.Personnel'!V17*Data!$C$51*Data!$H$13</f>
        <v>0</v>
      </c>
      <c r="K25" s="187">
        <f t="shared" si="0"/>
        <v>0</v>
      </c>
      <c r="L25" s="586"/>
      <c r="M25" s="586"/>
    </row>
    <row r="26" spans="1:13" s="188" customFormat="1" ht="15" customHeight="1" x14ac:dyDescent="0.15">
      <c r="A26" s="215">
        <v>11</v>
      </c>
      <c r="B26" s="580">
        <f>'1.Stratégie'!$B18</f>
        <v>0</v>
      </c>
      <c r="C26" s="142"/>
      <c r="D26" s="142"/>
      <c r="E26" s="187">
        <f>'2.Equipe'!$N17*'2.Equipe'!$O17*Data!$C$48</f>
        <v>0</v>
      </c>
      <c r="F26" s="187">
        <f>'2.Equipe'!$P17*'2.Equipe'!$Q17*Data!$C$49</f>
        <v>0</v>
      </c>
      <c r="G26" s="187">
        <f>'2.Equipe'!$R17*'2.Equipe'!$S17*Data!$C$50</f>
        <v>0</v>
      </c>
      <c r="H26" s="187">
        <f>'2.Equipe'!$T17*'2.Equipe'!$U17*Data!$C$50</f>
        <v>0</v>
      </c>
      <c r="I26" s="187">
        <f>IF('1.Stratégie'!J18=0,0,Data!$H$13*Data!$C$51)</f>
        <v>0</v>
      </c>
      <c r="J26" s="187">
        <f>'3.Personnel'!V18*Data!$C$51*Data!$H$13</f>
        <v>0</v>
      </c>
      <c r="K26" s="187">
        <f t="shared" si="0"/>
        <v>0</v>
      </c>
      <c r="L26" s="586"/>
      <c r="M26" s="586"/>
    </row>
    <row r="27" spans="1:13" s="188" customFormat="1" ht="15" customHeight="1" x14ac:dyDescent="0.15">
      <c r="A27" s="215">
        <v>12</v>
      </c>
      <c r="B27" s="580">
        <f>'1.Stratégie'!$B19</f>
        <v>0</v>
      </c>
      <c r="C27" s="142"/>
      <c r="D27" s="142"/>
      <c r="E27" s="187">
        <f>'2.Equipe'!$N18*'2.Equipe'!$O18*Data!$C$48</f>
        <v>0</v>
      </c>
      <c r="F27" s="187">
        <f>'2.Equipe'!$P18*'2.Equipe'!$Q18*Data!$C$49</f>
        <v>0</v>
      </c>
      <c r="G27" s="187">
        <f>'2.Equipe'!$R18*'2.Equipe'!$S18*Data!$C$50</f>
        <v>0</v>
      </c>
      <c r="H27" s="187">
        <f>'2.Equipe'!$T18*'2.Equipe'!$U18*Data!$C$50</f>
        <v>0</v>
      </c>
      <c r="I27" s="187">
        <f>IF('1.Stratégie'!J19=0,0,Data!$H$13*Data!$C$51)</f>
        <v>0</v>
      </c>
      <c r="J27" s="187">
        <f>'3.Personnel'!V19*Data!$C$51*Data!$H$13</f>
        <v>0</v>
      </c>
      <c r="K27" s="187">
        <f t="shared" si="0"/>
        <v>0</v>
      </c>
      <c r="L27" s="586"/>
      <c r="M27" s="586"/>
    </row>
    <row r="28" spans="1:13" s="188" customFormat="1" ht="15" customHeight="1" x14ac:dyDescent="0.15">
      <c r="A28" s="215">
        <v>13</v>
      </c>
      <c r="B28" s="580">
        <f>'1.Stratégie'!$B20</f>
        <v>0</v>
      </c>
      <c r="C28" s="142"/>
      <c r="D28" s="142"/>
      <c r="E28" s="187">
        <f>'2.Equipe'!$N19*'2.Equipe'!$O19*Data!$C$48</f>
        <v>0</v>
      </c>
      <c r="F28" s="187">
        <f>'2.Equipe'!$P19*'2.Equipe'!$Q19*Data!$C$49</f>
        <v>0</v>
      </c>
      <c r="G28" s="187">
        <f>'2.Equipe'!$R19*'2.Equipe'!$S19*Data!$C$50</f>
        <v>0</v>
      </c>
      <c r="H28" s="187">
        <f>'2.Equipe'!$T19*'2.Equipe'!$U19*Data!$C$50</f>
        <v>0</v>
      </c>
      <c r="I28" s="187">
        <f>IF('1.Stratégie'!J20=0,0,Data!$H$13*Data!$C$51)</f>
        <v>0</v>
      </c>
      <c r="J28" s="187">
        <f>'3.Personnel'!V20*Data!$C$51*Data!$H$13</f>
        <v>0</v>
      </c>
      <c r="K28" s="187">
        <f t="shared" si="0"/>
        <v>0</v>
      </c>
      <c r="L28" s="586"/>
      <c r="M28" s="586"/>
    </row>
    <row r="29" spans="1:13" s="188" customFormat="1" ht="15" customHeight="1" x14ac:dyDescent="0.15">
      <c r="A29" s="215">
        <v>14</v>
      </c>
      <c r="B29" s="580">
        <f>'1.Stratégie'!$B21</f>
        <v>0</v>
      </c>
      <c r="C29" s="142"/>
      <c r="D29" s="142"/>
      <c r="E29" s="187">
        <f>'2.Equipe'!$N20*'2.Equipe'!$O20*Data!$C$48</f>
        <v>0</v>
      </c>
      <c r="F29" s="187">
        <f>'2.Equipe'!$P20*'2.Equipe'!$Q20*Data!$C$49</f>
        <v>0</v>
      </c>
      <c r="G29" s="187">
        <f>'2.Equipe'!$R20*'2.Equipe'!$S20*Data!$C$50</f>
        <v>0</v>
      </c>
      <c r="H29" s="187">
        <f>'2.Equipe'!$T20*'2.Equipe'!$U20*Data!$C$50</f>
        <v>0</v>
      </c>
      <c r="I29" s="187">
        <f>IF('1.Stratégie'!J21=0,0,Data!$H$13*Data!$C$51)</f>
        <v>0</v>
      </c>
      <c r="J29" s="187">
        <f>'3.Personnel'!V21*Data!$C$51*Data!$H$13</f>
        <v>0</v>
      </c>
      <c r="K29" s="187">
        <f t="shared" si="0"/>
        <v>0</v>
      </c>
      <c r="L29" s="586"/>
      <c r="M29" s="586"/>
    </row>
    <row r="30" spans="1:13" s="188" customFormat="1" ht="15" customHeight="1" x14ac:dyDescent="0.15">
      <c r="A30" s="215">
        <v>15</v>
      </c>
      <c r="B30" s="580">
        <f>'1.Stratégie'!$B22</f>
        <v>0</v>
      </c>
      <c r="C30" s="142"/>
      <c r="D30" s="142"/>
      <c r="E30" s="187">
        <f>'2.Equipe'!$N21*'2.Equipe'!$O21*Data!$C$48</f>
        <v>0</v>
      </c>
      <c r="F30" s="187">
        <f>'2.Equipe'!$P21*'2.Equipe'!$Q21*Data!$C$49</f>
        <v>0</v>
      </c>
      <c r="G30" s="187">
        <f>'2.Equipe'!$R21*'2.Equipe'!$S21*Data!$C$50</f>
        <v>0</v>
      </c>
      <c r="H30" s="187">
        <f>'2.Equipe'!$T21*'2.Equipe'!$U21*Data!$C$50</f>
        <v>0</v>
      </c>
      <c r="I30" s="187">
        <f>IF('1.Stratégie'!J22=0,0,Data!$H$13*Data!$C$51)</f>
        <v>0</v>
      </c>
      <c r="J30" s="187">
        <f>'3.Personnel'!V22*Data!$C$51*Data!$H$13</f>
        <v>0</v>
      </c>
      <c r="K30" s="187">
        <f t="shared" si="0"/>
        <v>0</v>
      </c>
      <c r="L30" s="586"/>
      <c r="M30" s="586"/>
    </row>
    <row r="31" spans="1:13" s="188" customFormat="1" ht="15" customHeight="1" x14ac:dyDescent="0.15">
      <c r="A31" s="215">
        <v>16</v>
      </c>
      <c r="B31" s="580">
        <f>'1.Stratégie'!$B23</f>
        <v>0</v>
      </c>
      <c r="C31" s="142"/>
      <c r="D31" s="142"/>
      <c r="E31" s="187">
        <f>'2.Equipe'!$N22*'2.Equipe'!$O22*Data!$C$48</f>
        <v>0</v>
      </c>
      <c r="F31" s="187">
        <f>'2.Equipe'!$P22*'2.Equipe'!$Q22*Data!$C$49</f>
        <v>0</v>
      </c>
      <c r="G31" s="187">
        <f>'2.Equipe'!$R22*'2.Equipe'!$S22*Data!$C$50</f>
        <v>0</v>
      </c>
      <c r="H31" s="187">
        <f>'2.Equipe'!$T22*'2.Equipe'!$U22*Data!$C$50</f>
        <v>0</v>
      </c>
      <c r="I31" s="187">
        <f>IF('1.Stratégie'!J23=0,0,Data!$H$13*Data!$C$51)</f>
        <v>0</v>
      </c>
      <c r="J31" s="187">
        <f>'3.Personnel'!V23*Data!$C$51*Data!$H$13</f>
        <v>0</v>
      </c>
      <c r="K31" s="187">
        <f t="shared" si="0"/>
        <v>0</v>
      </c>
      <c r="L31" s="586"/>
      <c r="M31" s="586"/>
    </row>
    <row r="32" spans="1:13" s="188" customFormat="1" ht="15" customHeight="1" x14ac:dyDescent="0.15">
      <c r="A32" s="215">
        <v>17</v>
      </c>
      <c r="B32" s="580">
        <f>'1.Stratégie'!$B24</f>
        <v>0</v>
      </c>
      <c r="C32" s="142"/>
      <c r="D32" s="142"/>
      <c r="E32" s="187">
        <f>'2.Equipe'!$N23*'2.Equipe'!$O23*Data!$C$48</f>
        <v>0</v>
      </c>
      <c r="F32" s="187">
        <f>'2.Equipe'!$P23*'2.Equipe'!$Q23*Data!$C$49</f>
        <v>0</v>
      </c>
      <c r="G32" s="187">
        <f>'2.Equipe'!$R23*'2.Equipe'!$S23*Data!$C$50</f>
        <v>0</v>
      </c>
      <c r="H32" s="187">
        <f>'2.Equipe'!$T23*'2.Equipe'!$U23*Data!$C$50</f>
        <v>0</v>
      </c>
      <c r="I32" s="187">
        <f>IF('1.Stratégie'!J24=0,0,Data!$H$13*Data!$C$51)</f>
        <v>0</v>
      </c>
      <c r="J32" s="187">
        <f>'3.Personnel'!V24*Data!$C$51*Data!$H$13</f>
        <v>0</v>
      </c>
      <c r="K32" s="187">
        <f t="shared" si="0"/>
        <v>0</v>
      </c>
      <c r="L32" s="586"/>
      <c r="M32" s="586"/>
    </row>
    <row r="33" spans="1:26" s="188" customFormat="1" ht="15" customHeight="1" x14ac:dyDescent="0.15">
      <c r="A33" s="215">
        <v>18</v>
      </c>
      <c r="B33" s="580">
        <f>'1.Stratégie'!$B25</f>
        <v>0</v>
      </c>
      <c r="C33" s="142"/>
      <c r="D33" s="142"/>
      <c r="E33" s="187">
        <f>'2.Equipe'!$N24*'2.Equipe'!$O24*Data!$C$48</f>
        <v>0</v>
      </c>
      <c r="F33" s="187">
        <f>'2.Equipe'!$P24*'2.Equipe'!$Q24*Data!$C$49</f>
        <v>0</v>
      </c>
      <c r="G33" s="187">
        <f>'2.Equipe'!$R24*'2.Equipe'!$S24*Data!$C$50</f>
        <v>0</v>
      </c>
      <c r="H33" s="187">
        <f>'2.Equipe'!$T24*'2.Equipe'!$U24*Data!$C$50</f>
        <v>0</v>
      </c>
      <c r="I33" s="187">
        <f>IF('1.Stratégie'!J25=0,0,Data!$H$13*Data!$C$51)</f>
        <v>0</v>
      </c>
      <c r="J33" s="187">
        <f>'3.Personnel'!V25*Data!$C$51*Data!$H$13</f>
        <v>0</v>
      </c>
      <c r="K33" s="187">
        <f t="shared" si="0"/>
        <v>0</v>
      </c>
      <c r="L33" s="586"/>
      <c r="M33" s="586"/>
    </row>
    <row r="34" spans="1:26" s="188" customFormat="1" ht="15" customHeight="1" x14ac:dyDescent="0.15">
      <c r="A34" s="215">
        <v>19</v>
      </c>
      <c r="B34" s="580">
        <f>'1.Stratégie'!$B26</f>
        <v>0</v>
      </c>
      <c r="C34" s="142"/>
      <c r="D34" s="142"/>
      <c r="E34" s="187">
        <f>'2.Equipe'!$N25*'2.Equipe'!$O25*Data!$C$48</f>
        <v>0</v>
      </c>
      <c r="F34" s="187">
        <f>'2.Equipe'!$P25*'2.Equipe'!$Q25*Data!$C$49</f>
        <v>0</v>
      </c>
      <c r="G34" s="187">
        <f>'2.Equipe'!$R25*'2.Equipe'!$S25*Data!$C$50</f>
        <v>0</v>
      </c>
      <c r="H34" s="187">
        <f>'2.Equipe'!$T25*'2.Equipe'!$U25*Data!$C$50</f>
        <v>0</v>
      </c>
      <c r="I34" s="187">
        <f>IF('1.Stratégie'!J26=0,0,Data!$H$13*Data!$C$51)</f>
        <v>0</v>
      </c>
      <c r="J34" s="187">
        <f>'3.Personnel'!V26*Data!$C$51*Data!$H$13</f>
        <v>0</v>
      </c>
      <c r="K34" s="187">
        <f t="shared" si="0"/>
        <v>0</v>
      </c>
      <c r="L34" s="586"/>
      <c r="M34" s="586"/>
    </row>
    <row r="35" spans="1:26" s="188" customFormat="1" ht="15" customHeight="1" x14ac:dyDescent="0.15">
      <c r="A35" s="215">
        <v>20</v>
      </c>
      <c r="B35" s="580">
        <f>'1.Stratégie'!$B27</f>
        <v>0</v>
      </c>
      <c r="C35" s="142"/>
      <c r="D35" s="142"/>
      <c r="E35" s="187">
        <f>'2.Equipe'!$N26*'2.Equipe'!$O26*Data!$C$48</f>
        <v>0</v>
      </c>
      <c r="F35" s="187">
        <f>'2.Equipe'!$P26*'2.Equipe'!$Q26*Data!$C$49</f>
        <v>0</v>
      </c>
      <c r="G35" s="187">
        <f>'2.Equipe'!$R26*'2.Equipe'!$S26*Data!$C$50</f>
        <v>0</v>
      </c>
      <c r="H35" s="187">
        <f>'2.Equipe'!$T26*'2.Equipe'!$U26*Data!$C$50</f>
        <v>0</v>
      </c>
      <c r="I35" s="187">
        <f>IF('1.Stratégie'!J27=0,0,Data!$H$13*Data!$C$51)</f>
        <v>0</v>
      </c>
      <c r="J35" s="187">
        <f>'3.Personnel'!V27*Data!$C$51*Data!$H$13</f>
        <v>0</v>
      </c>
      <c r="K35" s="187">
        <f t="shared" si="0"/>
        <v>0</v>
      </c>
      <c r="L35" s="586"/>
      <c r="M35" s="586"/>
    </row>
    <row r="36" spans="1:26" s="188" customFormat="1" ht="15" customHeight="1" x14ac:dyDescent="0.15">
      <c r="A36" s="215">
        <v>21</v>
      </c>
      <c r="B36" s="580">
        <f>'1.Stratégie'!$B28</f>
        <v>0</v>
      </c>
      <c r="C36" s="142"/>
      <c r="D36" s="142"/>
      <c r="E36" s="187">
        <f>'2.Equipe'!$N27*'2.Equipe'!$O27*Data!$C$48</f>
        <v>0</v>
      </c>
      <c r="F36" s="187">
        <f>'2.Equipe'!$P27*'2.Equipe'!$Q27*Data!$C$49</f>
        <v>0</v>
      </c>
      <c r="G36" s="187">
        <f>'2.Equipe'!$R27*'2.Equipe'!$S27*Data!$C$50</f>
        <v>0</v>
      </c>
      <c r="H36" s="187">
        <f>'2.Equipe'!$T27*'2.Equipe'!$U27*Data!$C$50</f>
        <v>0</v>
      </c>
      <c r="I36" s="187">
        <f>IF('1.Stratégie'!J28=0,0,Data!$H$13*Data!$C$51)</f>
        <v>0</v>
      </c>
      <c r="J36" s="187">
        <f>'3.Personnel'!V28*Data!$C$51*Data!$H$13</f>
        <v>0</v>
      </c>
      <c r="K36" s="187">
        <f t="shared" si="0"/>
        <v>0</v>
      </c>
      <c r="L36" s="586"/>
      <c r="M36" s="586"/>
    </row>
    <row r="37" spans="1:26" s="188" customFormat="1" ht="15" customHeight="1" x14ac:dyDescent="0.15">
      <c r="A37" s="215">
        <v>22</v>
      </c>
      <c r="B37" s="580">
        <f>'1.Stratégie'!$B29</f>
        <v>0</v>
      </c>
      <c r="C37" s="142"/>
      <c r="D37" s="142"/>
      <c r="E37" s="187">
        <f>'2.Equipe'!$N28*'2.Equipe'!$O28*Data!$C$48</f>
        <v>0</v>
      </c>
      <c r="F37" s="187">
        <f>'2.Equipe'!$P28*'2.Equipe'!$Q28*Data!$C$49</f>
        <v>0</v>
      </c>
      <c r="G37" s="187">
        <f>'2.Equipe'!$R28*'2.Equipe'!$S28*Data!$C$50</f>
        <v>0</v>
      </c>
      <c r="H37" s="187">
        <f>'2.Equipe'!$T28*'2.Equipe'!$U28*Data!$C$50</f>
        <v>0</v>
      </c>
      <c r="I37" s="187">
        <f>IF('1.Stratégie'!J29=0,0,Data!$H$13*Data!$C$51)</f>
        <v>0</v>
      </c>
      <c r="J37" s="187">
        <f>'3.Personnel'!V29*Data!$C$51*Data!$H$13</f>
        <v>0</v>
      </c>
      <c r="K37" s="187">
        <f t="shared" si="0"/>
        <v>0</v>
      </c>
      <c r="L37" s="586"/>
      <c r="M37" s="586"/>
    </row>
    <row r="38" spans="1:26" s="188" customFormat="1" ht="15" customHeight="1" x14ac:dyDescent="0.15">
      <c r="A38" s="215">
        <v>23</v>
      </c>
      <c r="B38" s="580">
        <f>'1.Stratégie'!$B30</f>
        <v>0</v>
      </c>
      <c r="C38" s="142"/>
      <c r="D38" s="142"/>
      <c r="E38" s="187">
        <f>'2.Equipe'!$N29*'2.Equipe'!$O29*Data!$C$48</f>
        <v>0</v>
      </c>
      <c r="F38" s="187">
        <f>'2.Equipe'!$P29*'2.Equipe'!$Q29*Data!$C$49</f>
        <v>0</v>
      </c>
      <c r="G38" s="187">
        <f>'2.Equipe'!$R29*'2.Equipe'!$S29*Data!$C$50</f>
        <v>0</v>
      </c>
      <c r="H38" s="187">
        <f>'2.Equipe'!$T29*'2.Equipe'!$U29*Data!$C$50</f>
        <v>0</v>
      </c>
      <c r="I38" s="187">
        <f>IF('1.Stratégie'!J30=0,0,Data!$H$13*Data!$C$51)</f>
        <v>0</v>
      </c>
      <c r="J38" s="187">
        <f>'3.Personnel'!V30*Data!$C$51*Data!$H$13</f>
        <v>0</v>
      </c>
      <c r="K38" s="187">
        <f t="shared" si="0"/>
        <v>0</v>
      </c>
      <c r="L38" s="586"/>
      <c r="M38" s="586"/>
    </row>
    <row r="39" spans="1:26" s="188" customFormat="1" ht="15" customHeight="1" x14ac:dyDescent="0.15">
      <c r="A39" s="215">
        <v>24</v>
      </c>
      <c r="B39" s="580">
        <f>'1.Stratégie'!$B31</f>
        <v>0</v>
      </c>
      <c r="C39" s="142"/>
      <c r="D39" s="142"/>
      <c r="E39" s="187">
        <f>'2.Equipe'!$N30*'2.Equipe'!$O30*Data!$C$48</f>
        <v>0</v>
      </c>
      <c r="F39" s="187">
        <f>'2.Equipe'!$P30*'2.Equipe'!$Q30*Data!$C$49</f>
        <v>0</v>
      </c>
      <c r="G39" s="187">
        <f>'2.Equipe'!$R30*'2.Equipe'!$S30*Data!$C$50</f>
        <v>0</v>
      </c>
      <c r="H39" s="187">
        <f>'2.Equipe'!$T30*'2.Equipe'!$U30*Data!$C$50</f>
        <v>0</v>
      </c>
      <c r="I39" s="187">
        <f>IF('1.Stratégie'!J31=0,0,Data!$H$13*Data!$C$51)</f>
        <v>0</v>
      </c>
      <c r="J39" s="187">
        <f>'3.Personnel'!V31*Data!$C$51*Data!$H$13</f>
        <v>0</v>
      </c>
      <c r="K39" s="187">
        <f t="shared" si="0"/>
        <v>0</v>
      </c>
      <c r="L39" s="586"/>
      <c r="M39" s="586"/>
    </row>
    <row r="40" spans="1:26" s="188" customFormat="1" ht="15" customHeight="1" x14ac:dyDescent="0.15">
      <c r="A40" s="215">
        <v>25</v>
      </c>
      <c r="B40" s="580">
        <f>'1.Stratégie'!$B32</f>
        <v>0</v>
      </c>
      <c r="C40" s="142"/>
      <c r="D40" s="142"/>
      <c r="E40" s="187">
        <f>'2.Equipe'!$N31*'2.Equipe'!$O31*Data!$C$48</f>
        <v>0</v>
      </c>
      <c r="F40" s="187">
        <f>'2.Equipe'!$P31*'2.Equipe'!$Q31*Data!$C$49</f>
        <v>0</v>
      </c>
      <c r="G40" s="187">
        <f>'2.Equipe'!$R31*'2.Equipe'!$S31*Data!$C$50</f>
        <v>0</v>
      </c>
      <c r="H40" s="187">
        <f>'2.Equipe'!$T31*'2.Equipe'!$U31*Data!$C$50</f>
        <v>0</v>
      </c>
      <c r="I40" s="187">
        <f>IF('1.Stratégie'!J32=0,0,Data!$H$13*Data!$C$51)</f>
        <v>0</v>
      </c>
      <c r="J40" s="187">
        <f>'3.Personnel'!V32*Data!$C$51*Data!$H$13</f>
        <v>0</v>
      </c>
      <c r="K40" s="187">
        <f t="shared" si="0"/>
        <v>0</v>
      </c>
      <c r="L40" s="586"/>
      <c r="M40" s="586"/>
    </row>
    <row r="41" spans="1:26" s="188" customFormat="1" ht="15" customHeight="1" x14ac:dyDescent="0.15">
      <c r="A41" s="215">
        <v>26</v>
      </c>
      <c r="B41" s="580">
        <f>'1.Stratégie'!$B33</f>
        <v>0</v>
      </c>
      <c r="C41" s="142"/>
      <c r="D41" s="142"/>
      <c r="E41" s="187">
        <f>'2.Equipe'!$N32*'2.Equipe'!$O32*Data!$C$48</f>
        <v>0</v>
      </c>
      <c r="F41" s="187">
        <f>'2.Equipe'!$P32*'2.Equipe'!$Q32*Data!$C$49</f>
        <v>0</v>
      </c>
      <c r="G41" s="187">
        <f>'2.Equipe'!$R32*'2.Equipe'!$S32*Data!$C$50</f>
        <v>0</v>
      </c>
      <c r="H41" s="187">
        <f>'2.Equipe'!$T32*'2.Equipe'!$U32*Data!$C$50</f>
        <v>0</v>
      </c>
      <c r="I41" s="187">
        <f>IF('1.Stratégie'!J33=0,0,Data!$H$13*Data!$C$51)</f>
        <v>0</v>
      </c>
      <c r="J41" s="187">
        <f>'3.Personnel'!V33*Data!$C$51*Data!$H$13</f>
        <v>0</v>
      </c>
      <c r="K41" s="187">
        <f t="shared" si="0"/>
        <v>0</v>
      </c>
      <c r="L41" s="586"/>
      <c r="M41" s="586"/>
    </row>
    <row r="42" spans="1:26" s="188" customFormat="1" ht="15" customHeight="1" x14ac:dyDescent="0.15">
      <c r="A42" s="215">
        <v>27</v>
      </c>
      <c r="B42" s="580">
        <f>'1.Stratégie'!$B34</f>
        <v>0</v>
      </c>
      <c r="C42" s="142"/>
      <c r="D42" s="142"/>
      <c r="E42" s="187">
        <f>'2.Equipe'!$N33*'2.Equipe'!$O33*Data!$C$48</f>
        <v>0</v>
      </c>
      <c r="F42" s="187">
        <f>'2.Equipe'!$P33*'2.Equipe'!$Q33*Data!$C$49</f>
        <v>0</v>
      </c>
      <c r="G42" s="187">
        <f>'2.Equipe'!$R33*'2.Equipe'!$S33*Data!$C$50</f>
        <v>0</v>
      </c>
      <c r="H42" s="187">
        <f>'2.Equipe'!$T33*'2.Equipe'!$U33*Data!$C$50</f>
        <v>0</v>
      </c>
      <c r="I42" s="187">
        <f>IF('1.Stratégie'!J34=0,0,Data!$H$13*Data!$C$51)</f>
        <v>0</v>
      </c>
      <c r="J42" s="187">
        <f>'3.Personnel'!V34*Data!$C$51*Data!$H$13</f>
        <v>0</v>
      </c>
      <c r="K42" s="187">
        <f t="shared" si="0"/>
        <v>0</v>
      </c>
      <c r="L42" s="586"/>
      <c r="M42" s="586"/>
    </row>
    <row r="43" spans="1:26" s="188" customFormat="1" ht="15" customHeight="1" x14ac:dyDescent="0.15">
      <c r="A43" s="215">
        <v>28</v>
      </c>
      <c r="B43" s="580">
        <f>'1.Stratégie'!$B35</f>
        <v>0</v>
      </c>
      <c r="C43" s="142"/>
      <c r="D43" s="142"/>
      <c r="E43" s="187">
        <f>'2.Equipe'!$N34*'2.Equipe'!$O34*Data!$C$48</f>
        <v>0</v>
      </c>
      <c r="F43" s="187">
        <f>'2.Equipe'!$P34*'2.Equipe'!$Q34*Data!$C$49</f>
        <v>0</v>
      </c>
      <c r="G43" s="187">
        <f>'2.Equipe'!$R34*'2.Equipe'!$S34*Data!$C$50</f>
        <v>0</v>
      </c>
      <c r="H43" s="187">
        <f>'2.Equipe'!$T34*'2.Equipe'!$U34*Data!$C$50</f>
        <v>0</v>
      </c>
      <c r="I43" s="187">
        <f>IF('1.Stratégie'!J35=0,0,Data!$H$13*Data!$C$51)</f>
        <v>0</v>
      </c>
      <c r="J43" s="187">
        <f>'3.Personnel'!V35*Data!$C$51*Data!$H$13</f>
        <v>0</v>
      </c>
      <c r="K43" s="187">
        <f t="shared" si="0"/>
        <v>0</v>
      </c>
      <c r="L43" s="586"/>
      <c r="M43" s="586"/>
    </row>
    <row r="44" spans="1:26" s="188" customFormat="1" ht="15" customHeight="1" x14ac:dyDescent="0.15">
      <c r="A44" s="215">
        <v>29</v>
      </c>
      <c r="B44" s="580">
        <f>'1.Stratégie'!$B36</f>
        <v>0</v>
      </c>
      <c r="C44" s="142"/>
      <c r="D44" s="142"/>
      <c r="E44" s="187">
        <f>'2.Equipe'!$N35*'2.Equipe'!$O35*Data!$C$48</f>
        <v>0</v>
      </c>
      <c r="F44" s="187">
        <f>'2.Equipe'!$P35*'2.Equipe'!$Q35*Data!$C$49</f>
        <v>0</v>
      </c>
      <c r="G44" s="187">
        <f>'2.Equipe'!$R35*'2.Equipe'!$S35*Data!$C$50</f>
        <v>0</v>
      </c>
      <c r="H44" s="187">
        <f>'2.Equipe'!$T35*'2.Equipe'!$U35*Data!$C$50</f>
        <v>0</v>
      </c>
      <c r="I44" s="187">
        <f>IF('1.Stratégie'!J36=0,0,Data!$H$13*Data!$C$51)</f>
        <v>0</v>
      </c>
      <c r="J44" s="187">
        <f>'3.Personnel'!V36*Data!$C$51*Data!$H$13</f>
        <v>0</v>
      </c>
      <c r="K44" s="187">
        <f t="shared" si="0"/>
        <v>0</v>
      </c>
      <c r="L44" s="586"/>
      <c r="M44" s="586"/>
    </row>
    <row r="45" spans="1:26" s="188" customFormat="1" ht="15" customHeight="1" x14ac:dyDescent="0.15">
      <c r="A45" s="215">
        <v>30</v>
      </c>
      <c r="B45" s="580">
        <f>'1.Stratégie'!$B37</f>
        <v>0</v>
      </c>
      <c r="C45" s="142"/>
      <c r="D45" s="142"/>
      <c r="E45" s="187">
        <f>'2.Equipe'!$N36*'2.Equipe'!$O36*Data!$C$48</f>
        <v>0</v>
      </c>
      <c r="F45" s="187">
        <f>'2.Equipe'!$P36*'2.Equipe'!$Q36*Data!$C$49</f>
        <v>0</v>
      </c>
      <c r="G45" s="187">
        <f>'2.Equipe'!$R36*'2.Equipe'!$S36*Data!$C$50</f>
        <v>0</v>
      </c>
      <c r="H45" s="187">
        <f>'2.Equipe'!$T36*'2.Equipe'!$U36*Data!$C$50</f>
        <v>0</v>
      </c>
      <c r="I45" s="187">
        <f>IF('1.Stratégie'!J37=0,0,Data!$H$13*Data!$C$51)</f>
        <v>0</v>
      </c>
      <c r="J45" s="187">
        <f>'3.Personnel'!V37*Data!$C$51*Data!$H$13</f>
        <v>0</v>
      </c>
      <c r="K45" s="187">
        <f t="shared" si="0"/>
        <v>0</v>
      </c>
      <c r="L45" s="586"/>
      <c r="M45" s="586"/>
    </row>
    <row r="46" spans="1:26" s="188" customFormat="1" ht="24.95" customHeight="1" x14ac:dyDescent="0.15">
      <c r="A46" s="765"/>
      <c r="B46" s="581" t="str">
        <f>"TOTAL "&amp; $C$10</f>
        <v>TOTAL 0</v>
      </c>
      <c r="C46" s="582">
        <f t="shared" ref="C46:K46" si="1">SUM(C16:C45)</f>
        <v>0</v>
      </c>
      <c r="D46" s="582">
        <f t="shared" si="1"/>
        <v>0</v>
      </c>
      <c r="E46" s="582">
        <f t="shared" si="1"/>
        <v>0</v>
      </c>
      <c r="F46" s="582">
        <f t="shared" si="1"/>
        <v>0</v>
      </c>
      <c r="G46" s="582">
        <f t="shared" si="1"/>
        <v>0</v>
      </c>
      <c r="H46" s="582">
        <f t="shared" si="1"/>
        <v>0</v>
      </c>
      <c r="I46" s="582">
        <f t="shared" si="1"/>
        <v>0</v>
      </c>
      <c r="J46" s="582">
        <f t="shared" si="1"/>
        <v>0</v>
      </c>
      <c r="K46" s="582">
        <f t="shared" si="1"/>
        <v>0</v>
      </c>
      <c r="L46" s="586"/>
      <c r="M46" s="586"/>
    </row>
    <row r="47" spans="1:26" s="37" customFormat="1" x14ac:dyDescent="0.15">
      <c r="A47" s="203"/>
      <c r="B47" s="203"/>
      <c r="C47" s="203"/>
      <c r="D47" s="203"/>
      <c r="E47" s="203"/>
      <c r="F47" s="203"/>
      <c r="G47" s="203"/>
      <c r="H47" s="203"/>
      <c r="I47" s="203"/>
      <c r="J47" s="203"/>
      <c r="K47" s="185"/>
      <c r="L47" s="185"/>
      <c r="M47" s="185"/>
    </row>
    <row r="48" spans="1:26" s="37" customFormat="1" x14ac:dyDescent="0.15">
      <c r="A48" s="203"/>
      <c r="B48" s="583"/>
      <c r="C48" s="584"/>
      <c r="D48" s="585" t="s">
        <v>209</v>
      </c>
      <c r="E48" s="189">
        <f>C46</f>
        <v>0</v>
      </c>
      <c r="F48" s="203"/>
      <c r="G48" s="203"/>
      <c r="H48" s="203"/>
      <c r="I48" s="203"/>
      <c r="J48" s="203"/>
      <c r="K48" s="203"/>
      <c r="L48" s="203"/>
      <c r="M48" s="203"/>
      <c r="N48" s="516"/>
      <c r="O48" s="516"/>
      <c r="P48" s="516"/>
      <c r="Q48" s="516"/>
      <c r="R48" s="516"/>
      <c r="S48" s="516"/>
      <c r="T48" s="516"/>
      <c r="U48" s="516"/>
      <c r="V48" s="516"/>
      <c r="W48" s="516"/>
      <c r="X48" s="516"/>
      <c r="Y48" s="516"/>
      <c r="Z48" s="516"/>
    </row>
    <row r="49" spans="1:26" s="37" customFormat="1" x14ac:dyDescent="0.15">
      <c r="A49" s="203"/>
      <c r="B49" s="583"/>
      <c r="C49" s="584"/>
      <c r="D49" s="585" t="s">
        <v>208</v>
      </c>
      <c r="E49" s="189">
        <f>D46</f>
        <v>0</v>
      </c>
      <c r="F49" s="203"/>
      <c r="G49" s="203"/>
      <c r="H49" s="203"/>
      <c r="I49" s="203"/>
      <c r="J49" s="203"/>
      <c r="K49" s="203"/>
      <c r="L49" s="203"/>
      <c r="M49" s="203"/>
      <c r="N49" s="516"/>
      <c r="O49" s="516"/>
      <c r="P49" s="516"/>
      <c r="Q49" s="516"/>
      <c r="R49" s="516"/>
      <c r="S49" s="516"/>
      <c r="T49" s="516"/>
      <c r="U49" s="516"/>
      <c r="V49" s="516"/>
      <c r="W49" s="516"/>
      <c r="X49" s="516"/>
      <c r="Y49" s="516"/>
      <c r="Z49" s="516"/>
    </row>
    <row r="50" spans="1:26" s="37" customFormat="1" x14ac:dyDescent="0.15">
      <c r="A50" s="203"/>
      <c r="B50" s="583"/>
      <c r="C50" s="584"/>
      <c r="D50" s="585" t="s">
        <v>210</v>
      </c>
      <c r="E50" s="189">
        <f>E48+E49</f>
        <v>0</v>
      </c>
      <c r="F50" s="203"/>
      <c r="G50" s="203"/>
      <c r="H50" s="203"/>
      <c r="I50" s="203"/>
      <c r="J50" s="203"/>
      <c r="K50" s="203"/>
      <c r="L50" s="203"/>
      <c r="M50" s="203"/>
      <c r="N50" s="516"/>
      <c r="O50" s="516"/>
      <c r="P50" s="516"/>
      <c r="Q50" s="516"/>
      <c r="R50" s="516"/>
      <c r="S50" s="516"/>
      <c r="T50" s="516"/>
      <c r="U50" s="516"/>
      <c r="V50" s="516"/>
      <c r="W50" s="516"/>
      <c r="X50" s="516"/>
      <c r="Y50" s="516"/>
      <c r="Z50" s="516"/>
    </row>
    <row r="51" spans="1:26" s="37" customFormat="1" x14ac:dyDescent="0.15">
      <c r="A51" s="185"/>
      <c r="B51" s="190"/>
      <c r="C51" s="191"/>
      <c r="D51" s="192" t="s">
        <v>270</v>
      </c>
      <c r="E51" s="193">
        <f>Data!B39</f>
        <v>0.06</v>
      </c>
      <c r="F51" s="185"/>
      <c r="G51" s="185"/>
      <c r="H51" s="185"/>
      <c r="I51" s="185"/>
      <c r="J51" s="185"/>
      <c r="K51" s="185"/>
      <c r="L51" s="185"/>
      <c r="M51" s="185"/>
    </row>
    <row r="52" spans="1:26" s="37" customFormat="1" x14ac:dyDescent="0.15">
      <c r="A52" s="185"/>
      <c r="B52" s="190"/>
      <c r="C52" s="191"/>
      <c r="D52" s="192" t="s">
        <v>275</v>
      </c>
      <c r="E52" s="193">
        <f>Data!B45</f>
        <v>750</v>
      </c>
      <c r="F52" s="185"/>
      <c r="G52" s="185"/>
      <c r="H52" s="185"/>
      <c r="I52" s="185"/>
      <c r="J52" s="185"/>
      <c r="K52" s="185"/>
      <c r="L52" s="185"/>
      <c r="M52" s="185"/>
    </row>
    <row r="53" spans="1:26" s="37" customFormat="1" x14ac:dyDescent="0.15">
      <c r="A53" s="185"/>
      <c r="B53" s="185"/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</row>
  </sheetData>
  <sheetProtection password="CD7B" sheet="1" objects="1" scenarios="1"/>
  <mergeCells count="2">
    <mergeCell ref="B14:B15"/>
    <mergeCell ref="A14:A15"/>
  </mergeCells>
  <phoneticPr fontId="16" type="noConversion"/>
  <dataValidations count="5">
    <dataValidation allowBlank="1" showInputMessage="1" showErrorMessage="1" promptTitle="Feauile Transport AS" prompt="Ne saisir aucune donnée dans les cellules colorées de cette feuilles. Les calculs  y sont faits automatiquement" sqref="B48:F52 B16:B46 K15:K46 E16:J46" xr:uid="{00000000-0002-0000-0900-000000000000}"/>
    <dataValidation allowBlank="1" showInputMessage="1" showErrorMessage="1" promptTitle="Feauile Transport AS" prompt="Ne saisir aucune donnée sur cette feuilles. Les  y sont faits automatiquement" sqref="C10" xr:uid="{00000000-0002-0000-0900-000001000000}"/>
    <dataValidation allowBlank="1" showInputMessage="1" showErrorMessage="1" promptTitle="Feauile Equipes" prompt="Ne saisir aucune donnée sur cette feuilles. Les  y sont faits automatiquement" sqref="D10:F10 E7:G7 B6:B7 B9:B10 B8:C8" xr:uid="{00000000-0002-0000-0900-000002000000}"/>
    <dataValidation allowBlank="1" showInputMessage="1" showErrorMessage="1" promptTitle="Feauile Transport AS" prompt="Indiquez le nombre de motos disponibles dans l'aire de santé" sqref="C16:C45" xr:uid="{00000000-0002-0000-0900-000003000000}"/>
    <dataValidation allowBlank="1" showInputMessage="1" showErrorMessage="1" promptTitle="Feauile Transport AS" prompt="Indiquez le nombre total de motos dont l'aire a besoin et justifier" sqref="D16:D45" xr:uid="{00000000-0002-0000-0900-000004000000}"/>
  </dataValidations>
  <printOptions horizontalCentered="1"/>
  <pageMargins left="0.27559055118110237" right="0.19685039370078741" top="0.27559055118110237" bottom="0.23622047244094491" header="0.19685039370078741" footer="0.19685039370078741"/>
  <pageSetup paperSize="9"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58"/>
  <sheetViews>
    <sheetView showGridLines="0" topLeftCell="A5" zoomScale="120" zoomScaleNormal="120" zoomScaleSheetLayoutView="50" workbookViewId="0">
      <selection activeCell="F12" sqref="F12"/>
    </sheetView>
  </sheetViews>
  <sheetFormatPr defaultColWidth="11.4609375" defaultRowHeight="12.75" x14ac:dyDescent="0.15"/>
  <cols>
    <col min="1" max="1" width="4.58203125" style="1" customWidth="1"/>
    <col min="2" max="2" width="21.84375" style="1" customWidth="1"/>
    <col min="3" max="3" width="7.8203125" style="1" customWidth="1"/>
    <col min="4" max="4" width="9.4375" style="1" customWidth="1"/>
    <col min="5" max="5" width="11.59375" style="1" customWidth="1"/>
    <col min="6" max="6" width="9.03515625" style="1" customWidth="1"/>
    <col min="7" max="7" width="7.8203125" style="1" customWidth="1"/>
    <col min="8" max="8" width="8.8984375" style="1" customWidth="1"/>
    <col min="9" max="9" width="7.953125" style="1" customWidth="1"/>
    <col min="10" max="10" width="9.03515625" style="1" customWidth="1"/>
    <col min="11" max="11" width="9.84375" style="1" customWidth="1"/>
    <col min="12" max="12" width="11.0546875" style="1" customWidth="1"/>
    <col min="13" max="13" width="2.2890625" style="1" customWidth="1"/>
    <col min="14" max="14" width="9.9765625" style="1" customWidth="1"/>
    <col min="15" max="15" width="8.4921875" style="1" customWidth="1"/>
    <col min="16" max="16" width="8.62890625" style="1" customWidth="1"/>
    <col min="17" max="17" width="9.4375" style="1" customWidth="1"/>
    <col min="18" max="18" width="9.3046875" style="1" customWidth="1"/>
    <col min="19" max="19" width="8.62890625" style="1" customWidth="1"/>
    <col min="20" max="20" width="8.4921875" style="1" customWidth="1"/>
    <col min="21" max="21" width="9.84375" style="1" customWidth="1"/>
    <col min="22" max="22" width="8.62890625" style="1" customWidth="1"/>
    <col min="23" max="16384" width="11.4609375" style="1"/>
  </cols>
  <sheetData>
    <row r="1" spans="1:22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22" ht="33" x14ac:dyDescent="0.2">
      <c r="A2"/>
      <c r="B2" s="734" t="str">
        <f>'1.Stratégie'!B2</f>
        <v>Microplanification Campagne de vaccination préventive contre la Rougeole et la Rubeole (RR), 2023</v>
      </c>
      <c r="C2" s="162"/>
      <c r="D2" s="162"/>
      <c r="E2" s="162"/>
      <c r="F2" s="162"/>
      <c r="G2" s="162"/>
      <c r="H2" s="162"/>
      <c r="I2" s="162"/>
      <c r="J2" s="162"/>
      <c r="K2" s="162"/>
      <c r="L2" s="21"/>
      <c r="M2" s="21"/>
      <c r="N2" s="36"/>
      <c r="O2" s="36"/>
      <c r="P2" s="36"/>
      <c r="Q2" s="36"/>
      <c r="R2" s="36"/>
      <c r="S2" s="36"/>
      <c r="T2" s="36"/>
      <c r="U2" s="36"/>
    </row>
    <row r="3" spans="1:22" ht="7.5" customHeight="1" x14ac:dyDescent="0.15">
      <c r="A3"/>
      <c r="B3" s="162"/>
      <c r="C3" s="162"/>
      <c r="D3" s="162"/>
      <c r="E3" s="162"/>
      <c r="F3" s="162"/>
      <c r="G3" s="162"/>
      <c r="H3" s="162"/>
      <c r="I3" s="162"/>
      <c r="J3" s="21"/>
      <c r="K3" s="21"/>
      <c r="L3" s="21"/>
      <c r="M3" s="21"/>
      <c r="N3" s="36"/>
      <c r="O3" s="36"/>
      <c r="P3" s="36"/>
      <c r="Q3" s="36"/>
      <c r="R3" s="36"/>
      <c r="S3" s="36"/>
      <c r="T3" s="36"/>
      <c r="U3" s="36"/>
    </row>
    <row r="4" spans="1:22" ht="18" x14ac:dyDescent="0.2">
      <c r="A4" s="567"/>
      <c r="B4" s="568" t="s">
        <v>284</v>
      </c>
      <c r="C4" s="567"/>
      <c r="D4" s="569"/>
      <c r="E4" s="567"/>
      <c r="F4" s="567"/>
      <c r="G4" s="567"/>
      <c r="H4" s="567"/>
      <c r="I4" s="567"/>
      <c r="J4" s="567"/>
      <c r="K4" s="567"/>
      <c r="L4" s="567"/>
      <c r="M4" s="567"/>
      <c r="N4" s="515"/>
      <c r="O4" s="515"/>
      <c r="P4" s="515"/>
      <c r="Q4" s="515"/>
      <c r="R4" s="515"/>
      <c r="S4" s="515"/>
      <c r="T4" s="515"/>
      <c r="U4" s="515"/>
      <c r="V4" s="515"/>
    </row>
    <row r="5" spans="1:22" ht="18" x14ac:dyDescent="0.2">
      <c r="A5" s="567"/>
      <c r="B5" s="568"/>
      <c r="C5" s="567"/>
      <c r="D5" s="569"/>
      <c r="E5" s="567"/>
      <c r="F5" s="567"/>
      <c r="G5" s="567"/>
      <c r="H5" s="567"/>
      <c r="I5" s="567"/>
      <c r="J5" s="567"/>
      <c r="K5" s="567"/>
      <c r="L5" s="567"/>
      <c r="M5" s="567"/>
      <c r="N5" s="515"/>
      <c r="O5" s="515"/>
      <c r="P5" s="515"/>
      <c r="Q5" s="515"/>
      <c r="R5" s="515"/>
      <c r="S5" s="515"/>
      <c r="T5" s="515"/>
      <c r="U5" s="515"/>
      <c r="V5" s="515"/>
    </row>
    <row r="6" spans="1:22" ht="20.25" x14ac:dyDescent="0.25">
      <c r="A6" s="567"/>
      <c r="B6" s="130" t="str">
        <f>'1.Stratégie'!$B$4</f>
        <v>PAYS :</v>
      </c>
      <c r="C6" s="862" t="str">
        <f>'1.Stratégie'!$C$4</f>
        <v>CAMEROUN</v>
      </c>
      <c r="D6" s="863"/>
      <c r="E6" s="129" t="str">
        <f>'1.Stratégie'!$D$4</f>
        <v>REGION :</v>
      </c>
      <c r="F6" s="826">
        <f>'1.Stratégie'!$E$4</f>
        <v>0</v>
      </c>
      <c r="G6" s="828"/>
      <c r="H6" s="828"/>
      <c r="I6" s="21"/>
      <c r="J6"/>
      <c r="K6"/>
      <c r="L6"/>
      <c r="M6" s="567"/>
      <c r="N6" s="515"/>
      <c r="O6" s="515"/>
      <c r="P6" s="515"/>
      <c r="Q6" s="515"/>
    </row>
    <row r="7" spans="1:22" x14ac:dyDescent="0.15">
      <c r="A7" s="567"/>
      <c r="B7" s="567"/>
      <c r="C7" s="567"/>
      <c r="D7" s="567"/>
      <c r="E7" s="567"/>
      <c r="F7" s="567"/>
      <c r="G7" s="567"/>
      <c r="H7" s="567"/>
      <c r="I7" s="567"/>
      <c r="J7"/>
      <c r="K7"/>
      <c r="L7"/>
      <c r="M7"/>
    </row>
    <row r="8" spans="1:22" ht="18" x14ac:dyDescent="0.15">
      <c r="A8" s="567"/>
      <c r="B8" s="567"/>
      <c r="C8" s="567"/>
      <c r="D8" s="128" t="str">
        <f>IF(('1.Stratégie'!$F$4)="","",'1.Stratégie'!$F$4)</f>
        <v>DISTRICT :</v>
      </c>
      <c r="E8" s="826">
        <f>IF(('1.Stratégie'!$G$4)="","",'1.Stratégie'!$G$4)</f>
        <v>0</v>
      </c>
      <c r="F8" s="826"/>
      <c r="G8" s="826"/>
      <c r="H8" s="567"/>
      <c r="I8" s="567"/>
      <c r="J8"/>
      <c r="K8"/>
      <c r="L8"/>
      <c r="M8"/>
    </row>
    <row r="9" spans="1:22" s="37" customFormat="1" x14ac:dyDescent="0.15">
      <c r="A9" s="203"/>
      <c r="B9" s="203"/>
      <c r="C9" s="203"/>
      <c r="D9" s="203"/>
      <c r="E9" s="185"/>
      <c r="F9" s="203"/>
      <c r="G9" s="203"/>
      <c r="H9" s="203"/>
      <c r="I9" s="203"/>
      <c r="J9" s="203"/>
      <c r="K9" s="203"/>
      <c r="L9" s="185"/>
      <c r="M9" s="185"/>
    </row>
    <row r="10" spans="1:22" s="37" customFormat="1" ht="35.25" x14ac:dyDescent="0.15">
      <c r="A10" s="575"/>
      <c r="B10" s="587"/>
      <c r="C10" s="588" t="s">
        <v>508</v>
      </c>
      <c r="D10" s="196"/>
      <c r="E10" s="196"/>
      <c r="F10" s="661" t="s">
        <v>271</v>
      </c>
      <c r="G10" s="662"/>
      <c r="H10" s="663"/>
      <c r="I10" s="664" t="s">
        <v>53</v>
      </c>
      <c r="J10" s="665"/>
      <c r="K10" s="666"/>
      <c r="L10" s="197" t="s">
        <v>459</v>
      </c>
      <c r="M10" s="185"/>
    </row>
    <row r="11" spans="1:22" s="37" customFormat="1" x14ac:dyDescent="0.15">
      <c r="A11" s="589" t="s">
        <v>2</v>
      </c>
      <c r="B11" s="590" t="str">
        <f>+'7.Transport_AS'!B14</f>
        <v>AIRE DE SANTE</v>
      </c>
      <c r="C11" s="198" t="s">
        <v>54</v>
      </c>
      <c r="D11" s="198" t="s">
        <v>55</v>
      </c>
      <c r="E11" s="198" t="s">
        <v>277</v>
      </c>
      <c r="F11" s="667" t="s">
        <v>54</v>
      </c>
      <c r="G11" s="667" t="s">
        <v>56</v>
      </c>
      <c r="H11" s="667" t="s">
        <v>55</v>
      </c>
      <c r="I11" s="667" t="s">
        <v>54</v>
      </c>
      <c r="J11" s="667" t="s">
        <v>55</v>
      </c>
      <c r="K11" s="667" t="s">
        <v>458</v>
      </c>
      <c r="L11" s="198" t="s">
        <v>277</v>
      </c>
      <c r="M11" s="185"/>
    </row>
    <row r="12" spans="1:22" s="188" customFormat="1" ht="15" customHeight="1" x14ac:dyDescent="0.15">
      <c r="A12" s="591">
        <v>1</v>
      </c>
      <c r="B12" s="591">
        <f>'1.Stratégie'!B8</f>
        <v>0</v>
      </c>
      <c r="C12" s="199">
        <f>'1.Stratégie'!$D8*2</f>
        <v>0</v>
      </c>
      <c r="D12" s="592">
        <f>C12*Data!$B$37</f>
        <v>0</v>
      </c>
      <c r="E12" s="200">
        <f>ROUNDUP($D12*Data!$B$45,-2)</f>
        <v>0</v>
      </c>
      <c r="F12" s="126"/>
      <c r="G12" s="126"/>
      <c r="H12" s="201">
        <f>IF($G12=$E$53,$F12*Data!$B$37,$F12*Data!$B$39)</f>
        <v>0</v>
      </c>
      <c r="I12" s="205">
        <f>'1.Stratégie'!$D8*2</f>
        <v>0</v>
      </c>
      <c r="J12" s="201">
        <f>I12*Data!$B$39</f>
        <v>0</v>
      </c>
      <c r="K12" s="205">
        <f>ROUNDUP(J12*Data!$B$45,-2)</f>
        <v>0</v>
      </c>
      <c r="L12" s="200">
        <f>ROUNDUP(IF(H12=0,0,H12*Data!$B$45),-2)</f>
        <v>0</v>
      </c>
      <c r="M12" s="586"/>
    </row>
    <row r="13" spans="1:22" s="188" customFormat="1" ht="15" customHeight="1" x14ac:dyDescent="0.15">
      <c r="A13" s="591">
        <v>2</v>
      </c>
      <c r="B13" s="591">
        <f>'1.Stratégie'!B9</f>
        <v>0</v>
      </c>
      <c r="C13" s="199">
        <f>'1.Stratégie'!$D9*2</f>
        <v>0</v>
      </c>
      <c r="D13" s="592">
        <f>C13*Data!$B$37</f>
        <v>0</v>
      </c>
      <c r="E13" s="200">
        <f>ROUNDUP($D13*Data!$B$45,-2)</f>
        <v>0</v>
      </c>
      <c r="F13" s="126"/>
      <c r="G13" s="126"/>
      <c r="H13" s="201">
        <f>IF($G13=$E$53,$F13*Data!$B$37,$F13*Data!$B$39)</f>
        <v>0</v>
      </c>
      <c r="I13" s="205">
        <f>'1.Stratégie'!$D9*2</f>
        <v>0</v>
      </c>
      <c r="J13" s="201">
        <f>I13*Data!$B$39</f>
        <v>0</v>
      </c>
      <c r="K13" s="205">
        <f>ROUNDUP(J13*Data!$B$45,-2)</f>
        <v>0</v>
      </c>
      <c r="L13" s="200">
        <f>ROUNDUP(IF(H13=0,0,H13*Data!$B$45),-2)</f>
        <v>0</v>
      </c>
      <c r="M13" s="586"/>
    </row>
    <row r="14" spans="1:22" s="188" customFormat="1" ht="15" customHeight="1" x14ac:dyDescent="0.15">
      <c r="A14" s="591">
        <v>3</v>
      </c>
      <c r="B14" s="591">
        <f>'1.Stratégie'!B10</f>
        <v>0</v>
      </c>
      <c r="C14" s="199">
        <f>'1.Stratégie'!$D10*2</f>
        <v>0</v>
      </c>
      <c r="D14" s="592">
        <f>C14*Data!$B$37</f>
        <v>0</v>
      </c>
      <c r="E14" s="200">
        <f>ROUNDUP($D14*Data!$B$45,-2)</f>
        <v>0</v>
      </c>
      <c r="F14" s="126"/>
      <c r="G14" s="126"/>
      <c r="H14" s="201">
        <f>IF($G14=$E$53,$F14*Data!$B$37,$F14*Data!$B$39)</f>
        <v>0</v>
      </c>
      <c r="I14" s="205">
        <f>'1.Stratégie'!$D10*2</f>
        <v>0</v>
      </c>
      <c r="J14" s="201">
        <f>I14*Data!$B$39</f>
        <v>0</v>
      </c>
      <c r="K14" s="205">
        <f>ROUNDUP(J14*Data!$B$45,-2)</f>
        <v>0</v>
      </c>
      <c r="L14" s="200">
        <f>ROUNDUP(IF(H14=0,0,H14*Data!$B$45),-2)</f>
        <v>0</v>
      </c>
      <c r="M14" s="586"/>
    </row>
    <row r="15" spans="1:22" s="188" customFormat="1" ht="15" customHeight="1" x14ac:dyDescent="0.15">
      <c r="A15" s="591">
        <v>4</v>
      </c>
      <c r="B15" s="591">
        <f>'1.Stratégie'!B11</f>
        <v>0</v>
      </c>
      <c r="C15" s="199">
        <f>'1.Stratégie'!$D11*2</f>
        <v>0</v>
      </c>
      <c r="D15" s="592">
        <f>C15*Data!$B$37</f>
        <v>0</v>
      </c>
      <c r="E15" s="200">
        <f>ROUNDUP($D15*Data!$B$45,-2)</f>
        <v>0</v>
      </c>
      <c r="F15" s="126"/>
      <c r="G15" s="126"/>
      <c r="H15" s="201">
        <f>IF($G15=$E$53,$F15*Data!$B$37,$F15*Data!$B$39)</f>
        <v>0</v>
      </c>
      <c r="I15" s="205">
        <f>'1.Stratégie'!$D11*2</f>
        <v>0</v>
      </c>
      <c r="J15" s="201">
        <f>I15*Data!$B$39</f>
        <v>0</v>
      </c>
      <c r="K15" s="205">
        <f>ROUNDUP(J15*Data!$B$45,-2)</f>
        <v>0</v>
      </c>
      <c r="L15" s="200">
        <f>ROUNDUP(IF(H15=0,0,H15*Data!$B$45),-2)</f>
        <v>0</v>
      </c>
      <c r="M15" s="586"/>
    </row>
    <row r="16" spans="1:22" s="188" customFormat="1" ht="15" customHeight="1" x14ac:dyDescent="0.15">
      <c r="A16" s="591">
        <v>5</v>
      </c>
      <c r="B16" s="591">
        <f>'1.Stratégie'!B12</f>
        <v>0</v>
      </c>
      <c r="C16" s="199">
        <f>'1.Stratégie'!$D12*2</f>
        <v>0</v>
      </c>
      <c r="D16" s="592">
        <f>C16*Data!$B$37</f>
        <v>0</v>
      </c>
      <c r="E16" s="200">
        <f>ROUNDUP($D16*Data!$B$45,-2)</f>
        <v>0</v>
      </c>
      <c r="F16" s="126"/>
      <c r="G16" s="126"/>
      <c r="H16" s="201">
        <f>IF($G16=$E$53,$F16*Data!$B$37,$F16*Data!$B$39)</f>
        <v>0</v>
      </c>
      <c r="I16" s="205">
        <f>'1.Stratégie'!$D12*2</f>
        <v>0</v>
      </c>
      <c r="J16" s="201">
        <f>I16*Data!$B$39</f>
        <v>0</v>
      </c>
      <c r="K16" s="205">
        <f>ROUNDUP(J16*Data!$B$45,-2)</f>
        <v>0</v>
      </c>
      <c r="L16" s="200">
        <f>ROUNDUP(IF(H16=0,0,H16*Data!$B$45),-2)</f>
        <v>0</v>
      </c>
      <c r="M16" s="586"/>
    </row>
    <row r="17" spans="1:13" s="188" customFormat="1" ht="15" customHeight="1" x14ac:dyDescent="0.15">
      <c r="A17" s="591">
        <v>6</v>
      </c>
      <c r="B17" s="591">
        <f>'1.Stratégie'!B13</f>
        <v>0</v>
      </c>
      <c r="C17" s="199">
        <f>'1.Stratégie'!$D13*2</f>
        <v>0</v>
      </c>
      <c r="D17" s="592">
        <f>C17*Data!$B$37</f>
        <v>0</v>
      </c>
      <c r="E17" s="200">
        <f>ROUNDUP($D17*Data!$B$45,-2)</f>
        <v>0</v>
      </c>
      <c r="F17" s="126"/>
      <c r="G17" s="126"/>
      <c r="H17" s="201">
        <f>IF($G17=$E$53,$F17*Data!$B$37,$F17*Data!$B$39)</f>
        <v>0</v>
      </c>
      <c r="I17" s="205">
        <f>'1.Stratégie'!$D13*2</f>
        <v>0</v>
      </c>
      <c r="J17" s="201">
        <f>I17*Data!$B$39</f>
        <v>0</v>
      </c>
      <c r="K17" s="205">
        <f>ROUNDUP(J17*Data!$B$45,-2)</f>
        <v>0</v>
      </c>
      <c r="L17" s="200">
        <f>ROUNDUP(IF(H17=0,0,H17*Data!$B$45),-2)</f>
        <v>0</v>
      </c>
      <c r="M17" s="586"/>
    </row>
    <row r="18" spans="1:13" s="188" customFormat="1" ht="15" customHeight="1" x14ac:dyDescent="0.15">
      <c r="A18" s="591">
        <v>7</v>
      </c>
      <c r="B18" s="591">
        <f>'1.Stratégie'!B14</f>
        <v>0</v>
      </c>
      <c r="C18" s="199">
        <f>'1.Stratégie'!$D14*2</f>
        <v>0</v>
      </c>
      <c r="D18" s="592">
        <f>C18*Data!$B$37</f>
        <v>0</v>
      </c>
      <c r="E18" s="200">
        <f>ROUNDUP($D18*Data!$B$45,-2)</f>
        <v>0</v>
      </c>
      <c r="F18" s="126"/>
      <c r="G18" s="126"/>
      <c r="H18" s="201">
        <f>IF($G18=$E$53,$F18*Data!$B$37,$F18*Data!$B$39)</f>
        <v>0</v>
      </c>
      <c r="I18" s="205">
        <f>'1.Stratégie'!$D14*2</f>
        <v>0</v>
      </c>
      <c r="J18" s="201">
        <f>I18*Data!$B$39</f>
        <v>0</v>
      </c>
      <c r="K18" s="205">
        <f>ROUNDUP(J18*Data!$B$45,-2)</f>
        <v>0</v>
      </c>
      <c r="L18" s="200">
        <f>ROUNDUP(IF(H18=0,0,H18*Data!$B$45),-2)</f>
        <v>0</v>
      </c>
      <c r="M18" s="586"/>
    </row>
    <row r="19" spans="1:13" s="188" customFormat="1" ht="15" customHeight="1" x14ac:dyDescent="0.15">
      <c r="A19" s="591">
        <v>8</v>
      </c>
      <c r="B19" s="591">
        <f>'1.Stratégie'!B15</f>
        <v>0</v>
      </c>
      <c r="C19" s="199">
        <f>'1.Stratégie'!$D15*2</f>
        <v>0</v>
      </c>
      <c r="D19" s="592">
        <f>C19*Data!$B$37</f>
        <v>0</v>
      </c>
      <c r="E19" s="200">
        <f>ROUNDUP($D19*Data!$B$45,-2)</f>
        <v>0</v>
      </c>
      <c r="F19" s="126"/>
      <c r="G19" s="126"/>
      <c r="H19" s="201">
        <f>IF($G19=$E$53,$F19*Data!$B$37,$F19*Data!$B$39)</f>
        <v>0</v>
      </c>
      <c r="I19" s="205">
        <f>'1.Stratégie'!$D15*2</f>
        <v>0</v>
      </c>
      <c r="J19" s="201">
        <f>I19*Data!$B$39</f>
        <v>0</v>
      </c>
      <c r="K19" s="205">
        <f>ROUNDUP(J19*Data!$B$45,-2)</f>
        <v>0</v>
      </c>
      <c r="L19" s="200">
        <f>ROUNDUP(IF(H19=0,0,H19*Data!$B$45),-2)</f>
        <v>0</v>
      </c>
      <c r="M19" s="586"/>
    </row>
    <row r="20" spans="1:13" s="188" customFormat="1" ht="15" customHeight="1" x14ac:dyDescent="0.15">
      <c r="A20" s="591">
        <v>9</v>
      </c>
      <c r="B20" s="591">
        <f>'1.Stratégie'!B16</f>
        <v>0</v>
      </c>
      <c r="C20" s="199">
        <f>'1.Stratégie'!$D16*2</f>
        <v>0</v>
      </c>
      <c r="D20" s="592">
        <f>C20*Data!$B$37</f>
        <v>0</v>
      </c>
      <c r="E20" s="200">
        <f>ROUNDUP($D20*Data!$B$45,-2)</f>
        <v>0</v>
      </c>
      <c r="F20" s="126"/>
      <c r="G20" s="126"/>
      <c r="H20" s="201">
        <f>IF($G20=$E$53,$F20*Data!$B$37,$F20*Data!$B$39)</f>
        <v>0</v>
      </c>
      <c r="I20" s="205">
        <f>'1.Stratégie'!$D16*2</f>
        <v>0</v>
      </c>
      <c r="J20" s="201">
        <f>I20*Data!$B$39</f>
        <v>0</v>
      </c>
      <c r="K20" s="205">
        <f>ROUNDUP(J20*Data!$B$45,-2)</f>
        <v>0</v>
      </c>
      <c r="L20" s="200">
        <f>ROUNDUP(IF(H20=0,0,H20*Data!$B$45),-2)</f>
        <v>0</v>
      </c>
      <c r="M20" s="586"/>
    </row>
    <row r="21" spans="1:13" s="188" customFormat="1" ht="15" customHeight="1" x14ac:dyDescent="0.15">
      <c r="A21" s="591">
        <v>10</v>
      </c>
      <c r="B21" s="591">
        <f>'1.Stratégie'!B17</f>
        <v>0</v>
      </c>
      <c r="C21" s="199">
        <f>'1.Stratégie'!$D17*2</f>
        <v>0</v>
      </c>
      <c r="D21" s="592">
        <f>C21*Data!$B$37</f>
        <v>0</v>
      </c>
      <c r="E21" s="200">
        <f>ROUNDUP($D21*Data!$B$45,-2)</f>
        <v>0</v>
      </c>
      <c r="F21" s="126"/>
      <c r="G21" s="126"/>
      <c r="H21" s="201">
        <f>IF($G21=$E$53,$F21*Data!$B$37,$F21*Data!$B$39)</f>
        <v>0</v>
      </c>
      <c r="I21" s="205">
        <f>'1.Stratégie'!$D17*2</f>
        <v>0</v>
      </c>
      <c r="J21" s="201">
        <f>I21*Data!$B$39</f>
        <v>0</v>
      </c>
      <c r="K21" s="205">
        <f>ROUNDUP(J21*Data!$B$45,-2)</f>
        <v>0</v>
      </c>
      <c r="L21" s="200">
        <f>ROUNDUP(IF(H21=0,0,H21*Data!$B$45),-2)</f>
        <v>0</v>
      </c>
      <c r="M21" s="586"/>
    </row>
    <row r="22" spans="1:13" s="188" customFormat="1" ht="15" customHeight="1" x14ac:dyDescent="0.15">
      <c r="A22" s="591">
        <v>11</v>
      </c>
      <c r="B22" s="591">
        <f>'1.Stratégie'!B18</f>
        <v>0</v>
      </c>
      <c r="C22" s="199">
        <f>'1.Stratégie'!$D18*2</f>
        <v>0</v>
      </c>
      <c r="D22" s="592">
        <f>C22*Data!$B$37</f>
        <v>0</v>
      </c>
      <c r="E22" s="200">
        <f>ROUNDUP($D22*Data!$B$45,-2)</f>
        <v>0</v>
      </c>
      <c r="F22" s="126"/>
      <c r="G22" s="126"/>
      <c r="H22" s="201">
        <f>IF($G22=$E$53,$F22*Data!$B$37,$F22*Data!$B$39)</f>
        <v>0</v>
      </c>
      <c r="I22" s="205">
        <f>'1.Stratégie'!$D18*2</f>
        <v>0</v>
      </c>
      <c r="J22" s="201">
        <f>I22*Data!$B$39</f>
        <v>0</v>
      </c>
      <c r="K22" s="205">
        <f>ROUNDUP(J22*Data!$B$45,-2)</f>
        <v>0</v>
      </c>
      <c r="L22" s="200">
        <f>ROUNDUP(IF(H22=0,0,H22*Data!$B$45),-2)</f>
        <v>0</v>
      </c>
      <c r="M22" s="586"/>
    </row>
    <row r="23" spans="1:13" s="188" customFormat="1" ht="15" customHeight="1" x14ac:dyDescent="0.15">
      <c r="A23" s="591">
        <v>12</v>
      </c>
      <c r="B23" s="591">
        <f>'1.Stratégie'!B19</f>
        <v>0</v>
      </c>
      <c r="C23" s="199">
        <f>'1.Stratégie'!$D19*2</f>
        <v>0</v>
      </c>
      <c r="D23" s="592">
        <f>C23*Data!$B$37</f>
        <v>0</v>
      </c>
      <c r="E23" s="200">
        <f>ROUNDUP($D23*Data!$B$45,-2)</f>
        <v>0</v>
      </c>
      <c r="F23" s="126"/>
      <c r="G23" s="126"/>
      <c r="H23" s="201">
        <f>IF($G23=$E$53,$F23*Data!$B$37,$F23*Data!$B$39)</f>
        <v>0</v>
      </c>
      <c r="I23" s="205">
        <f>'1.Stratégie'!$D19*2</f>
        <v>0</v>
      </c>
      <c r="J23" s="201">
        <f>I23*Data!$B$39</f>
        <v>0</v>
      </c>
      <c r="K23" s="205">
        <f>ROUNDUP(J23*Data!$B$45,-2)</f>
        <v>0</v>
      </c>
      <c r="L23" s="200">
        <f>ROUNDUP(IF(H23=0,0,H23*Data!$B$45),-2)</f>
        <v>0</v>
      </c>
      <c r="M23" s="586"/>
    </row>
    <row r="24" spans="1:13" s="188" customFormat="1" ht="15" customHeight="1" x14ac:dyDescent="0.15">
      <c r="A24" s="591">
        <v>13</v>
      </c>
      <c r="B24" s="591">
        <f>'1.Stratégie'!B20</f>
        <v>0</v>
      </c>
      <c r="C24" s="199">
        <f>'1.Stratégie'!$D20*2</f>
        <v>0</v>
      </c>
      <c r="D24" s="592">
        <f>C24*Data!$B$37</f>
        <v>0</v>
      </c>
      <c r="E24" s="200">
        <f>ROUNDUP($D24*Data!$B$45,-2)</f>
        <v>0</v>
      </c>
      <c r="F24" s="126"/>
      <c r="G24" s="126"/>
      <c r="H24" s="201">
        <f>IF($G24=$E$53,$F24*Data!$B$37,$F24*Data!$B$39)</f>
        <v>0</v>
      </c>
      <c r="I24" s="205">
        <f>'1.Stratégie'!$D20*2</f>
        <v>0</v>
      </c>
      <c r="J24" s="201">
        <f>I24*Data!$B$39</f>
        <v>0</v>
      </c>
      <c r="K24" s="205">
        <f>ROUNDUP(J24*Data!$B$45,-2)</f>
        <v>0</v>
      </c>
      <c r="L24" s="200">
        <f>ROUNDUP(IF(H24=0,0,H24*Data!$B$45),-2)</f>
        <v>0</v>
      </c>
      <c r="M24" s="586"/>
    </row>
    <row r="25" spans="1:13" s="188" customFormat="1" ht="15" customHeight="1" x14ac:dyDescent="0.15">
      <c r="A25" s="591">
        <v>14</v>
      </c>
      <c r="B25" s="591">
        <f>'1.Stratégie'!B21</f>
        <v>0</v>
      </c>
      <c r="C25" s="199">
        <f>'1.Stratégie'!$D21*2</f>
        <v>0</v>
      </c>
      <c r="D25" s="592">
        <f>C25*Data!$B$37</f>
        <v>0</v>
      </c>
      <c r="E25" s="200">
        <f>ROUNDUP($D25*Data!$B$45,-2)</f>
        <v>0</v>
      </c>
      <c r="F25" s="126"/>
      <c r="G25" s="126"/>
      <c r="H25" s="201">
        <f>IF($G25=$E$53,$F25*Data!$B$37,$F25*Data!$B$39)</f>
        <v>0</v>
      </c>
      <c r="I25" s="205">
        <f>'1.Stratégie'!$D21*2</f>
        <v>0</v>
      </c>
      <c r="J25" s="201">
        <f>I25*Data!$B$39</f>
        <v>0</v>
      </c>
      <c r="K25" s="205">
        <f>ROUNDUP(J25*Data!$B$45,-2)</f>
        <v>0</v>
      </c>
      <c r="L25" s="200">
        <f>ROUNDUP(IF(H25=0,0,H25*Data!$B$45),-2)</f>
        <v>0</v>
      </c>
      <c r="M25" s="586"/>
    </row>
    <row r="26" spans="1:13" s="188" customFormat="1" ht="15" customHeight="1" x14ac:dyDescent="0.15">
      <c r="A26" s="591">
        <v>15</v>
      </c>
      <c r="B26" s="591">
        <f>'1.Stratégie'!B22</f>
        <v>0</v>
      </c>
      <c r="C26" s="199">
        <f>'1.Stratégie'!$D22*2</f>
        <v>0</v>
      </c>
      <c r="D26" s="592">
        <f>C26*Data!$B$37</f>
        <v>0</v>
      </c>
      <c r="E26" s="200">
        <f>ROUNDUP($D26*Data!$B$45,-2)</f>
        <v>0</v>
      </c>
      <c r="F26" s="126"/>
      <c r="G26" s="126"/>
      <c r="H26" s="201">
        <f>IF($G26=$E$53,$F26*Data!$B$37,$F26*Data!$B$39)</f>
        <v>0</v>
      </c>
      <c r="I26" s="205">
        <f>'1.Stratégie'!$D22*2</f>
        <v>0</v>
      </c>
      <c r="J26" s="201">
        <f>I26*Data!$B$39</f>
        <v>0</v>
      </c>
      <c r="K26" s="205">
        <f>ROUNDUP(J26*Data!$B$45,-2)</f>
        <v>0</v>
      </c>
      <c r="L26" s="200">
        <f>ROUNDUP(IF(H26=0,0,H26*Data!$B$45),-2)</f>
        <v>0</v>
      </c>
      <c r="M26" s="586"/>
    </row>
    <row r="27" spans="1:13" s="188" customFormat="1" ht="15" customHeight="1" x14ac:dyDescent="0.15">
      <c r="A27" s="591">
        <v>16</v>
      </c>
      <c r="B27" s="591">
        <f>'1.Stratégie'!B23</f>
        <v>0</v>
      </c>
      <c r="C27" s="199">
        <f>'1.Stratégie'!$D23*2</f>
        <v>0</v>
      </c>
      <c r="D27" s="592">
        <f>C27*Data!$B$37</f>
        <v>0</v>
      </c>
      <c r="E27" s="200">
        <f>ROUNDUP($D27*Data!$B$45,-2)</f>
        <v>0</v>
      </c>
      <c r="F27" s="126"/>
      <c r="G27" s="126"/>
      <c r="H27" s="201">
        <f>IF($G27=$E$53,$F27*Data!$B$37,$F27*Data!$B$39)</f>
        <v>0</v>
      </c>
      <c r="I27" s="205">
        <f>'1.Stratégie'!$D23*2</f>
        <v>0</v>
      </c>
      <c r="J27" s="201">
        <f>I27*Data!$B$39</f>
        <v>0</v>
      </c>
      <c r="K27" s="205">
        <f>ROUNDUP(J27*Data!$B$45,-2)</f>
        <v>0</v>
      </c>
      <c r="L27" s="200">
        <f>ROUNDUP(IF(H27=0,0,H27*Data!$B$45),-2)</f>
        <v>0</v>
      </c>
      <c r="M27" s="586"/>
    </row>
    <row r="28" spans="1:13" s="188" customFormat="1" ht="15" customHeight="1" x14ac:dyDescent="0.15">
      <c r="A28" s="591">
        <v>17</v>
      </c>
      <c r="B28" s="591">
        <f>'1.Stratégie'!B24</f>
        <v>0</v>
      </c>
      <c r="C28" s="199">
        <f>'1.Stratégie'!$D24*2</f>
        <v>0</v>
      </c>
      <c r="D28" s="592">
        <f>C28*Data!$B$37</f>
        <v>0</v>
      </c>
      <c r="E28" s="200">
        <f>ROUNDUP($D28*Data!$B$45,-2)</f>
        <v>0</v>
      </c>
      <c r="F28" s="126"/>
      <c r="G28" s="126"/>
      <c r="H28" s="201">
        <f>IF($G28=$E$53,$F28*Data!$B$37,$F28*Data!$B$39)</f>
        <v>0</v>
      </c>
      <c r="I28" s="205">
        <f>'1.Stratégie'!$D24*2</f>
        <v>0</v>
      </c>
      <c r="J28" s="201">
        <f>I28*Data!$B$39</f>
        <v>0</v>
      </c>
      <c r="K28" s="205">
        <f>ROUNDUP(J28*Data!$B$45,-2)</f>
        <v>0</v>
      </c>
      <c r="L28" s="200">
        <f>ROUNDUP(IF(H28=0,0,H28*Data!$B$45),-2)</f>
        <v>0</v>
      </c>
      <c r="M28" s="586"/>
    </row>
    <row r="29" spans="1:13" s="188" customFormat="1" ht="15" customHeight="1" x14ac:dyDescent="0.15">
      <c r="A29" s="591">
        <v>18</v>
      </c>
      <c r="B29" s="591">
        <f>'1.Stratégie'!B25</f>
        <v>0</v>
      </c>
      <c r="C29" s="199">
        <f>'1.Stratégie'!$D25*2</f>
        <v>0</v>
      </c>
      <c r="D29" s="592">
        <f>C29*Data!$B$37</f>
        <v>0</v>
      </c>
      <c r="E29" s="200">
        <f>ROUNDUP($D29*Data!$B$45,-2)</f>
        <v>0</v>
      </c>
      <c r="F29" s="126"/>
      <c r="G29" s="126"/>
      <c r="H29" s="201">
        <f>IF($G29=$E$53,$F29*Data!$B$37,$F29*Data!$B$39)</f>
        <v>0</v>
      </c>
      <c r="I29" s="205">
        <f>'1.Stratégie'!$D25*2</f>
        <v>0</v>
      </c>
      <c r="J29" s="201">
        <f>I29*Data!$B$39</f>
        <v>0</v>
      </c>
      <c r="K29" s="205">
        <f>ROUNDUP(J29*Data!$B$45,-2)</f>
        <v>0</v>
      </c>
      <c r="L29" s="200">
        <f>ROUNDUP(IF(H29=0,0,H29*Data!$B$45),-2)</f>
        <v>0</v>
      </c>
      <c r="M29" s="586"/>
    </row>
    <row r="30" spans="1:13" s="188" customFormat="1" ht="15" customHeight="1" x14ac:dyDescent="0.15">
      <c r="A30" s="591">
        <v>19</v>
      </c>
      <c r="B30" s="591">
        <f>'1.Stratégie'!B26</f>
        <v>0</v>
      </c>
      <c r="C30" s="199">
        <f>'1.Stratégie'!$D26*2</f>
        <v>0</v>
      </c>
      <c r="D30" s="592">
        <f>C30*Data!$B$37</f>
        <v>0</v>
      </c>
      <c r="E30" s="200">
        <f>ROUNDUP($D30*Data!$B$45,-2)</f>
        <v>0</v>
      </c>
      <c r="F30" s="126"/>
      <c r="G30" s="126"/>
      <c r="H30" s="201">
        <f>IF($G30=$E$53,$F30*Data!$B$37,$F30*Data!$B$39)</f>
        <v>0</v>
      </c>
      <c r="I30" s="205">
        <f>'1.Stratégie'!$D26*2</f>
        <v>0</v>
      </c>
      <c r="J30" s="201">
        <f>I30*Data!$B$39</f>
        <v>0</v>
      </c>
      <c r="K30" s="205">
        <f>ROUNDUP(J30*Data!$B$45,-2)</f>
        <v>0</v>
      </c>
      <c r="L30" s="200">
        <f>ROUNDUP(IF(H30=0,0,H30*Data!$B$45),-2)</f>
        <v>0</v>
      </c>
      <c r="M30" s="586"/>
    </row>
    <row r="31" spans="1:13" s="188" customFormat="1" ht="15" customHeight="1" x14ac:dyDescent="0.15">
      <c r="A31" s="591">
        <v>20</v>
      </c>
      <c r="B31" s="591">
        <f>'1.Stratégie'!B27</f>
        <v>0</v>
      </c>
      <c r="C31" s="199">
        <f>'1.Stratégie'!$D27*2</f>
        <v>0</v>
      </c>
      <c r="D31" s="592">
        <f>C31*Data!$B$37</f>
        <v>0</v>
      </c>
      <c r="E31" s="200">
        <f>ROUNDUP($D31*Data!$B$45,-2)</f>
        <v>0</v>
      </c>
      <c r="F31" s="126"/>
      <c r="G31" s="126"/>
      <c r="H31" s="201">
        <f>IF($G31=$E$53,$F31*Data!$B$37,$F31*Data!$B$39)</f>
        <v>0</v>
      </c>
      <c r="I31" s="205">
        <f>'1.Stratégie'!$D27*2</f>
        <v>0</v>
      </c>
      <c r="J31" s="201">
        <f>I31*Data!$B$39</f>
        <v>0</v>
      </c>
      <c r="K31" s="205">
        <f>ROUNDUP(J31*Data!$B$45,-2)</f>
        <v>0</v>
      </c>
      <c r="L31" s="200">
        <f>ROUNDUP(IF(H31=0,0,H31*Data!$B$45),-2)</f>
        <v>0</v>
      </c>
      <c r="M31" s="586"/>
    </row>
    <row r="32" spans="1:13" s="188" customFormat="1" ht="15" customHeight="1" x14ac:dyDescent="0.15">
      <c r="A32" s="591">
        <v>21</v>
      </c>
      <c r="B32" s="591">
        <f>'1.Stratégie'!B28</f>
        <v>0</v>
      </c>
      <c r="C32" s="199">
        <f>'1.Stratégie'!$D28*2</f>
        <v>0</v>
      </c>
      <c r="D32" s="592">
        <f>C32*Data!$B$37</f>
        <v>0</v>
      </c>
      <c r="E32" s="200">
        <f>ROUNDUP($D32*Data!$B$45,-2)</f>
        <v>0</v>
      </c>
      <c r="F32" s="126"/>
      <c r="G32" s="126"/>
      <c r="H32" s="201">
        <f>IF($G32=$E$53,$F32*Data!$B$37,$F32*Data!$B$39)</f>
        <v>0</v>
      </c>
      <c r="I32" s="205">
        <f>'1.Stratégie'!$D28*2</f>
        <v>0</v>
      </c>
      <c r="J32" s="201">
        <f>I32*Data!$B$39</f>
        <v>0</v>
      </c>
      <c r="K32" s="205">
        <f>ROUNDUP(J32*Data!$B$45,-2)</f>
        <v>0</v>
      </c>
      <c r="L32" s="200">
        <f>ROUNDUP(IF(H32=0,0,H32*Data!$B$45),-2)</f>
        <v>0</v>
      </c>
      <c r="M32" s="586"/>
    </row>
    <row r="33" spans="1:25" s="188" customFormat="1" ht="15" customHeight="1" x14ac:dyDescent="0.15">
      <c r="A33" s="591">
        <v>22</v>
      </c>
      <c r="B33" s="591">
        <f>'1.Stratégie'!B29</f>
        <v>0</v>
      </c>
      <c r="C33" s="199">
        <f>'1.Stratégie'!$D29*2</f>
        <v>0</v>
      </c>
      <c r="D33" s="592">
        <f>C33*Data!$B$37</f>
        <v>0</v>
      </c>
      <c r="E33" s="200">
        <f>ROUNDUP($D33*Data!$B$45,-2)</f>
        <v>0</v>
      </c>
      <c r="F33" s="126"/>
      <c r="G33" s="126"/>
      <c r="H33" s="201">
        <f>IF($G33=$E$53,$F33*Data!$B$37,$F33*Data!$B$39)</f>
        <v>0</v>
      </c>
      <c r="I33" s="205">
        <f>'1.Stratégie'!$D29*2</f>
        <v>0</v>
      </c>
      <c r="J33" s="201">
        <f>I33*Data!$B$39</f>
        <v>0</v>
      </c>
      <c r="K33" s="205">
        <f>ROUNDUP(J33*Data!$B$45,-2)</f>
        <v>0</v>
      </c>
      <c r="L33" s="200">
        <f>ROUNDUP(IF(H33=0,0,H33*Data!$B$45),-2)</f>
        <v>0</v>
      </c>
      <c r="M33" s="586"/>
    </row>
    <row r="34" spans="1:25" s="188" customFormat="1" ht="15" customHeight="1" x14ac:dyDescent="0.15">
      <c r="A34" s="591">
        <v>23</v>
      </c>
      <c r="B34" s="591">
        <f>'1.Stratégie'!B30</f>
        <v>0</v>
      </c>
      <c r="C34" s="199">
        <f>'1.Stratégie'!$D30*2</f>
        <v>0</v>
      </c>
      <c r="D34" s="592">
        <f>C34*Data!$B$37</f>
        <v>0</v>
      </c>
      <c r="E34" s="200">
        <f>ROUNDUP($D34*Data!$B$45,-2)</f>
        <v>0</v>
      </c>
      <c r="F34" s="126"/>
      <c r="G34" s="126"/>
      <c r="H34" s="201">
        <f>IF($G34=$E$53,$F34*Data!$B$37,$F34*Data!$B$39)</f>
        <v>0</v>
      </c>
      <c r="I34" s="205">
        <f>'1.Stratégie'!$D30*2</f>
        <v>0</v>
      </c>
      <c r="J34" s="201">
        <f>I34*Data!$B$39</f>
        <v>0</v>
      </c>
      <c r="K34" s="205">
        <f>ROUNDUP(J34*Data!$B$45,-2)</f>
        <v>0</v>
      </c>
      <c r="L34" s="200">
        <f>ROUNDUP(IF(H34=0,0,H34*Data!$B$45),-2)</f>
        <v>0</v>
      </c>
      <c r="M34" s="586"/>
    </row>
    <row r="35" spans="1:25" s="188" customFormat="1" ht="15" customHeight="1" x14ac:dyDescent="0.15">
      <c r="A35" s="591">
        <v>24</v>
      </c>
      <c r="B35" s="591">
        <f>'1.Stratégie'!B31</f>
        <v>0</v>
      </c>
      <c r="C35" s="199">
        <f>'1.Stratégie'!$D31*2</f>
        <v>0</v>
      </c>
      <c r="D35" s="592">
        <f>C35*Data!$B$37</f>
        <v>0</v>
      </c>
      <c r="E35" s="200">
        <f>ROUNDUP($D35*Data!$B$45,-2)</f>
        <v>0</v>
      </c>
      <c r="F35" s="126"/>
      <c r="G35" s="126"/>
      <c r="H35" s="201">
        <f>IF($G35=$E$53,$F35*Data!$B$37,$F35*Data!$B$39)</f>
        <v>0</v>
      </c>
      <c r="I35" s="205">
        <f>'1.Stratégie'!$D31*2</f>
        <v>0</v>
      </c>
      <c r="J35" s="201">
        <f>I35*Data!$B$39</f>
        <v>0</v>
      </c>
      <c r="K35" s="205">
        <f>ROUNDUP(J35*Data!$B$45,-2)</f>
        <v>0</v>
      </c>
      <c r="L35" s="200">
        <f>ROUNDUP(IF(H35=0,0,H35*Data!$B$45),-2)</f>
        <v>0</v>
      </c>
      <c r="M35" s="586"/>
    </row>
    <row r="36" spans="1:25" s="188" customFormat="1" ht="15" customHeight="1" x14ac:dyDescent="0.15">
      <c r="A36" s="591">
        <v>25</v>
      </c>
      <c r="B36" s="591">
        <f>'1.Stratégie'!B32</f>
        <v>0</v>
      </c>
      <c r="C36" s="199">
        <f>'1.Stratégie'!$D32*2</f>
        <v>0</v>
      </c>
      <c r="D36" s="592">
        <f>C36*Data!$B$37</f>
        <v>0</v>
      </c>
      <c r="E36" s="200">
        <f>ROUNDUP($D36*Data!$B$45,-2)</f>
        <v>0</v>
      </c>
      <c r="F36" s="126"/>
      <c r="G36" s="126"/>
      <c r="H36" s="201">
        <f>IF($G36=$E$53,$F36*Data!$B$37,$F36*Data!$B$39)</f>
        <v>0</v>
      </c>
      <c r="I36" s="205">
        <f>'1.Stratégie'!$D32*2</f>
        <v>0</v>
      </c>
      <c r="J36" s="201">
        <f>I36*Data!$B$39</f>
        <v>0</v>
      </c>
      <c r="K36" s="205">
        <f>ROUNDUP(J36*Data!$B$45,-2)</f>
        <v>0</v>
      </c>
      <c r="L36" s="200">
        <f>ROUNDUP(IF(H36=0,0,H36*Data!$B$45),-2)</f>
        <v>0</v>
      </c>
      <c r="M36" s="586"/>
    </row>
    <row r="37" spans="1:25" s="188" customFormat="1" ht="15" customHeight="1" x14ac:dyDescent="0.15">
      <c r="A37" s="591">
        <v>26</v>
      </c>
      <c r="B37" s="591">
        <f>'1.Stratégie'!B33</f>
        <v>0</v>
      </c>
      <c r="C37" s="199">
        <f>'1.Stratégie'!$D33*2</f>
        <v>0</v>
      </c>
      <c r="D37" s="592">
        <f>C37*Data!$B$37</f>
        <v>0</v>
      </c>
      <c r="E37" s="200">
        <f>ROUNDUP($D37*Data!$B$45,-2)</f>
        <v>0</v>
      </c>
      <c r="F37" s="126"/>
      <c r="G37" s="126"/>
      <c r="H37" s="201">
        <f>IF($G37=$E$53,$F37*Data!$B$37,$F37*Data!$B$39)</f>
        <v>0</v>
      </c>
      <c r="I37" s="205">
        <f>'1.Stratégie'!$D33*2</f>
        <v>0</v>
      </c>
      <c r="J37" s="201">
        <f>I37*Data!$B$39</f>
        <v>0</v>
      </c>
      <c r="K37" s="205">
        <f>ROUNDUP(J37*Data!$B$45,-2)</f>
        <v>0</v>
      </c>
      <c r="L37" s="200">
        <f>ROUNDUP(IF(H37=0,0,H37*Data!$B$45),-2)</f>
        <v>0</v>
      </c>
      <c r="M37" s="586"/>
    </row>
    <row r="38" spans="1:25" s="188" customFormat="1" ht="15" customHeight="1" x14ac:dyDescent="0.15">
      <c r="A38" s="591">
        <v>27</v>
      </c>
      <c r="B38" s="591">
        <f>'1.Stratégie'!B34</f>
        <v>0</v>
      </c>
      <c r="C38" s="199">
        <f>'1.Stratégie'!$D34*2</f>
        <v>0</v>
      </c>
      <c r="D38" s="592">
        <f>C38*Data!$B$37</f>
        <v>0</v>
      </c>
      <c r="E38" s="200">
        <f>ROUNDUP($D38*Data!$B$45,-2)</f>
        <v>0</v>
      </c>
      <c r="F38" s="126"/>
      <c r="G38" s="126"/>
      <c r="H38" s="201">
        <f>IF($G38=$E$53,$F38*Data!$B$37,$F38*Data!$B$39)</f>
        <v>0</v>
      </c>
      <c r="I38" s="205">
        <f>'1.Stratégie'!$D34*2</f>
        <v>0</v>
      </c>
      <c r="J38" s="201">
        <f>I38*Data!$B$39</f>
        <v>0</v>
      </c>
      <c r="K38" s="205">
        <f>ROUNDUP(J38*Data!$B$45,-2)</f>
        <v>0</v>
      </c>
      <c r="L38" s="200">
        <f>ROUNDUP(IF(H38=0,0,H38*Data!$B$45),-2)</f>
        <v>0</v>
      </c>
      <c r="M38" s="586"/>
    </row>
    <row r="39" spans="1:25" s="188" customFormat="1" ht="15" customHeight="1" x14ac:dyDescent="0.15">
      <c r="A39" s="591">
        <v>28</v>
      </c>
      <c r="B39" s="591">
        <f>'1.Stratégie'!B35</f>
        <v>0</v>
      </c>
      <c r="C39" s="199">
        <f>'1.Stratégie'!$D35*2</f>
        <v>0</v>
      </c>
      <c r="D39" s="592">
        <f>C39*Data!$B$37</f>
        <v>0</v>
      </c>
      <c r="E39" s="200">
        <f>ROUNDUP($D39*Data!$B$45,-2)</f>
        <v>0</v>
      </c>
      <c r="F39" s="126"/>
      <c r="G39" s="126"/>
      <c r="H39" s="201">
        <f>IF($G39=$E$53,$F39*Data!$B$37,$F39*Data!$B$39)</f>
        <v>0</v>
      </c>
      <c r="I39" s="205">
        <f>'1.Stratégie'!$D35*2</f>
        <v>0</v>
      </c>
      <c r="J39" s="201">
        <f>I39*Data!$B$39</f>
        <v>0</v>
      </c>
      <c r="K39" s="205">
        <f>ROUNDUP(J39*Data!$B$45,-2)</f>
        <v>0</v>
      </c>
      <c r="L39" s="200">
        <f>ROUNDUP(IF(H39=0,0,H39*Data!$B$45),-2)</f>
        <v>0</v>
      </c>
      <c r="M39" s="586"/>
    </row>
    <row r="40" spans="1:25" s="188" customFormat="1" ht="15" customHeight="1" x14ac:dyDescent="0.15">
      <c r="A40" s="591">
        <v>29</v>
      </c>
      <c r="B40" s="591">
        <f>'1.Stratégie'!B36</f>
        <v>0</v>
      </c>
      <c r="C40" s="199">
        <f>'1.Stratégie'!$D36*2</f>
        <v>0</v>
      </c>
      <c r="D40" s="592">
        <f>C40*Data!$B$37</f>
        <v>0</v>
      </c>
      <c r="E40" s="200">
        <f>ROUNDUP($D40*Data!$B$45,-2)</f>
        <v>0</v>
      </c>
      <c r="F40" s="126"/>
      <c r="G40" s="126"/>
      <c r="H40" s="201">
        <f>IF($G40=$E$53,$F40*Data!$B$37,$F40*Data!$B$39)</f>
        <v>0</v>
      </c>
      <c r="I40" s="205">
        <f>'1.Stratégie'!$D36*2</f>
        <v>0</v>
      </c>
      <c r="J40" s="201">
        <f>I40*Data!$B$39</f>
        <v>0</v>
      </c>
      <c r="K40" s="205">
        <f>ROUNDUP(J40*Data!$B$45,-2)</f>
        <v>0</v>
      </c>
      <c r="L40" s="200">
        <f>ROUNDUP(IF(H40=0,0,H40*Data!$B$45),-2)</f>
        <v>0</v>
      </c>
      <c r="M40" s="586"/>
    </row>
    <row r="41" spans="1:25" s="188" customFormat="1" ht="15" customHeight="1" x14ac:dyDescent="0.15">
      <c r="A41" s="591">
        <v>30</v>
      </c>
      <c r="B41" s="591">
        <f>'1.Stratégie'!B37</f>
        <v>0</v>
      </c>
      <c r="C41" s="199">
        <f>'1.Stratégie'!$D37*2</f>
        <v>0</v>
      </c>
      <c r="D41" s="592">
        <f>C41*Data!$B$37</f>
        <v>0</v>
      </c>
      <c r="E41" s="200">
        <f>ROUNDUP($D41*Data!$B$45,-2)</f>
        <v>0</v>
      </c>
      <c r="F41" s="126"/>
      <c r="G41" s="126"/>
      <c r="H41" s="201">
        <f>IF($G41=$E$53,$F41*Data!$B$37,$F41*Data!$B$39)</f>
        <v>0</v>
      </c>
      <c r="I41" s="205">
        <f>'1.Stratégie'!$D37*2</f>
        <v>0</v>
      </c>
      <c r="J41" s="201">
        <f>I41*Data!$B$39</f>
        <v>0</v>
      </c>
      <c r="K41" s="205">
        <f>ROUNDUP(J41*Data!$B$45,-2)</f>
        <v>0</v>
      </c>
      <c r="L41" s="200">
        <f>ROUNDUP(IF(H41=0,0,H41*Data!$B$45),-2)</f>
        <v>0</v>
      </c>
      <c r="M41" s="586"/>
    </row>
    <row r="42" spans="1:25" s="234" customFormat="1" ht="24.95" customHeight="1" x14ac:dyDescent="0.15">
      <c r="A42" s="766"/>
      <c r="B42" s="593" t="str">
        <f>"TOTAL "&amp; $E$8</f>
        <v>TOTAL 0</v>
      </c>
      <c r="C42" s="202">
        <f t="shared" ref="C42:L42" si="0">SUM(C12:C41)</f>
        <v>0</v>
      </c>
      <c r="D42" s="594">
        <f t="shared" si="0"/>
        <v>0</v>
      </c>
      <c r="E42" s="231">
        <f t="shared" si="0"/>
        <v>0</v>
      </c>
      <c r="F42" s="620">
        <f t="shared" si="0"/>
        <v>0</v>
      </c>
      <c r="G42" s="621"/>
      <c r="H42" s="233">
        <f t="shared" si="0"/>
        <v>0</v>
      </c>
      <c r="I42" s="232">
        <f t="shared" si="0"/>
        <v>0</v>
      </c>
      <c r="J42" s="233">
        <f t="shared" si="0"/>
        <v>0</v>
      </c>
      <c r="K42" s="635">
        <f t="shared" si="0"/>
        <v>0</v>
      </c>
      <c r="L42" s="231">
        <f t="shared" si="0"/>
        <v>0</v>
      </c>
      <c r="M42" s="175"/>
    </row>
    <row r="43" spans="1:25" s="37" customFormat="1" hidden="1" x14ac:dyDescent="0.15">
      <c r="A43" s="203"/>
      <c r="B43" s="203"/>
      <c r="C43" s="203"/>
      <c r="D43" s="203"/>
      <c r="E43" s="203"/>
      <c r="F43" s="203"/>
      <c r="G43" s="203"/>
      <c r="H43" s="203"/>
      <c r="I43" s="203"/>
      <c r="J43" s="203"/>
      <c r="K43" s="586"/>
      <c r="L43" s="203"/>
      <c r="M43" s="203"/>
      <c r="N43" s="516"/>
      <c r="O43" s="516"/>
      <c r="P43" s="516"/>
      <c r="Q43" s="516"/>
      <c r="R43" s="516"/>
      <c r="S43" s="516"/>
      <c r="T43" s="516"/>
      <c r="U43" s="516"/>
      <c r="V43" s="516"/>
      <c r="W43" s="516"/>
      <c r="X43" s="516"/>
      <c r="Y43" s="516"/>
    </row>
    <row r="44" spans="1:25" s="37" customFormat="1" hidden="1" x14ac:dyDescent="0.15">
      <c r="A44" s="203"/>
      <c r="B44" s="595"/>
      <c r="C44" s="596"/>
      <c r="D44" s="597" t="s">
        <v>214</v>
      </c>
      <c r="E44" s="614">
        <f>SUM(C42,F42,I42)</f>
        <v>0</v>
      </c>
      <c r="F44" s="203"/>
      <c r="G44" s="203"/>
      <c r="H44" s="203"/>
      <c r="I44" s="203"/>
      <c r="J44" s="203"/>
      <c r="K44" s="586"/>
      <c r="L44" s="203"/>
      <c r="M44" s="203"/>
      <c r="N44" s="516"/>
      <c r="O44" s="516"/>
      <c r="P44" s="516"/>
      <c r="Q44" s="516"/>
      <c r="R44" s="516"/>
      <c r="S44" s="516"/>
      <c r="T44" s="516"/>
      <c r="U44" s="516"/>
      <c r="V44" s="516"/>
      <c r="W44" s="516"/>
    </row>
    <row r="45" spans="1:25" s="37" customFormat="1" hidden="1" x14ac:dyDescent="0.15">
      <c r="A45" s="203"/>
      <c r="B45" s="595"/>
      <c r="C45" s="596"/>
      <c r="D45" s="597" t="s">
        <v>215</v>
      </c>
      <c r="E45" s="615" t="e">
        <f>SUM(D42,#REF!)</f>
        <v>#REF!</v>
      </c>
      <c r="F45" s="203"/>
      <c r="G45" s="203"/>
      <c r="H45" s="203"/>
      <c r="I45" s="203"/>
      <c r="J45" s="203"/>
      <c r="K45" s="586"/>
      <c r="L45" s="203"/>
      <c r="M45" s="203"/>
      <c r="N45" s="516"/>
      <c r="O45" s="516"/>
      <c r="P45" s="516"/>
      <c r="Q45" s="516"/>
      <c r="R45" s="516"/>
      <c r="S45" s="516"/>
      <c r="T45" s="516"/>
      <c r="U45" s="516"/>
      <c r="V45" s="516"/>
      <c r="W45" s="516"/>
    </row>
    <row r="46" spans="1:25" s="37" customFormat="1" hidden="1" x14ac:dyDescent="0.15">
      <c r="A46" s="203"/>
      <c r="B46" s="595"/>
      <c r="C46" s="596"/>
      <c r="D46" s="597" t="s">
        <v>98</v>
      </c>
      <c r="E46" s="614" t="e">
        <f>$E$45*Data!$B$45</f>
        <v>#REF!</v>
      </c>
      <c r="F46" s="203"/>
      <c r="G46" s="203"/>
      <c r="H46" s="203"/>
      <c r="I46" s="203"/>
      <c r="J46" s="203"/>
      <c r="K46" s="586"/>
      <c r="L46" s="203"/>
      <c r="M46" s="203"/>
      <c r="N46" s="516"/>
      <c r="O46" s="516"/>
      <c r="P46" s="516"/>
      <c r="Q46" s="516"/>
      <c r="R46" s="516"/>
      <c r="S46" s="516"/>
      <c r="T46" s="516"/>
      <c r="U46" s="516"/>
      <c r="V46" s="516"/>
      <c r="W46" s="516"/>
      <c r="X46" s="516"/>
    </row>
    <row r="47" spans="1:25" s="37" customFormat="1" hidden="1" x14ac:dyDescent="0.15">
      <c r="A47" s="203"/>
      <c r="B47" s="598"/>
      <c r="C47" s="598"/>
      <c r="D47" s="599"/>
      <c r="E47" s="598"/>
      <c r="F47" s="203"/>
      <c r="G47" s="203"/>
      <c r="H47" s="203"/>
      <c r="I47" s="203"/>
      <c r="J47" s="203"/>
      <c r="K47" s="586"/>
      <c r="L47" s="203"/>
      <c r="M47" s="203"/>
      <c r="N47" s="516"/>
      <c r="O47" s="516"/>
      <c r="P47" s="516"/>
      <c r="Q47" s="516"/>
      <c r="R47" s="516"/>
      <c r="S47" s="516"/>
      <c r="T47" s="516"/>
      <c r="U47" s="516"/>
      <c r="V47" s="516"/>
      <c r="W47" s="516"/>
      <c r="X47" s="516"/>
    </row>
    <row r="48" spans="1:25" s="37" customFormat="1" ht="22.5" customHeight="1" x14ac:dyDescent="0.15">
      <c r="A48" s="203"/>
      <c r="B48" s="600" t="s">
        <v>369</v>
      </c>
      <c r="C48" s="601"/>
      <c r="D48" s="601"/>
      <c r="E48" s="616" t="s">
        <v>272</v>
      </c>
      <c r="F48" s="203"/>
      <c r="G48" s="203"/>
      <c r="H48" s="203"/>
      <c r="I48" s="203"/>
      <c r="J48" s="203"/>
      <c r="K48" s="586"/>
      <c r="L48" s="203"/>
      <c r="M48" s="203"/>
      <c r="N48" s="516"/>
      <c r="O48" s="516"/>
      <c r="P48" s="516"/>
      <c r="Q48" s="516"/>
      <c r="R48" s="516"/>
      <c r="S48" s="516"/>
      <c r="T48" s="516"/>
      <c r="U48" s="516"/>
      <c r="V48" s="516"/>
      <c r="W48" s="516"/>
      <c r="X48" s="516"/>
    </row>
    <row r="49" spans="1:24" s="37" customFormat="1" x14ac:dyDescent="0.15">
      <c r="A49" s="203"/>
      <c r="B49" s="602"/>
      <c r="C49" s="603"/>
      <c r="D49" s="604" t="s">
        <v>209</v>
      </c>
      <c r="E49" s="204">
        <v>0</v>
      </c>
      <c r="F49" s="203" t="s">
        <v>370</v>
      </c>
      <c r="G49" s="203"/>
      <c r="H49" s="203"/>
      <c r="I49" s="203"/>
      <c r="J49" s="203"/>
      <c r="K49" s="203"/>
      <c r="L49" s="203"/>
      <c r="M49" s="203"/>
      <c r="N49" s="516"/>
      <c r="O49" s="516"/>
      <c r="P49" s="516"/>
      <c r="Q49" s="516"/>
      <c r="R49" s="516"/>
      <c r="S49" s="516"/>
      <c r="T49" s="516"/>
      <c r="U49" s="516"/>
      <c r="V49" s="516"/>
      <c r="W49" s="516"/>
      <c r="X49" s="516"/>
    </row>
    <row r="50" spans="1:24" s="37" customFormat="1" x14ac:dyDescent="0.15">
      <c r="A50" s="203"/>
      <c r="B50" s="602"/>
      <c r="C50" s="603"/>
      <c r="D50" s="604" t="s">
        <v>208</v>
      </c>
      <c r="E50" s="204">
        <v>5</v>
      </c>
      <c r="F50" s="203" t="s">
        <v>370</v>
      </c>
      <c r="G50" s="203"/>
      <c r="H50" s="203"/>
      <c r="I50" s="203"/>
      <c r="J50" s="203"/>
      <c r="K50" s="203"/>
      <c r="L50" s="203"/>
      <c r="M50" s="203"/>
      <c r="N50" s="516"/>
      <c r="O50" s="516"/>
      <c r="P50" s="516"/>
      <c r="Q50" s="516"/>
      <c r="R50" s="516"/>
      <c r="S50" s="516"/>
      <c r="T50" s="516"/>
      <c r="U50" s="516"/>
      <c r="V50" s="516"/>
      <c r="W50" s="516"/>
      <c r="X50" s="516"/>
    </row>
    <row r="51" spans="1:24" s="37" customFormat="1" x14ac:dyDescent="0.15">
      <c r="A51" s="203"/>
      <c r="B51" s="602"/>
      <c r="C51" s="603"/>
      <c r="D51" s="604" t="s">
        <v>210</v>
      </c>
      <c r="E51" s="617">
        <v>4</v>
      </c>
      <c r="F51" s="203"/>
      <c r="G51" s="203"/>
      <c r="H51" s="203"/>
      <c r="I51" s="203"/>
      <c r="J51" s="203"/>
      <c r="K51" s="203"/>
      <c r="L51" s="203"/>
      <c r="M51" s="203"/>
      <c r="N51" s="516"/>
      <c r="O51" s="516"/>
      <c r="P51" s="516"/>
      <c r="Q51" s="516"/>
      <c r="R51" s="516"/>
      <c r="S51" s="516"/>
      <c r="T51" s="516"/>
      <c r="U51" s="516"/>
      <c r="V51" s="516"/>
      <c r="W51" s="516"/>
      <c r="X51" s="516"/>
    </row>
    <row r="52" spans="1:24" s="37" customFormat="1" x14ac:dyDescent="0.15">
      <c r="A52" s="203"/>
      <c r="B52" s="605"/>
      <c r="C52" s="606"/>
      <c r="D52" s="607" t="s">
        <v>270</v>
      </c>
      <c r="E52" s="618">
        <f>Data!$B$39</f>
        <v>0.06</v>
      </c>
      <c r="F52" s="203"/>
      <c r="G52" s="203"/>
      <c r="H52" s="203"/>
      <c r="I52" s="203"/>
      <c r="J52" s="203"/>
      <c r="K52" s="203"/>
      <c r="L52" s="203"/>
      <c r="M52" s="203"/>
      <c r="N52" s="516"/>
      <c r="O52" s="516"/>
      <c r="P52" s="516"/>
      <c r="Q52" s="516"/>
      <c r="R52" s="516"/>
      <c r="S52" s="516"/>
      <c r="T52" s="516"/>
      <c r="U52" s="516"/>
      <c r="V52" s="516"/>
      <c r="W52" s="516"/>
      <c r="X52" s="516"/>
    </row>
    <row r="53" spans="1:24" s="37" customFormat="1" ht="24.75" customHeight="1" x14ac:dyDescent="0.15">
      <c r="A53" s="203"/>
      <c r="B53" s="608" t="s">
        <v>368</v>
      </c>
      <c r="C53" s="609"/>
      <c r="D53" s="610"/>
      <c r="E53" s="767" t="s">
        <v>273</v>
      </c>
      <c r="F53" s="203"/>
      <c r="G53" s="203"/>
      <c r="H53" s="203"/>
      <c r="I53" s="203"/>
      <c r="J53" s="203"/>
      <c r="K53" s="203"/>
      <c r="L53" s="203"/>
      <c r="M53" s="203"/>
      <c r="N53" s="516"/>
      <c r="O53" s="516"/>
      <c r="P53" s="516"/>
      <c r="Q53" s="516"/>
      <c r="R53" s="516"/>
      <c r="S53" s="516"/>
      <c r="T53" s="516"/>
      <c r="U53" s="516"/>
      <c r="V53" s="516"/>
      <c r="W53" s="516"/>
      <c r="X53" s="516"/>
    </row>
    <row r="54" spans="1:24" s="37" customFormat="1" x14ac:dyDescent="0.15">
      <c r="A54" s="203"/>
      <c r="B54" s="611"/>
      <c r="C54" s="612"/>
      <c r="D54" s="613" t="s">
        <v>211</v>
      </c>
      <c r="E54" s="204">
        <v>0</v>
      </c>
      <c r="F54" s="203" t="s">
        <v>370</v>
      </c>
      <c r="G54" s="203"/>
      <c r="H54" s="203"/>
      <c r="I54" s="203"/>
      <c r="J54" s="203"/>
      <c r="K54" s="203"/>
      <c r="L54" s="203"/>
      <c r="M54" s="203"/>
      <c r="N54" s="516"/>
      <c r="O54" s="516"/>
      <c r="P54" s="516"/>
      <c r="Q54" s="516"/>
      <c r="R54" s="516"/>
      <c r="S54" s="516"/>
      <c r="T54" s="516"/>
      <c r="U54" s="516"/>
      <c r="V54" s="516"/>
      <c r="W54" s="516"/>
      <c r="X54" s="516"/>
    </row>
    <row r="55" spans="1:24" s="37" customFormat="1" x14ac:dyDescent="0.15">
      <c r="A55" s="203"/>
      <c r="B55" s="611"/>
      <c r="C55" s="612"/>
      <c r="D55" s="613" t="s">
        <v>212</v>
      </c>
      <c r="E55" s="204">
        <v>1</v>
      </c>
      <c r="F55" s="203" t="s">
        <v>370</v>
      </c>
      <c r="G55" s="203"/>
      <c r="H55" s="203"/>
      <c r="I55" s="203"/>
      <c r="J55" s="203"/>
      <c r="K55" s="203"/>
      <c r="L55" s="203"/>
      <c r="M55" s="203"/>
      <c r="N55" s="516"/>
      <c r="O55" s="516"/>
      <c r="P55" s="516"/>
      <c r="Q55" s="516"/>
      <c r="R55" s="516"/>
      <c r="S55" s="516"/>
      <c r="T55" s="516"/>
      <c r="U55" s="516"/>
      <c r="V55" s="516"/>
      <c r="W55" s="516"/>
      <c r="X55" s="516"/>
    </row>
    <row r="56" spans="1:24" s="37" customFormat="1" x14ac:dyDescent="0.15">
      <c r="A56" s="203"/>
      <c r="B56" s="611"/>
      <c r="C56" s="612"/>
      <c r="D56" s="613" t="s">
        <v>213</v>
      </c>
      <c r="E56" s="619">
        <f>SUM(E54:E55)</f>
        <v>1</v>
      </c>
      <c r="F56" s="203"/>
      <c r="G56" s="203"/>
      <c r="H56" s="203"/>
      <c r="I56" s="203"/>
      <c r="J56" s="203"/>
      <c r="K56" s="203"/>
      <c r="L56" s="203"/>
      <c r="M56" s="203"/>
      <c r="N56" s="516"/>
      <c r="O56" s="516"/>
      <c r="P56" s="516"/>
      <c r="Q56" s="516"/>
      <c r="R56" s="516"/>
      <c r="S56" s="516"/>
      <c r="T56" s="516"/>
      <c r="U56" s="516"/>
      <c r="V56" s="516"/>
      <c r="W56" s="516"/>
      <c r="X56" s="516"/>
    </row>
    <row r="57" spans="1:24" x14ac:dyDescent="0.15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24" x14ac:dyDescent="0.15">
      <c r="A58"/>
      <c r="B58"/>
      <c r="C58"/>
      <c r="D58"/>
      <c r="E58"/>
      <c r="F58"/>
      <c r="G58"/>
      <c r="H58"/>
      <c r="I58"/>
      <c r="J58"/>
      <c r="K58"/>
      <c r="L58"/>
      <c r="M58"/>
    </row>
  </sheetData>
  <phoneticPr fontId="16" type="noConversion"/>
  <dataValidations count="3">
    <dataValidation type="list" allowBlank="1" showInputMessage="1" showErrorMessage="1" sqref="G12:G41" xr:uid="{00000000-0002-0000-0A00-000000000000}">
      <formula1>"Voiture,Moto"</formula1>
    </dataValidation>
    <dataValidation allowBlank="1" showInputMessage="1" showErrorMessage="1" promptTitle="Feauile Equipes" prompt="Ne saisir aucune donnée sur cette feuilles. Les  y sont faits automatiquement" sqref="E6:I6 D8:G8 B6" xr:uid="{00000000-0002-0000-0A00-000001000000}"/>
    <dataValidation allowBlank="1" showInputMessage="1" showErrorMessage="1" promptTitle="Feauile Transport_DS" prompt="Ne saisir aucune donnée dans les cellules colorées de cette feuilles. Les calculs  y sont faits automatiquement" sqref="A11:E42 H12:L42" xr:uid="{00000000-0002-0000-0A00-000002000000}"/>
  </dataValidations>
  <printOptions horizontalCentered="1"/>
  <pageMargins left="0.27559055118110237" right="0.19685039370078741" top="0.27559055118110237" bottom="0.23622047244094491" header="0.19685039370078741" footer="0.19685039370078741"/>
  <pageSetup paperSize="9" scale="8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44"/>
  <sheetViews>
    <sheetView zoomScale="85" zoomScaleNormal="85" workbookViewId="0">
      <pane xSplit="3" ySplit="9" topLeftCell="D10" activePane="bottomRight" state="frozen"/>
      <selection activeCell="H14" sqref="H14"/>
      <selection pane="bottomLeft" activeCell="H14" sqref="H14"/>
      <selection pane="topRight" activeCell="H14" sqref="H14"/>
      <selection pane="bottomRight" activeCell="V8" sqref="V8"/>
    </sheetView>
  </sheetViews>
  <sheetFormatPr defaultColWidth="11.4609375" defaultRowHeight="12.75" x14ac:dyDescent="0.15"/>
  <cols>
    <col min="1" max="1" width="3.91015625" style="49" customWidth="1"/>
    <col min="2" max="2" width="18.609375" style="1" customWidth="1"/>
    <col min="3" max="3" width="9.16796875" style="1" customWidth="1"/>
    <col min="4" max="4" width="8.8984375" style="1" customWidth="1"/>
    <col min="5" max="5" width="9.4375" style="1" customWidth="1"/>
    <col min="6" max="8" width="8.8984375" style="1" customWidth="1"/>
    <col min="9" max="10" width="9.3046875" style="1" customWidth="1"/>
    <col min="11" max="11" width="9.16796875" style="1" customWidth="1"/>
    <col min="12" max="13" width="8.8984375" style="1" customWidth="1"/>
    <col min="14" max="14" width="9.70703125" style="1" customWidth="1"/>
    <col min="15" max="15" width="8.8984375" style="1" customWidth="1"/>
    <col min="16" max="17" width="9.4375" style="1" customWidth="1"/>
    <col min="18" max="19" width="9.57421875" style="49" customWidth="1"/>
    <col min="20" max="20" width="10.65234375" style="49" customWidth="1"/>
    <col min="21" max="21" width="1.48046875" style="49" customWidth="1"/>
    <col min="22" max="35" width="11.4609375" style="49"/>
    <col min="36" max="16384" width="11.4609375" style="1"/>
  </cols>
  <sheetData>
    <row r="2" spans="1:39" ht="18" x14ac:dyDescent="0.2">
      <c r="A2" s="17"/>
      <c r="B2" s="733" t="str">
        <f>'1.Stratégie'!$B$2</f>
        <v>Microplanification Campagne de vaccination préventive contre la Rougeole et la Rubeole (RR), 2023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 s="17"/>
      <c r="S2" s="17"/>
      <c r="T2" s="17"/>
      <c r="U2" s="17"/>
      <c r="V2" s="17"/>
    </row>
    <row r="3" spans="1:39" ht="5.25" customHeight="1" x14ac:dyDescent="0.15">
      <c r="A3" s="17"/>
      <c r="B3" s="165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 s="17"/>
      <c r="S3" s="17"/>
      <c r="T3" s="17"/>
      <c r="U3" s="17"/>
      <c r="V3" s="17"/>
    </row>
    <row r="4" spans="1:39" ht="18" x14ac:dyDescent="0.2">
      <c r="A4" s="17"/>
      <c r="B4" s="337" t="s">
        <v>438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 s="17"/>
      <c r="S4" s="17"/>
      <c r="T4" s="17"/>
      <c r="U4" s="17"/>
      <c r="V4" s="17"/>
    </row>
    <row r="5" spans="1:39" ht="5.25" customHeight="1" x14ac:dyDescent="0.15">
      <c r="A5" s="17"/>
      <c r="B5"/>
      <c r="C5" s="165"/>
      <c r="D5"/>
      <c r="E5"/>
      <c r="F5"/>
      <c r="G5"/>
      <c r="H5"/>
      <c r="I5"/>
      <c r="J5"/>
      <c r="K5"/>
      <c r="L5"/>
      <c r="M5"/>
      <c r="N5"/>
      <c r="O5"/>
      <c r="P5"/>
      <c r="Q5"/>
      <c r="R5" s="17"/>
      <c r="S5" s="17"/>
      <c r="T5" s="17"/>
      <c r="U5" s="17"/>
      <c r="V5" s="17"/>
    </row>
    <row r="6" spans="1:39" s="50" customFormat="1" ht="18" x14ac:dyDescent="0.15">
      <c r="A6" s="17"/>
      <c r="B6" s="130" t="str">
        <f>'1.Stratégie'!$B$4</f>
        <v>PAYS :</v>
      </c>
      <c r="C6" s="826" t="str">
        <f>'1.Stratégie'!$C$4</f>
        <v>CAMEROUN</v>
      </c>
      <c r="D6" s="827"/>
      <c r="E6" s="827"/>
      <c r="F6" s="240"/>
      <c r="G6" s="129" t="str">
        <f>'1.Stratégie'!$D$4</f>
        <v>REGION :</v>
      </c>
      <c r="H6" s="129"/>
      <c r="I6" s="826">
        <f>'1.Stratégie'!$E$4</f>
        <v>0</v>
      </c>
      <c r="J6" s="826"/>
      <c r="K6" s="828"/>
      <c r="L6" s="828"/>
      <c r="M6" s="21"/>
      <c r="N6" s="128" t="str">
        <f>IF(('1.Stratégie'!$F$4)="","",'1.Stratégie'!$F$4)</f>
        <v>DISTRICT :</v>
      </c>
      <c r="O6" s="826">
        <f>IF(('1.Stratégie'!$G$4)="","",'1.Stratégie'!$G$4)</f>
        <v>0</v>
      </c>
      <c r="P6" s="872"/>
      <c r="Q6" s="872"/>
      <c r="R6" s="872"/>
      <c r="S6" s="17"/>
      <c r="T6" s="17"/>
      <c r="U6" s="17"/>
      <c r="V6" s="17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</row>
    <row r="7" spans="1:39" ht="6.75" customHeight="1" x14ac:dyDescent="0.15">
      <c r="A7" s="1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 s="17"/>
      <c r="AJ7" s="49"/>
      <c r="AK7" s="49"/>
      <c r="AL7" s="49"/>
      <c r="AM7" s="49"/>
    </row>
    <row r="8" spans="1:39" s="16" customFormat="1" ht="46.5" x14ac:dyDescent="0.15">
      <c r="A8" s="147" t="s">
        <v>2</v>
      </c>
      <c r="B8" s="147" t="str">
        <f>'1.Stratégie'!$B$6</f>
        <v>AIRE DE SANTE</v>
      </c>
      <c r="C8" s="147" t="str">
        <f>"Population cible  "&amp;Data!$F$7</f>
        <v>Population cible  RR</v>
      </c>
      <c r="D8" s="147" t="s">
        <v>353</v>
      </c>
      <c r="E8" s="147" t="s">
        <v>427</v>
      </c>
      <c r="F8" s="147" t="s">
        <v>426</v>
      </c>
      <c r="G8" s="147" t="s">
        <v>501</v>
      </c>
      <c r="H8" s="147" t="s">
        <v>386</v>
      </c>
      <c r="I8" s="147" t="s">
        <v>387</v>
      </c>
      <c r="J8" s="147" t="s">
        <v>387</v>
      </c>
      <c r="K8" s="147" t="s">
        <v>425</v>
      </c>
      <c r="L8" s="147" t="s">
        <v>366</v>
      </c>
      <c r="M8" s="147" t="s">
        <v>351</v>
      </c>
      <c r="N8" s="235" t="s">
        <v>488</v>
      </c>
      <c r="O8" s="235" t="s">
        <v>489</v>
      </c>
      <c r="P8" s="235" t="s">
        <v>376</v>
      </c>
      <c r="Q8" s="235" t="s">
        <v>414</v>
      </c>
      <c r="R8" s="235" t="s">
        <v>410</v>
      </c>
      <c r="S8" s="235" t="s">
        <v>415</v>
      </c>
      <c r="T8" s="166" t="s">
        <v>352</v>
      </c>
      <c r="U8" s="58"/>
      <c r="V8" s="166" t="s">
        <v>518</v>
      </c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</row>
    <row r="9" spans="1:39" s="3" customFormat="1" x14ac:dyDescent="0.15">
      <c r="A9" s="147" t="s">
        <v>6</v>
      </c>
      <c r="B9" s="147" t="s">
        <v>7</v>
      </c>
      <c r="C9" s="147" t="s">
        <v>8</v>
      </c>
      <c r="D9" s="147" t="s">
        <v>9</v>
      </c>
      <c r="E9" s="147" t="s">
        <v>10</v>
      </c>
      <c r="F9" s="147" t="s">
        <v>11</v>
      </c>
      <c r="G9" s="147" t="s">
        <v>12</v>
      </c>
      <c r="H9" s="147"/>
      <c r="I9" s="147" t="s">
        <v>13</v>
      </c>
      <c r="J9" s="147" t="s">
        <v>14</v>
      </c>
      <c r="K9" s="147" t="s">
        <v>15</v>
      </c>
      <c r="L9" s="147" t="s">
        <v>16</v>
      </c>
      <c r="M9" s="147" t="s">
        <v>17</v>
      </c>
      <c r="N9" s="235" t="s">
        <v>18</v>
      </c>
      <c r="O9" s="235" t="s">
        <v>19</v>
      </c>
      <c r="P9" s="235" t="s">
        <v>27</v>
      </c>
      <c r="Q9" s="235" t="s">
        <v>29</v>
      </c>
      <c r="R9" s="235" t="s">
        <v>30</v>
      </c>
      <c r="S9" s="235" t="s">
        <v>31</v>
      </c>
      <c r="T9" s="147" t="s">
        <v>26</v>
      </c>
      <c r="U9" s="59"/>
      <c r="V9" s="60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</row>
    <row r="10" spans="1:39" s="121" customFormat="1" ht="15" customHeight="1" x14ac:dyDescent="0.15">
      <c r="A10" s="243">
        <v>1</v>
      </c>
      <c r="B10" s="244">
        <f>'1.Stratégie'!B8</f>
        <v>0</v>
      </c>
      <c r="C10" s="245">
        <f>'2.Equipe'!$D7</f>
        <v>0</v>
      </c>
      <c r="D10" s="245">
        <f>SUM('2.Equipe'!$O7,'2.Equipe'!$Q7,'2.Equipe'!$S7,'2.Equipe'!$U7)</f>
        <v>0</v>
      </c>
      <c r="E10" s="245">
        <f>SUM('2.Equipe'!$W7:$Z7)</f>
        <v>0</v>
      </c>
      <c r="F10" s="245">
        <f>'2.Equipe'!$AD7</f>
        <v>0</v>
      </c>
      <c r="G10" s="245">
        <f>'2.Equipe'!$AB7</f>
        <v>0</v>
      </c>
      <c r="H10" s="246">
        <f>'3.Personnel'!V8*Data!$C$31*Data!$H$13</f>
        <v>0</v>
      </c>
      <c r="I10" s="245">
        <f>'2.Equipe'!AE7</f>
        <v>0</v>
      </c>
      <c r="J10" s="246">
        <f>'3.Personnel'!V8*Data!$C$51*Data!$H$13</f>
        <v>0</v>
      </c>
      <c r="K10" s="245">
        <f>'2.Equipe'!$AA7</f>
        <v>0</v>
      </c>
      <c r="L10" s="245">
        <f>IF('7.Transport_AS'!$D16=0,0,('7.Transport_AS'!$D16-'7.Transport_AS'!$C16)*Data!$H$14*Data!$B$86)</f>
        <v>0</v>
      </c>
      <c r="M10" s="246">
        <f>IF($B10=0,0,IF(AND('1.Stratégie'!$J8&gt;1,$B10&lt;&gt;"SSD"),Data!$H$84*'6.Gdéchet'!$D11,0))</f>
        <v>0</v>
      </c>
      <c r="N10" s="245">
        <f>'2.Equipe'!AG7</f>
        <v>0</v>
      </c>
      <c r="O10" s="245">
        <f>'2.Equipe'!AH7</f>
        <v>0</v>
      </c>
      <c r="P10" s="245">
        <f>'2.Equipe'!AI7</f>
        <v>0</v>
      </c>
      <c r="Q10" s="246">
        <f>IF($B10=0,0,IF(AND('1.Stratégie'!$J8&gt;1,$B10&lt;&gt;"SSD"),'14.MobSoc'!$D$16*'14.MobSoc'!$E$16,0))</f>
        <v>0</v>
      </c>
      <c r="R10" s="246">
        <f>IF($B10=0,0,IF(AND('1.Stratégie'!$J8&gt;1,$B10&lt;&gt;"SSD"),'14.MobSoc'!$D$22*'14.MobSoc'!$E$22,0))</f>
        <v>0</v>
      </c>
      <c r="S10" s="246">
        <f>IF($B10=0,0,IF(AND('1.Stratégie'!$J8&gt;1,$B10&lt;&gt;"SSD"),'14.MobSoc'!$D$20*'14.MobSoc'!$E$20,0))</f>
        <v>0</v>
      </c>
      <c r="T10" s="247">
        <f t="shared" ref="T10:T38" si="0">SUM(E10:S10)</f>
        <v>0</v>
      </c>
      <c r="U10" s="118"/>
      <c r="V10" s="247" t="str">
        <f>IFERROR(T10/C10,"")</f>
        <v/>
      </c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spans="1:39" s="121" customFormat="1" ht="15" customHeight="1" x14ac:dyDescent="0.15">
      <c r="A11" s="167">
        <v>2</v>
      </c>
      <c r="B11" s="168">
        <f>'1.Stratégie'!B9</f>
        <v>0</v>
      </c>
      <c r="C11" s="169">
        <f>'2.Equipe'!$D8</f>
        <v>0</v>
      </c>
      <c r="D11" s="169">
        <f>SUM('2.Equipe'!$O8,'2.Equipe'!$Q8,'2.Equipe'!$S8,'2.Equipe'!$U8)</f>
        <v>0</v>
      </c>
      <c r="E11" s="169">
        <f>SUM('2.Equipe'!$W8:$Z8)</f>
        <v>0</v>
      </c>
      <c r="F11" s="169">
        <f>'2.Equipe'!$AD8</f>
        <v>0</v>
      </c>
      <c r="G11" s="169">
        <f>'2.Equipe'!$AB8</f>
        <v>0</v>
      </c>
      <c r="H11" s="169">
        <f>'3.Personnel'!V9*Data!$C$31*Data!$H$13</f>
        <v>0</v>
      </c>
      <c r="I11" s="169">
        <f>'2.Equipe'!AE8</f>
        <v>0</v>
      </c>
      <c r="J11" s="169">
        <f>'3.Personnel'!V9*Data!$C$51*Data!$H$13</f>
        <v>0</v>
      </c>
      <c r="K11" s="169">
        <f>'2.Equipe'!$AA8</f>
        <v>0</v>
      </c>
      <c r="L11" s="169">
        <f>IF('7.Transport_AS'!$D17=0,0,('7.Transport_AS'!$D17-'7.Transport_AS'!$C17)*Data!$H$14*Data!$B$86)</f>
        <v>0</v>
      </c>
      <c r="M11" s="169">
        <f>IF($B11=0,0,IF(AND('1.Stratégie'!$J9&gt;1,$B11&lt;&gt;"SSD"),Data!$H$84*'6.Gdéchet'!$D12,0))</f>
        <v>0</v>
      </c>
      <c r="N11" s="169">
        <f>'2.Equipe'!AG8</f>
        <v>0</v>
      </c>
      <c r="O11" s="169">
        <f>'2.Equipe'!AH8</f>
        <v>0</v>
      </c>
      <c r="P11" s="169">
        <f>'2.Equipe'!AI8</f>
        <v>0</v>
      </c>
      <c r="Q11" s="239">
        <f>IF($B11=0,0,IF(AND('1.Stratégie'!$J9&gt;1,$B11&lt;&gt;"SSD"),'14.MobSoc'!$D$16*'14.MobSoc'!$E$16,0))</f>
        <v>0</v>
      </c>
      <c r="R11" s="170">
        <f>IF($B11=0,0,IF(AND('1.Stratégie'!$J9&gt;1,$B11&lt;&gt;"SSD"),'14.MobSoc'!$D$22*'14.MobSoc'!$E$22,0))</f>
        <v>0</v>
      </c>
      <c r="S11" s="169">
        <f>IF($B11=0,0,IF(AND('1.Stratégie'!$J9&gt;1,$B11&lt;&gt;"SSD"),'14.MobSoc'!$D$20*'14.MobSoc'!$E$20,0))</f>
        <v>0</v>
      </c>
      <c r="T11" s="171">
        <f t="shared" si="0"/>
        <v>0</v>
      </c>
      <c r="U11" s="118"/>
      <c r="V11" s="171" t="str">
        <f t="shared" ref="V11:V39" si="1">IFERROR(T11/C11,"")</f>
        <v/>
      </c>
      <c r="W11" s="768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spans="1:39" s="121" customFormat="1" ht="15" customHeight="1" x14ac:dyDescent="0.15">
      <c r="A12" s="243">
        <v>3</v>
      </c>
      <c r="B12" s="244">
        <f>'1.Stratégie'!B10</f>
        <v>0</v>
      </c>
      <c r="C12" s="245">
        <f>'2.Equipe'!$D9</f>
        <v>0</v>
      </c>
      <c r="D12" s="245">
        <f>SUM('2.Equipe'!$O9,'2.Equipe'!$Q9,'2.Equipe'!$S9,'2.Equipe'!$U9)</f>
        <v>0</v>
      </c>
      <c r="E12" s="245">
        <f>SUM('2.Equipe'!$W9:$Z9)</f>
        <v>0</v>
      </c>
      <c r="F12" s="245">
        <f>'2.Equipe'!$AD9</f>
        <v>0</v>
      </c>
      <c r="G12" s="245">
        <f>'2.Equipe'!$AB9</f>
        <v>0</v>
      </c>
      <c r="H12" s="245">
        <f>'3.Personnel'!V10*Data!$C$31*Data!$H$13</f>
        <v>0</v>
      </c>
      <c r="I12" s="245">
        <f>'2.Equipe'!AE9</f>
        <v>0</v>
      </c>
      <c r="J12" s="245">
        <f>'3.Personnel'!V10*Data!$C$51*Data!$H$13</f>
        <v>0</v>
      </c>
      <c r="K12" s="245">
        <f>'2.Equipe'!$AA9</f>
        <v>0</v>
      </c>
      <c r="L12" s="245">
        <f>IF('7.Transport_AS'!$D18=0,0,('7.Transport_AS'!$D18-'7.Transport_AS'!$C18)*Data!$H$14*Data!$B$86)</f>
        <v>0</v>
      </c>
      <c r="M12" s="245">
        <f>IF($B12=0,0,IF(AND('1.Stratégie'!$J10&gt;1,$B12&lt;&gt;"SSD"),Data!$H$84*'6.Gdéchet'!$D13,0))</f>
        <v>0</v>
      </c>
      <c r="N12" s="245">
        <f>'2.Equipe'!AG9</f>
        <v>0</v>
      </c>
      <c r="O12" s="245">
        <f>'2.Equipe'!AH9</f>
        <v>0</v>
      </c>
      <c r="P12" s="245">
        <f>'2.Equipe'!AI9</f>
        <v>0</v>
      </c>
      <c r="Q12" s="245">
        <f>IF($B12=0,0,IF(AND('1.Stratégie'!$J10&gt;1,$B12&lt;&gt;"SSD"),'14.MobSoc'!$D$16*'14.MobSoc'!$E$16,0))</f>
        <v>0</v>
      </c>
      <c r="R12" s="245">
        <f>IF($B12=0,0,IF(AND('1.Stratégie'!$J10&gt;1,$B12&lt;&gt;"SSD"),'14.MobSoc'!$D$22*'14.MobSoc'!$E$22,0))</f>
        <v>0</v>
      </c>
      <c r="S12" s="245">
        <f>IF($B12=0,0,IF(AND('1.Stratégie'!$J10&gt;1,$B12&lt;&gt;"SSD"),'14.MobSoc'!$D$20*'14.MobSoc'!$E$20,0))</f>
        <v>0</v>
      </c>
      <c r="T12" s="247">
        <f t="shared" si="0"/>
        <v>0</v>
      </c>
      <c r="U12" s="118"/>
      <c r="V12" s="247" t="str">
        <f t="shared" si="1"/>
        <v/>
      </c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</row>
    <row r="13" spans="1:39" s="121" customFormat="1" ht="15" customHeight="1" x14ac:dyDescent="0.15">
      <c r="A13" s="167">
        <v>4</v>
      </c>
      <c r="B13" s="168">
        <f>'1.Stratégie'!B11</f>
        <v>0</v>
      </c>
      <c r="C13" s="169">
        <f>'2.Equipe'!$D10</f>
        <v>0</v>
      </c>
      <c r="D13" s="169">
        <f>SUM('2.Equipe'!$O10,'2.Equipe'!$Q10,'2.Equipe'!$S10,'2.Equipe'!$U10)</f>
        <v>0</v>
      </c>
      <c r="E13" s="169">
        <f>SUM('2.Equipe'!$W10:$Z10)</f>
        <v>0</v>
      </c>
      <c r="F13" s="169">
        <f>'2.Equipe'!$AD10</f>
        <v>0</v>
      </c>
      <c r="G13" s="169">
        <f>'2.Equipe'!$AB10</f>
        <v>0</v>
      </c>
      <c r="H13" s="169">
        <f>'3.Personnel'!V11*Data!$C$31*Data!$H$13</f>
        <v>0</v>
      </c>
      <c r="I13" s="169">
        <f>'2.Equipe'!AE10</f>
        <v>0</v>
      </c>
      <c r="J13" s="169">
        <f>'3.Personnel'!V11*Data!$C$51*Data!$H$13</f>
        <v>0</v>
      </c>
      <c r="K13" s="169">
        <f>'2.Equipe'!$AA10</f>
        <v>0</v>
      </c>
      <c r="L13" s="169">
        <f>IF('7.Transport_AS'!$D19=0,0,('7.Transport_AS'!$D19-'7.Transport_AS'!$C19)*Data!$H$14*Data!$B$86)</f>
        <v>0</v>
      </c>
      <c r="M13" s="169">
        <f>IF($B13=0,0,IF(AND('1.Stratégie'!$J11&gt;1,$B13&lt;&gt;"SSD"),Data!$H$84*'6.Gdéchet'!$D14,0))</f>
        <v>0</v>
      </c>
      <c r="N13" s="169">
        <f>'2.Equipe'!AG10</f>
        <v>0</v>
      </c>
      <c r="O13" s="169">
        <f>'2.Equipe'!AH10</f>
        <v>0</v>
      </c>
      <c r="P13" s="169">
        <f>'2.Equipe'!AI10</f>
        <v>0</v>
      </c>
      <c r="Q13" s="239">
        <f>IF($B13=0,0,IF(AND('1.Stratégie'!$J11&gt;1,$B13&lt;&gt;"SSD"),'14.MobSoc'!$D$16*'14.MobSoc'!$E$16,0))</f>
        <v>0</v>
      </c>
      <c r="R13" s="170">
        <f>IF($B13=0,0,IF(AND('1.Stratégie'!$J11&gt;1,$B13&lt;&gt;"SSD"),'14.MobSoc'!$D$22*'14.MobSoc'!$E$22,0))</f>
        <v>0</v>
      </c>
      <c r="S13" s="169">
        <f>IF($B13=0,0,IF(AND('1.Stratégie'!$J11&gt;1,$B13&lt;&gt;"SSD"),'14.MobSoc'!$D$20*'14.MobSoc'!$E$20,0))</f>
        <v>0</v>
      </c>
      <c r="T13" s="171">
        <f t="shared" si="0"/>
        <v>0</v>
      </c>
      <c r="U13" s="118"/>
      <c r="V13" s="171" t="str">
        <f t="shared" si="1"/>
        <v/>
      </c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</row>
    <row r="14" spans="1:39" s="121" customFormat="1" ht="15" customHeight="1" x14ac:dyDescent="0.15">
      <c r="A14" s="243">
        <v>5</v>
      </c>
      <c r="B14" s="244">
        <f>'1.Stratégie'!B12</f>
        <v>0</v>
      </c>
      <c r="C14" s="245">
        <f>'2.Equipe'!$D11</f>
        <v>0</v>
      </c>
      <c r="D14" s="245">
        <f>SUM('2.Equipe'!$O11,'2.Equipe'!$Q11,'2.Equipe'!$S11,'2.Equipe'!$U11)</f>
        <v>0</v>
      </c>
      <c r="E14" s="245">
        <f>SUM('2.Equipe'!$W11:$Z11)</f>
        <v>0</v>
      </c>
      <c r="F14" s="245">
        <f>'2.Equipe'!$AD11</f>
        <v>0</v>
      </c>
      <c r="G14" s="245">
        <f>'2.Equipe'!$AB11</f>
        <v>0</v>
      </c>
      <c r="H14" s="245">
        <f>'3.Personnel'!V12*Data!$C$31*Data!$H$13</f>
        <v>0</v>
      </c>
      <c r="I14" s="245">
        <f>'2.Equipe'!AE11</f>
        <v>0</v>
      </c>
      <c r="J14" s="245">
        <f>'3.Personnel'!V12*Data!$C$51*Data!$H$13</f>
        <v>0</v>
      </c>
      <c r="K14" s="245">
        <f>'2.Equipe'!$AA11</f>
        <v>0</v>
      </c>
      <c r="L14" s="245">
        <f>IF('7.Transport_AS'!$D20=0,0,('7.Transport_AS'!$D20-'7.Transport_AS'!$C20)*Data!$H$14*Data!$B$86)</f>
        <v>0</v>
      </c>
      <c r="M14" s="245">
        <f>IF($B14=0,0,IF(AND('1.Stratégie'!$J12&gt;1,$B14&lt;&gt;"SSD"),Data!$H$84*'6.Gdéchet'!$D15,0))</f>
        <v>0</v>
      </c>
      <c r="N14" s="245">
        <f>'2.Equipe'!AG11</f>
        <v>0</v>
      </c>
      <c r="O14" s="245">
        <f>'2.Equipe'!AH11</f>
        <v>0</v>
      </c>
      <c r="P14" s="245">
        <f>'2.Equipe'!AI11</f>
        <v>0</v>
      </c>
      <c r="Q14" s="245">
        <f>IF($B14=0,0,IF(AND('1.Stratégie'!$J12&gt;1,$B14&lt;&gt;"SSD"),'14.MobSoc'!$D$16*'14.MobSoc'!$E$16,0))</f>
        <v>0</v>
      </c>
      <c r="R14" s="245">
        <f>IF($B14=0,0,IF(AND('1.Stratégie'!$J12&gt;1,$B14&lt;&gt;"SSD"),'14.MobSoc'!$D$22*'14.MobSoc'!$E$22,0))</f>
        <v>0</v>
      </c>
      <c r="S14" s="245">
        <f>IF($B14=0,0,IF(AND('1.Stratégie'!$J12&gt;1,$B14&lt;&gt;"SSD"),'14.MobSoc'!$D$20*'14.MobSoc'!$E$20,0))</f>
        <v>0</v>
      </c>
      <c r="T14" s="247">
        <f t="shared" si="0"/>
        <v>0</v>
      </c>
      <c r="U14" s="118"/>
      <c r="V14" s="247" t="str">
        <f t="shared" si="1"/>
        <v/>
      </c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</row>
    <row r="15" spans="1:39" s="121" customFormat="1" ht="15" customHeight="1" x14ac:dyDescent="0.15">
      <c r="A15" s="167">
        <v>6</v>
      </c>
      <c r="B15" s="168">
        <f>'1.Stratégie'!B13</f>
        <v>0</v>
      </c>
      <c r="C15" s="169">
        <f>'2.Equipe'!$D12</f>
        <v>0</v>
      </c>
      <c r="D15" s="169">
        <f>SUM('2.Equipe'!$O12,'2.Equipe'!$Q12,'2.Equipe'!$S12,'2.Equipe'!$U12)</f>
        <v>0</v>
      </c>
      <c r="E15" s="169">
        <f>SUM('2.Equipe'!$W12:$Z12)</f>
        <v>0</v>
      </c>
      <c r="F15" s="169">
        <f>'2.Equipe'!$AD12</f>
        <v>0</v>
      </c>
      <c r="G15" s="169">
        <f>'2.Equipe'!$AB12</f>
        <v>0</v>
      </c>
      <c r="H15" s="169">
        <f>'3.Personnel'!V13*Data!$C$31*Data!$H$13</f>
        <v>0</v>
      </c>
      <c r="I15" s="169">
        <f>'2.Equipe'!AE12</f>
        <v>0</v>
      </c>
      <c r="J15" s="169">
        <f>'3.Personnel'!V13*Data!$C$51*Data!$H$13</f>
        <v>0</v>
      </c>
      <c r="K15" s="169">
        <f>'2.Equipe'!$AA12</f>
        <v>0</v>
      </c>
      <c r="L15" s="169">
        <f>IF('7.Transport_AS'!$D21=0,0,('7.Transport_AS'!$D21-'7.Transport_AS'!$C21)*Data!$H$14*Data!$B$86)</f>
        <v>0</v>
      </c>
      <c r="M15" s="169">
        <f>IF($B15=0,0,IF(AND('1.Stratégie'!$J13&gt;1,$B15&lt;&gt;"SSD"),Data!$H$84*'6.Gdéchet'!$D16,0))</f>
        <v>0</v>
      </c>
      <c r="N15" s="169">
        <f>'2.Equipe'!AG12</f>
        <v>0</v>
      </c>
      <c r="O15" s="169">
        <f>'2.Equipe'!AH12</f>
        <v>0</v>
      </c>
      <c r="P15" s="169">
        <f>'2.Equipe'!AI12</f>
        <v>0</v>
      </c>
      <c r="Q15" s="239">
        <f>IF($B15=0,0,IF(AND('1.Stratégie'!$J13&gt;1,$B15&lt;&gt;"SSD"),'14.MobSoc'!$D$16*'14.MobSoc'!$E$16,0))</f>
        <v>0</v>
      </c>
      <c r="R15" s="170">
        <f>IF($B15=0,0,IF(AND('1.Stratégie'!$J13&gt;1,$B15&lt;&gt;"SSD"),'14.MobSoc'!$D$22*'14.MobSoc'!$E$22,0))</f>
        <v>0</v>
      </c>
      <c r="S15" s="169">
        <f>IF($B15=0,0,IF(AND('1.Stratégie'!$J13&gt;1,$B15&lt;&gt;"SSD"),'14.MobSoc'!$D$20*'14.MobSoc'!$E$20,0))</f>
        <v>0</v>
      </c>
      <c r="T15" s="171">
        <f t="shared" si="0"/>
        <v>0</v>
      </c>
      <c r="U15" s="118"/>
      <c r="V15" s="171" t="str">
        <f t="shared" si="1"/>
        <v/>
      </c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 spans="1:39" s="121" customFormat="1" ht="15" customHeight="1" x14ac:dyDescent="0.15">
      <c r="A16" s="243">
        <v>7</v>
      </c>
      <c r="B16" s="244">
        <f>'1.Stratégie'!B14</f>
        <v>0</v>
      </c>
      <c r="C16" s="245">
        <f>'2.Equipe'!$D13</f>
        <v>0</v>
      </c>
      <c r="D16" s="245">
        <f>SUM('2.Equipe'!$O13,'2.Equipe'!$Q13,'2.Equipe'!$S13,'2.Equipe'!$U13)</f>
        <v>0</v>
      </c>
      <c r="E16" s="245">
        <f>SUM('2.Equipe'!$W13:$Z13)</f>
        <v>0</v>
      </c>
      <c r="F16" s="245">
        <f>'2.Equipe'!$AD13</f>
        <v>0</v>
      </c>
      <c r="G16" s="245">
        <f>'2.Equipe'!$AB13</f>
        <v>0</v>
      </c>
      <c r="H16" s="245">
        <f>'3.Personnel'!V14*Data!$C$31*Data!$H$13</f>
        <v>0</v>
      </c>
      <c r="I16" s="245">
        <f>'2.Equipe'!AE13</f>
        <v>0</v>
      </c>
      <c r="J16" s="245">
        <f>'3.Personnel'!V14*Data!$C$51*Data!$H$13</f>
        <v>0</v>
      </c>
      <c r="K16" s="245">
        <f>'2.Equipe'!$AA13</f>
        <v>0</v>
      </c>
      <c r="L16" s="245">
        <f>IF('7.Transport_AS'!$D22=0,0,('7.Transport_AS'!$D22-'7.Transport_AS'!$C22)*Data!$H$14*Data!$B$86)</f>
        <v>0</v>
      </c>
      <c r="M16" s="245">
        <f>IF($B16=0,0,IF(AND('1.Stratégie'!$J14&gt;1,$B16&lt;&gt;"SSD"),Data!$H$84*'6.Gdéchet'!$D17,0))</f>
        <v>0</v>
      </c>
      <c r="N16" s="245">
        <f>'2.Equipe'!AG13</f>
        <v>0</v>
      </c>
      <c r="O16" s="245">
        <f>'2.Equipe'!AH13</f>
        <v>0</v>
      </c>
      <c r="P16" s="245">
        <f>'2.Equipe'!AI13</f>
        <v>0</v>
      </c>
      <c r="Q16" s="245">
        <f>IF($B16=0,0,IF(AND('1.Stratégie'!$J14&gt;1,$B16&lt;&gt;"SSD"),'14.MobSoc'!$D$16*'14.MobSoc'!$E$16,0))</f>
        <v>0</v>
      </c>
      <c r="R16" s="245">
        <f>IF($B16=0,0,IF(AND('1.Stratégie'!$J14&gt;1,$B16&lt;&gt;"SSD"),'14.MobSoc'!$D$22*'14.MobSoc'!$E$22,0))</f>
        <v>0</v>
      </c>
      <c r="S16" s="245">
        <f>IF($B16=0,0,IF(AND('1.Stratégie'!$J14&gt;1,$B16&lt;&gt;"SSD"),'14.MobSoc'!$D$20*'14.MobSoc'!$E$20,0))</f>
        <v>0</v>
      </c>
      <c r="T16" s="247">
        <f t="shared" si="0"/>
        <v>0</v>
      </c>
      <c r="U16" s="118"/>
      <c r="V16" s="247" t="str">
        <f t="shared" si="1"/>
        <v/>
      </c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 spans="1:39" s="121" customFormat="1" ht="15" customHeight="1" x14ac:dyDescent="0.15">
      <c r="A17" s="167">
        <v>8</v>
      </c>
      <c r="B17" s="168">
        <f>'1.Stratégie'!B15</f>
        <v>0</v>
      </c>
      <c r="C17" s="169">
        <f>'2.Equipe'!$D14</f>
        <v>0</v>
      </c>
      <c r="D17" s="169">
        <f>SUM('2.Equipe'!$O14,'2.Equipe'!$Q14,'2.Equipe'!$S14,'2.Equipe'!$U14)</f>
        <v>0</v>
      </c>
      <c r="E17" s="169">
        <f>SUM('2.Equipe'!$W14:$Z14)</f>
        <v>0</v>
      </c>
      <c r="F17" s="169">
        <f>'2.Equipe'!$AD14</f>
        <v>0</v>
      </c>
      <c r="G17" s="169">
        <f>'2.Equipe'!$AB14</f>
        <v>0</v>
      </c>
      <c r="H17" s="169">
        <f>'3.Personnel'!V15*Data!$C$31*Data!$H$13</f>
        <v>0</v>
      </c>
      <c r="I17" s="169">
        <f>'2.Equipe'!AE14</f>
        <v>0</v>
      </c>
      <c r="J17" s="169">
        <f>'3.Personnel'!V15*Data!$C$51*Data!$H$13</f>
        <v>0</v>
      </c>
      <c r="K17" s="169">
        <f>'2.Equipe'!$AA14</f>
        <v>0</v>
      </c>
      <c r="L17" s="169">
        <f>IF('7.Transport_AS'!$D23=0,0,('7.Transport_AS'!$D23-'7.Transport_AS'!$C23)*Data!$H$14*Data!$B$86)</f>
        <v>0</v>
      </c>
      <c r="M17" s="169">
        <f>IF($B17=0,0,IF(AND('1.Stratégie'!$J15&gt;1,$B17&lt;&gt;"SSD"),Data!$H$84*'6.Gdéchet'!$D18,0))</f>
        <v>0</v>
      </c>
      <c r="N17" s="169">
        <f>'2.Equipe'!AG14</f>
        <v>0</v>
      </c>
      <c r="O17" s="169">
        <f>'2.Equipe'!AH14</f>
        <v>0</v>
      </c>
      <c r="P17" s="169">
        <f>'2.Equipe'!AI14</f>
        <v>0</v>
      </c>
      <c r="Q17" s="239">
        <f>IF($B17=0,0,IF(AND('1.Stratégie'!$J15&gt;1,$B17&lt;&gt;"SSD"),'14.MobSoc'!$D$16*'14.MobSoc'!$E$16,0))</f>
        <v>0</v>
      </c>
      <c r="R17" s="170">
        <f>IF($B17=0,0,IF(AND('1.Stratégie'!$J15&gt;1,$B17&lt;&gt;"SSD"),'14.MobSoc'!$D$22*'14.MobSoc'!$E$22,0))</f>
        <v>0</v>
      </c>
      <c r="S17" s="169">
        <f>IF($B17=0,0,IF(AND('1.Stratégie'!$J15&gt;1,$B17&lt;&gt;"SSD"),'14.MobSoc'!$D$20*'14.MobSoc'!$E$20,0))</f>
        <v>0</v>
      </c>
      <c r="T17" s="171">
        <f t="shared" si="0"/>
        <v>0</v>
      </c>
      <c r="U17" s="118"/>
      <c r="V17" s="171" t="str">
        <f t="shared" si="1"/>
        <v/>
      </c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 spans="1:39" s="121" customFormat="1" ht="15" customHeight="1" x14ac:dyDescent="0.15">
      <c r="A18" s="243">
        <v>9</v>
      </c>
      <c r="B18" s="244">
        <f>'1.Stratégie'!B16</f>
        <v>0</v>
      </c>
      <c r="C18" s="245">
        <f>'2.Equipe'!$D15</f>
        <v>0</v>
      </c>
      <c r="D18" s="245">
        <f>SUM('2.Equipe'!$O15,'2.Equipe'!$Q15,'2.Equipe'!$S15,'2.Equipe'!$U15)</f>
        <v>0</v>
      </c>
      <c r="E18" s="245">
        <f>SUM('2.Equipe'!$W15:$Z15)</f>
        <v>0</v>
      </c>
      <c r="F18" s="245">
        <f>'2.Equipe'!$AD15</f>
        <v>0</v>
      </c>
      <c r="G18" s="245">
        <f>'2.Equipe'!$AB15</f>
        <v>0</v>
      </c>
      <c r="H18" s="245">
        <f>'3.Personnel'!V16*Data!$C$31*Data!$H$13</f>
        <v>0</v>
      </c>
      <c r="I18" s="245">
        <f>'2.Equipe'!AE15</f>
        <v>0</v>
      </c>
      <c r="J18" s="245">
        <f>'3.Personnel'!V16*Data!$C$51*Data!$H$13</f>
        <v>0</v>
      </c>
      <c r="K18" s="245">
        <f>'2.Equipe'!$AA15</f>
        <v>0</v>
      </c>
      <c r="L18" s="245">
        <f>IF('7.Transport_AS'!$D24=0,0,('7.Transport_AS'!$D24-'7.Transport_AS'!$C24)*Data!$H$14*Data!$B$86)</f>
        <v>0</v>
      </c>
      <c r="M18" s="245">
        <f>IF($B18=0,0,IF(AND('1.Stratégie'!$J16&gt;1,$B18&lt;&gt;"SSD"),Data!$H$84*'6.Gdéchet'!$D19,0))</f>
        <v>0</v>
      </c>
      <c r="N18" s="245">
        <f>'2.Equipe'!AG15</f>
        <v>0</v>
      </c>
      <c r="O18" s="245">
        <f>'2.Equipe'!AH15</f>
        <v>0</v>
      </c>
      <c r="P18" s="245">
        <f>'2.Equipe'!AI15</f>
        <v>0</v>
      </c>
      <c r="Q18" s="248">
        <f>IF($B18=0,0,IF(AND('1.Stratégie'!$J16&gt;1,$B18&lt;&gt;"SSD"),'14.MobSoc'!$D$16*'14.MobSoc'!$E$16,0))</f>
        <v>0</v>
      </c>
      <c r="R18" s="249">
        <f>IF($B18=0,0,IF(AND('1.Stratégie'!$J16&gt;1,$B18&lt;&gt;"SSD"),'14.MobSoc'!$D$22*'14.MobSoc'!$E$22,0))</f>
        <v>0</v>
      </c>
      <c r="S18" s="245">
        <f>IF($B18=0,0,IF(AND('1.Stratégie'!$J16&gt;1,$B18&lt;&gt;"SSD"),'14.MobSoc'!$D$20*'14.MobSoc'!$E$20,0))</f>
        <v>0</v>
      </c>
      <c r="T18" s="247">
        <f t="shared" si="0"/>
        <v>0</v>
      </c>
      <c r="U18" s="118"/>
      <c r="V18" s="247" t="str">
        <f t="shared" si="1"/>
        <v/>
      </c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</row>
    <row r="19" spans="1:39" s="121" customFormat="1" ht="15" customHeight="1" x14ac:dyDescent="0.15">
      <c r="A19" s="167">
        <v>10</v>
      </c>
      <c r="B19" s="168">
        <f>'1.Stratégie'!B17</f>
        <v>0</v>
      </c>
      <c r="C19" s="169">
        <f>'2.Equipe'!$D16</f>
        <v>0</v>
      </c>
      <c r="D19" s="169">
        <f>SUM('2.Equipe'!$O16,'2.Equipe'!$Q16,'2.Equipe'!$S16,'2.Equipe'!$U16)</f>
        <v>0</v>
      </c>
      <c r="E19" s="169">
        <f>SUM('2.Equipe'!$W16:$Z16)</f>
        <v>0</v>
      </c>
      <c r="F19" s="169">
        <f>'2.Equipe'!$AD16</f>
        <v>0</v>
      </c>
      <c r="G19" s="169">
        <f>'2.Equipe'!$AB16</f>
        <v>0</v>
      </c>
      <c r="H19" s="169">
        <f>'3.Personnel'!V17*Data!$C$31*Data!$H$13</f>
        <v>0</v>
      </c>
      <c r="I19" s="169">
        <f>'2.Equipe'!AE16</f>
        <v>0</v>
      </c>
      <c r="J19" s="169">
        <f>'3.Personnel'!V17*Data!$C$51*Data!$H$13</f>
        <v>0</v>
      </c>
      <c r="K19" s="169">
        <f>'2.Equipe'!$AA16</f>
        <v>0</v>
      </c>
      <c r="L19" s="169">
        <f>IF('7.Transport_AS'!$D25=0,0,('7.Transport_AS'!$D25-'7.Transport_AS'!$C25)*Data!$H$14*Data!$B$86)</f>
        <v>0</v>
      </c>
      <c r="M19" s="169">
        <f>IF($B19=0,0,IF(AND('1.Stratégie'!$J17&gt;1,$B19&lt;&gt;"SSD"),Data!$H$84*'6.Gdéchet'!$D20,0))</f>
        <v>0</v>
      </c>
      <c r="N19" s="169">
        <f>'2.Equipe'!AG16</f>
        <v>0</v>
      </c>
      <c r="O19" s="169">
        <f>'2.Equipe'!AH16</f>
        <v>0</v>
      </c>
      <c r="P19" s="169">
        <f>'2.Equipe'!AI16</f>
        <v>0</v>
      </c>
      <c r="Q19" s="239">
        <f>IF($B19=0,0,IF(AND('1.Stratégie'!$J17&gt;1,$B19&lt;&gt;"SSD"),'14.MobSoc'!$D$16*'14.MobSoc'!$E$16,0))</f>
        <v>0</v>
      </c>
      <c r="R19" s="170">
        <f>IF($B19=0,0,IF(AND('1.Stratégie'!$J17&gt;1,$B19&lt;&gt;"SSD"),'14.MobSoc'!$D$22*'14.MobSoc'!$E$22,0))</f>
        <v>0</v>
      </c>
      <c r="S19" s="169">
        <f>IF($B19=0,0,IF(AND('1.Stratégie'!$J17&gt;1,$B19&lt;&gt;"SSD"),'14.MobSoc'!$D$20*'14.MobSoc'!$E$20,0))</f>
        <v>0</v>
      </c>
      <c r="T19" s="171">
        <f t="shared" si="0"/>
        <v>0</v>
      </c>
      <c r="U19" s="118"/>
      <c r="V19" s="171" t="str">
        <f t="shared" si="1"/>
        <v/>
      </c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</row>
    <row r="20" spans="1:39" s="121" customFormat="1" ht="15" customHeight="1" x14ac:dyDescent="0.15">
      <c r="A20" s="243">
        <v>11</v>
      </c>
      <c r="B20" s="244">
        <f>'1.Stratégie'!B18</f>
        <v>0</v>
      </c>
      <c r="C20" s="245">
        <f>'2.Equipe'!$D17</f>
        <v>0</v>
      </c>
      <c r="D20" s="245">
        <f>SUM('2.Equipe'!$O17,'2.Equipe'!$Q17,'2.Equipe'!$S17,'2.Equipe'!$U17)</f>
        <v>0</v>
      </c>
      <c r="E20" s="245">
        <f>SUM('2.Equipe'!$W17:$Z17)</f>
        <v>0</v>
      </c>
      <c r="F20" s="245">
        <f>'2.Equipe'!$AD17</f>
        <v>0</v>
      </c>
      <c r="G20" s="245">
        <f>'2.Equipe'!$AB17</f>
        <v>0</v>
      </c>
      <c r="H20" s="245">
        <f>'3.Personnel'!V18*Data!$C$31*Data!$H$13</f>
        <v>0</v>
      </c>
      <c r="I20" s="245">
        <f>'2.Equipe'!AE17</f>
        <v>0</v>
      </c>
      <c r="J20" s="245">
        <f>'3.Personnel'!V18*Data!$C$51*Data!$H$13</f>
        <v>0</v>
      </c>
      <c r="K20" s="245">
        <f>'2.Equipe'!$AA17</f>
        <v>0</v>
      </c>
      <c r="L20" s="245">
        <f>IF('7.Transport_AS'!$D26=0,0,('7.Transport_AS'!$D26-'7.Transport_AS'!$C26)*Data!$H$14*Data!$B$86)</f>
        <v>0</v>
      </c>
      <c r="M20" s="245">
        <f>IF($B20=0,0,IF(AND('1.Stratégie'!$J18&gt;1,$B20&lt;&gt;"SSD"),Data!$H$84*'6.Gdéchet'!$D21,0))</f>
        <v>0</v>
      </c>
      <c r="N20" s="245">
        <f>'2.Equipe'!AG17</f>
        <v>0</v>
      </c>
      <c r="O20" s="245">
        <f>'2.Equipe'!AH17</f>
        <v>0</v>
      </c>
      <c r="P20" s="245">
        <f>'2.Equipe'!AI17</f>
        <v>0</v>
      </c>
      <c r="Q20" s="248">
        <f>IF($B20=0,0,IF(AND('1.Stratégie'!$J18&gt;1,$B20&lt;&gt;"SSD"),'14.MobSoc'!$D$16*'14.MobSoc'!$E$16,0))</f>
        <v>0</v>
      </c>
      <c r="R20" s="249">
        <f>IF($B20=0,0,IF(AND('1.Stratégie'!$J18&gt;1,$B20&lt;&gt;"SSD"),'14.MobSoc'!$D$22*'14.MobSoc'!$E$22,0))</f>
        <v>0</v>
      </c>
      <c r="S20" s="245">
        <f>IF($B20=0,0,IF(AND('1.Stratégie'!$J18&gt;1,$B20&lt;&gt;"SSD"),'14.MobSoc'!$D$20*'14.MobSoc'!$E$20,0))</f>
        <v>0</v>
      </c>
      <c r="T20" s="247">
        <f t="shared" si="0"/>
        <v>0</v>
      </c>
      <c r="U20" s="118"/>
      <c r="V20" s="247" t="str">
        <f t="shared" si="1"/>
        <v/>
      </c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</row>
    <row r="21" spans="1:39" s="121" customFormat="1" ht="15" customHeight="1" x14ac:dyDescent="0.15">
      <c r="A21" s="167">
        <v>12</v>
      </c>
      <c r="B21" s="168">
        <f>'1.Stratégie'!B19</f>
        <v>0</v>
      </c>
      <c r="C21" s="169">
        <f>'2.Equipe'!$D18</f>
        <v>0</v>
      </c>
      <c r="D21" s="169">
        <f>SUM('2.Equipe'!$O18,'2.Equipe'!$Q18,'2.Equipe'!$S18,'2.Equipe'!$U18)</f>
        <v>0</v>
      </c>
      <c r="E21" s="169">
        <f>SUM('2.Equipe'!$W18:$Z18)</f>
        <v>0</v>
      </c>
      <c r="F21" s="169">
        <f>'2.Equipe'!$AD18</f>
        <v>0</v>
      </c>
      <c r="G21" s="169">
        <f>'2.Equipe'!$AB18</f>
        <v>0</v>
      </c>
      <c r="H21" s="169">
        <f>'3.Personnel'!V19*Data!$C$31*Data!$H$13</f>
        <v>0</v>
      </c>
      <c r="I21" s="169">
        <f>'2.Equipe'!AE18</f>
        <v>0</v>
      </c>
      <c r="J21" s="169">
        <f>'3.Personnel'!V19*Data!$C$51*Data!$H$13</f>
        <v>0</v>
      </c>
      <c r="K21" s="169">
        <f>'2.Equipe'!$AA18</f>
        <v>0</v>
      </c>
      <c r="L21" s="169">
        <f>IF('7.Transport_AS'!$D27=0,0,('7.Transport_AS'!$D27-'7.Transport_AS'!$C27)*Data!$H$14*Data!$B$86)</f>
        <v>0</v>
      </c>
      <c r="M21" s="169">
        <f>IF($B21=0,0,IF(AND('1.Stratégie'!$J19&gt;1,$B21&lt;&gt;"SSD"),Data!$H$84*'6.Gdéchet'!$D22,0))</f>
        <v>0</v>
      </c>
      <c r="N21" s="169">
        <f>'2.Equipe'!AG18</f>
        <v>0</v>
      </c>
      <c r="O21" s="169">
        <f>'2.Equipe'!AH18</f>
        <v>0</v>
      </c>
      <c r="P21" s="169">
        <f>'2.Equipe'!AI18</f>
        <v>0</v>
      </c>
      <c r="Q21" s="239">
        <f>IF($B21=0,0,IF(AND('1.Stratégie'!$J19&gt;1,$B21&lt;&gt;"SSD"),'14.MobSoc'!$D$16*'14.MobSoc'!$E$16,0))</f>
        <v>0</v>
      </c>
      <c r="R21" s="170">
        <f>IF($B21=0,0,IF(AND('1.Stratégie'!$J19&gt;1,$B21&lt;&gt;"SSD"),'14.MobSoc'!$D$22*'14.MobSoc'!$E$22,0))</f>
        <v>0</v>
      </c>
      <c r="S21" s="169">
        <f>IF($B21=0,0,IF(AND('1.Stratégie'!$J19&gt;1,$B21&lt;&gt;"SSD"),'14.MobSoc'!$D$20*'14.MobSoc'!$E$20,0))</f>
        <v>0</v>
      </c>
      <c r="T21" s="171">
        <f t="shared" si="0"/>
        <v>0</v>
      </c>
      <c r="U21" s="118"/>
      <c r="V21" s="171" t="str">
        <f t="shared" si="1"/>
        <v/>
      </c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</row>
    <row r="22" spans="1:39" s="121" customFormat="1" ht="15" customHeight="1" x14ac:dyDescent="0.15">
      <c r="A22" s="243">
        <v>13</v>
      </c>
      <c r="B22" s="244">
        <f>'1.Stratégie'!B20</f>
        <v>0</v>
      </c>
      <c r="C22" s="245">
        <f>'2.Equipe'!$D19</f>
        <v>0</v>
      </c>
      <c r="D22" s="245">
        <f>SUM('2.Equipe'!$O19,'2.Equipe'!$Q19,'2.Equipe'!$S19,'2.Equipe'!$U19)</f>
        <v>0</v>
      </c>
      <c r="E22" s="245">
        <f>SUM('2.Equipe'!$W19:$Z19)</f>
        <v>0</v>
      </c>
      <c r="F22" s="245">
        <f>'2.Equipe'!$AD19</f>
        <v>0</v>
      </c>
      <c r="G22" s="245">
        <f>'2.Equipe'!$AB19</f>
        <v>0</v>
      </c>
      <c r="H22" s="245">
        <f>'3.Personnel'!V20*Data!$C$31*Data!$H$13</f>
        <v>0</v>
      </c>
      <c r="I22" s="245">
        <f>'2.Equipe'!AE19</f>
        <v>0</v>
      </c>
      <c r="J22" s="245">
        <f>'3.Personnel'!V20*Data!$C$51*Data!$H$13</f>
        <v>0</v>
      </c>
      <c r="K22" s="245">
        <f>'2.Equipe'!$AA19</f>
        <v>0</v>
      </c>
      <c r="L22" s="245">
        <f>IF('7.Transport_AS'!$D28=0,0,('7.Transport_AS'!$D28-'7.Transport_AS'!$C28)*Data!$H$14*Data!$B$86)</f>
        <v>0</v>
      </c>
      <c r="M22" s="245">
        <f>IF($B22=0,0,IF(AND('1.Stratégie'!$J20&gt;1,$B22&lt;&gt;"SSD"),Data!$H$84*'6.Gdéchet'!$D23,0))</f>
        <v>0</v>
      </c>
      <c r="N22" s="245">
        <f>'2.Equipe'!AG19</f>
        <v>0</v>
      </c>
      <c r="O22" s="245">
        <f>'2.Equipe'!AH19</f>
        <v>0</v>
      </c>
      <c r="P22" s="245">
        <f>'2.Equipe'!AI19</f>
        <v>0</v>
      </c>
      <c r="Q22" s="248">
        <f>IF($B22=0,0,IF(AND('1.Stratégie'!$J20&gt;1,$B22&lt;&gt;"SSD"),'14.MobSoc'!$D$16*'14.MobSoc'!$E$16,0))</f>
        <v>0</v>
      </c>
      <c r="R22" s="249">
        <f>IF($B22=0,0,IF(AND('1.Stratégie'!$J20&gt;1,$B22&lt;&gt;"SSD"),'14.MobSoc'!$D$22*'14.MobSoc'!$E$22,0))</f>
        <v>0</v>
      </c>
      <c r="S22" s="245">
        <f>IF($B22=0,0,IF(AND('1.Stratégie'!$J20&gt;1,$B22&lt;&gt;"SSD"),'14.MobSoc'!$D$20*'14.MobSoc'!$E$20,0))</f>
        <v>0</v>
      </c>
      <c r="T22" s="247">
        <f t="shared" si="0"/>
        <v>0</v>
      </c>
      <c r="U22" s="118"/>
      <c r="V22" s="247" t="str">
        <f t="shared" si="1"/>
        <v/>
      </c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</row>
    <row r="23" spans="1:39" s="121" customFormat="1" ht="15" customHeight="1" x14ac:dyDescent="0.15">
      <c r="A23" s="167">
        <v>14</v>
      </c>
      <c r="B23" s="168">
        <f>'1.Stratégie'!B21</f>
        <v>0</v>
      </c>
      <c r="C23" s="169">
        <f>'2.Equipe'!$D20</f>
        <v>0</v>
      </c>
      <c r="D23" s="169">
        <f>SUM('2.Equipe'!$O20,'2.Equipe'!$Q20,'2.Equipe'!$S20,'2.Equipe'!$U20)</f>
        <v>0</v>
      </c>
      <c r="E23" s="169">
        <f>SUM('2.Equipe'!$W20:$Z20)</f>
        <v>0</v>
      </c>
      <c r="F23" s="169">
        <f>'2.Equipe'!$AD20</f>
        <v>0</v>
      </c>
      <c r="G23" s="169">
        <f>'2.Equipe'!$AB20</f>
        <v>0</v>
      </c>
      <c r="H23" s="169">
        <f>'3.Personnel'!V21*Data!$C$31*Data!$H$13</f>
        <v>0</v>
      </c>
      <c r="I23" s="169">
        <f>'2.Equipe'!AE20</f>
        <v>0</v>
      </c>
      <c r="J23" s="169">
        <f>'3.Personnel'!V21*Data!$C$51*Data!$H$13</f>
        <v>0</v>
      </c>
      <c r="K23" s="169">
        <f>'2.Equipe'!$AA20</f>
        <v>0</v>
      </c>
      <c r="L23" s="169">
        <f>IF('7.Transport_AS'!$D29=0,0,('7.Transport_AS'!$D29-'7.Transport_AS'!$C29)*Data!$H$14*Data!$B$86)</f>
        <v>0</v>
      </c>
      <c r="M23" s="169">
        <f>IF($B23=0,0,IF(AND('1.Stratégie'!$J21&gt;1,$B23&lt;&gt;"SSD"),Data!$H$84*'6.Gdéchet'!$D24,0))</f>
        <v>0</v>
      </c>
      <c r="N23" s="169">
        <f>'2.Equipe'!AG20</f>
        <v>0</v>
      </c>
      <c r="O23" s="169">
        <f>'2.Equipe'!AH20</f>
        <v>0</v>
      </c>
      <c r="P23" s="169">
        <f>'2.Equipe'!AI20</f>
        <v>0</v>
      </c>
      <c r="Q23" s="239">
        <f>IF($B23=0,0,IF(AND('1.Stratégie'!$J21&gt;1,$B23&lt;&gt;"SSD"),'14.MobSoc'!$D$16*'14.MobSoc'!$E$16,0))</f>
        <v>0</v>
      </c>
      <c r="R23" s="170">
        <f>IF($B23=0,0,IF(AND('1.Stratégie'!$J21&gt;1,$B23&lt;&gt;"SSD"),'14.MobSoc'!$D$22*'14.MobSoc'!$E$22,0))</f>
        <v>0</v>
      </c>
      <c r="S23" s="169">
        <f>IF($B23=0,0,IF(AND('1.Stratégie'!$J21&gt;1,$B23&lt;&gt;"SSD"),'14.MobSoc'!$D$20*'14.MobSoc'!$E$20,0))</f>
        <v>0</v>
      </c>
      <c r="T23" s="171">
        <f t="shared" si="0"/>
        <v>0</v>
      </c>
      <c r="U23" s="118"/>
      <c r="V23" s="171" t="str">
        <f t="shared" si="1"/>
        <v/>
      </c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</row>
    <row r="24" spans="1:39" s="121" customFormat="1" ht="15" customHeight="1" x14ac:dyDescent="0.15">
      <c r="A24" s="243">
        <v>15</v>
      </c>
      <c r="B24" s="244">
        <f>'1.Stratégie'!B22</f>
        <v>0</v>
      </c>
      <c r="C24" s="245">
        <f>'2.Equipe'!$D21</f>
        <v>0</v>
      </c>
      <c r="D24" s="245">
        <f>SUM('2.Equipe'!$O21,'2.Equipe'!$Q21,'2.Equipe'!$S21,'2.Equipe'!$U21)</f>
        <v>0</v>
      </c>
      <c r="E24" s="245">
        <f>SUM('2.Equipe'!$W21:$Z21)</f>
        <v>0</v>
      </c>
      <c r="F24" s="245">
        <f>'2.Equipe'!$AD21</f>
        <v>0</v>
      </c>
      <c r="G24" s="245">
        <f>'2.Equipe'!$AB21</f>
        <v>0</v>
      </c>
      <c r="H24" s="245">
        <f>'3.Personnel'!V22*Data!$C$31*Data!$H$13</f>
        <v>0</v>
      </c>
      <c r="I24" s="245">
        <f>'2.Equipe'!AE21</f>
        <v>0</v>
      </c>
      <c r="J24" s="245">
        <f>'3.Personnel'!V22*Data!$C$51*Data!$H$13</f>
        <v>0</v>
      </c>
      <c r="K24" s="245">
        <f>'2.Equipe'!$AA21</f>
        <v>0</v>
      </c>
      <c r="L24" s="245">
        <f>IF('7.Transport_AS'!$D30=0,0,('7.Transport_AS'!$D30-'7.Transport_AS'!$C30)*Data!$H$14*Data!$B$86)</f>
        <v>0</v>
      </c>
      <c r="M24" s="245">
        <f>IF($B24=0,0,IF(AND('1.Stratégie'!$J22&gt;1,$B24&lt;&gt;"SSD"),Data!$H$84*'6.Gdéchet'!$D25,0))</f>
        <v>0</v>
      </c>
      <c r="N24" s="245">
        <f>'2.Equipe'!AG21</f>
        <v>0</v>
      </c>
      <c r="O24" s="245">
        <f>'2.Equipe'!AH21</f>
        <v>0</v>
      </c>
      <c r="P24" s="245">
        <f>'2.Equipe'!AI21</f>
        <v>0</v>
      </c>
      <c r="Q24" s="248">
        <f>IF($B24=0,0,IF(AND('1.Stratégie'!$J22&gt;1,$B24&lt;&gt;"SSD"),'14.MobSoc'!$D$16*'14.MobSoc'!$E$16,0))</f>
        <v>0</v>
      </c>
      <c r="R24" s="249">
        <f>IF($B24=0,0,IF(AND('1.Stratégie'!$J22&gt;1,$B24&lt;&gt;"SSD"),'14.MobSoc'!$D$22*'14.MobSoc'!$E$22,0))</f>
        <v>0</v>
      </c>
      <c r="S24" s="245">
        <f>IF($B24=0,0,IF(AND('1.Stratégie'!$J22&gt;1,$B24&lt;&gt;"SSD"),'14.MobSoc'!$D$20*'14.MobSoc'!$E$20,0))</f>
        <v>0</v>
      </c>
      <c r="T24" s="247">
        <f t="shared" si="0"/>
        <v>0</v>
      </c>
      <c r="U24" s="118"/>
      <c r="V24" s="247" t="str">
        <f t="shared" si="1"/>
        <v/>
      </c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</row>
    <row r="25" spans="1:39" s="121" customFormat="1" ht="15" customHeight="1" x14ac:dyDescent="0.15">
      <c r="A25" s="167">
        <v>16</v>
      </c>
      <c r="B25" s="168">
        <f>'1.Stratégie'!B23</f>
        <v>0</v>
      </c>
      <c r="C25" s="169">
        <f>'2.Equipe'!$D22</f>
        <v>0</v>
      </c>
      <c r="D25" s="169">
        <f>SUM('2.Equipe'!$O22,'2.Equipe'!$Q22,'2.Equipe'!$S22,'2.Equipe'!$U22)</f>
        <v>0</v>
      </c>
      <c r="E25" s="169">
        <f>SUM('2.Equipe'!$W22:$Z22)</f>
        <v>0</v>
      </c>
      <c r="F25" s="169">
        <f>'2.Equipe'!$AD22</f>
        <v>0</v>
      </c>
      <c r="G25" s="169">
        <f>'2.Equipe'!$AB22</f>
        <v>0</v>
      </c>
      <c r="H25" s="169">
        <f>'3.Personnel'!V23*Data!$C$31*Data!$H$13</f>
        <v>0</v>
      </c>
      <c r="I25" s="169">
        <f>'2.Equipe'!AE22</f>
        <v>0</v>
      </c>
      <c r="J25" s="169">
        <f>'3.Personnel'!V23*Data!$C$51*Data!$H$13</f>
        <v>0</v>
      </c>
      <c r="K25" s="169">
        <f>'2.Equipe'!$AA22</f>
        <v>0</v>
      </c>
      <c r="L25" s="169">
        <f>IF('7.Transport_AS'!$D31=0,0,('7.Transport_AS'!$D31-'7.Transport_AS'!$C31)*Data!$H$14*Data!$B$86)</f>
        <v>0</v>
      </c>
      <c r="M25" s="169">
        <f>IF($B25=0,0,IF(AND('1.Stratégie'!$J23&gt;1,$B25&lt;&gt;"SSD"),Data!$H$84*'6.Gdéchet'!$D26,0))</f>
        <v>0</v>
      </c>
      <c r="N25" s="169">
        <f>'2.Equipe'!AG22</f>
        <v>0</v>
      </c>
      <c r="O25" s="169">
        <f>'2.Equipe'!AH22</f>
        <v>0</v>
      </c>
      <c r="P25" s="169">
        <f>'2.Equipe'!AI22</f>
        <v>0</v>
      </c>
      <c r="Q25" s="239">
        <f>IF($B25=0,0,IF(AND('1.Stratégie'!$J23&gt;1,$B25&lt;&gt;"SSD"),'14.MobSoc'!$D$16*'14.MobSoc'!$E$16,0))</f>
        <v>0</v>
      </c>
      <c r="R25" s="170">
        <f>IF($B25=0,0,IF(AND('1.Stratégie'!$J23&gt;1,$B25&lt;&gt;"SSD"),'14.MobSoc'!$D$22*'14.MobSoc'!$E$22,0))</f>
        <v>0</v>
      </c>
      <c r="S25" s="169">
        <f>IF($B25=0,0,IF(AND('1.Stratégie'!$J23&gt;1,$B25&lt;&gt;"SSD"),'14.MobSoc'!$D$20*'14.MobSoc'!$E$20,0))</f>
        <v>0</v>
      </c>
      <c r="T25" s="171">
        <f t="shared" si="0"/>
        <v>0</v>
      </c>
      <c r="U25" s="118"/>
      <c r="V25" s="171" t="str">
        <f t="shared" si="1"/>
        <v/>
      </c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</row>
    <row r="26" spans="1:39" s="121" customFormat="1" ht="15" customHeight="1" x14ac:dyDescent="0.15">
      <c r="A26" s="243">
        <v>17</v>
      </c>
      <c r="B26" s="244">
        <f>'1.Stratégie'!B24</f>
        <v>0</v>
      </c>
      <c r="C26" s="245">
        <f>'2.Equipe'!$D23</f>
        <v>0</v>
      </c>
      <c r="D26" s="245">
        <f>SUM('2.Equipe'!$O23,'2.Equipe'!$Q23,'2.Equipe'!$S23,'2.Equipe'!$U23)</f>
        <v>0</v>
      </c>
      <c r="E26" s="245">
        <f>SUM('2.Equipe'!$W23:$Z23)</f>
        <v>0</v>
      </c>
      <c r="F26" s="245">
        <f>'2.Equipe'!$AD23</f>
        <v>0</v>
      </c>
      <c r="G26" s="245">
        <f>'2.Equipe'!$AB23</f>
        <v>0</v>
      </c>
      <c r="H26" s="245">
        <f>'3.Personnel'!V24*Data!$C$31*Data!$H$13</f>
        <v>0</v>
      </c>
      <c r="I26" s="245">
        <f>'2.Equipe'!AE23</f>
        <v>0</v>
      </c>
      <c r="J26" s="245">
        <f>'3.Personnel'!V24*Data!$C$51*Data!$H$13</f>
        <v>0</v>
      </c>
      <c r="K26" s="245">
        <f>'2.Equipe'!$AA23</f>
        <v>0</v>
      </c>
      <c r="L26" s="245">
        <f>IF('7.Transport_AS'!$D32=0,0,('7.Transport_AS'!$D32-'7.Transport_AS'!$C32)*Data!$H$14*Data!$B$86)</f>
        <v>0</v>
      </c>
      <c r="M26" s="245">
        <f>IF($B26=0,0,IF(AND('1.Stratégie'!$J24&gt;1,$B26&lt;&gt;"SSD"),Data!$H$84*'6.Gdéchet'!$D27,0))</f>
        <v>0</v>
      </c>
      <c r="N26" s="245">
        <f>'2.Equipe'!AG23</f>
        <v>0</v>
      </c>
      <c r="O26" s="245">
        <f>'2.Equipe'!AH23</f>
        <v>0</v>
      </c>
      <c r="P26" s="245">
        <f>'2.Equipe'!AI23</f>
        <v>0</v>
      </c>
      <c r="Q26" s="248">
        <f>IF($B26=0,0,IF(AND('1.Stratégie'!$J24&gt;1,$B26&lt;&gt;"SSD"),'14.MobSoc'!$D$16*'14.MobSoc'!$E$16,0))</f>
        <v>0</v>
      </c>
      <c r="R26" s="249">
        <f>IF($B26=0,0,IF(AND('1.Stratégie'!$J24&gt;1,$B26&lt;&gt;"SSD"),'14.MobSoc'!$D$22*'14.MobSoc'!$E$22,0))</f>
        <v>0</v>
      </c>
      <c r="S26" s="245">
        <f>IF($B26=0,0,IF(AND('1.Stratégie'!$J24&gt;1,$B26&lt;&gt;"SSD"),'14.MobSoc'!$D$20*'14.MobSoc'!$E$20,0))</f>
        <v>0</v>
      </c>
      <c r="T26" s="247">
        <f t="shared" si="0"/>
        <v>0</v>
      </c>
      <c r="U26" s="118"/>
      <c r="V26" s="247" t="str">
        <f t="shared" si="1"/>
        <v/>
      </c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</row>
    <row r="27" spans="1:39" s="121" customFormat="1" ht="15" customHeight="1" x14ac:dyDescent="0.15">
      <c r="A27" s="167">
        <v>18</v>
      </c>
      <c r="B27" s="168">
        <f>'1.Stratégie'!B25</f>
        <v>0</v>
      </c>
      <c r="C27" s="169">
        <f>'2.Equipe'!$D24</f>
        <v>0</v>
      </c>
      <c r="D27" s="169">
        <f>SUM('2.Equipe'!$O24,'2.Equipe'!$Q24,'2.Equipe'!$S24,'2.Equipe'!$U24)</f>
        <v>0</v>
      </c>
      <c r="E27" s="169">
        <f>SUM('2.Equipe'!$W24:$Z24)</f>
        <v>0</v>
      </c>
      <c r="F27" s="169">
        <f>'2.Equipe'!$AD24</f>
        <v>0</v>
      </c>
      <c r="G27" s="169">
        <f>'2.Equipe'!$AB24</f>
        <v>0</v>
      </c>
      <c r="H27" s="169">
        <f>'3.Personnel'!V25*Data!$C$31*Data!$H$13</f>
        <v>0</v>
      </c>
      <c r="I27" s="169">
        <f>'2.Equipe'!AE24</f>
        <v>0</v>
      </c>
      <c r="J27" s="169">
        <f>'3.Personnel'!V25*Data!$C$51*Data!$H$13</f>
        <v>0</v>
      </c>
      <c r="K27" s="169">
        <f>'2.Equipe'!$AA24</f>
        <v>0</v>
      </c>
      <c r="L27" s="169">
        <f>IF('7.Transport_AS'!$D33=0,0,('7.Transport_AS'!$D33-'7.Transport_AS'!$C33)*Data!$H$14*Data!$B$86)</f>
        <v>0</v>
      </c>
      <c r="M27" s="169">
        <f>IF($B27=0,0,IF(AND('1.Stratégie'!$J25&gt;1,$B27&lt;&gt;"SSD"),Data!$H$84*'6.Gdéchet'!$D28,0))</f>
        <v>0</v>
      </c>
      <c r="N27" s="169">
        <f>'2.Equipe'!AG24</f>
        <v>0</v>
      </c>
      <c r="O27" s="169">
        <f>'2.Equipe'!AH24</f>
        <v>0</v>
      </c>
      <c r="P27" s="169">
        <f>'2.Equipe'!AI24</f>
        <v>0</v>
      </c>
      <c r="Q27" s="239">
        <f>IF($B27=0,0,IF(AND('1.Stratégie'!$J25&gt;1,$B27&lt;&gt;"SSD"),'14.MobSoc'!$D$16*'14.MobSoc'!$E$16,0))</f>
        <v>0</v>
      </c>
      <c r="R27" s="170">
        <f>IF($B27=0,0,IF(AND('1.Stratégie'!$J25&gt;1,$B27&lt;&gt;"SSD"),'14.MobSoc'!$D$22*'14.MobSoc'!$E$22,0))</f>
        <v>0</v>
      </c>
      <c r="S27" s="169">
        <f>IF($B27=0,0,IF(AND('1.Stratégie'!$J25&gt;1,$B27&lt;&gt;"SSD"),'14.MobSoc'!$D$20*'14.MobSoc'!$E$20,0))</f>
        <v>0</v>
      </c>
      <c r="T27" s="171">
        <f t="shared" si="0"/>
        <v>0</v>
      </c>
      <c r="U27" s="118"/>
      <c r="V27" s="171" t="str">
        <f t="shared" si="1"/>
        <v/>
      </c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</row>
    <row r="28" spans="1:39" s="121" customFormat="1" ht="15" customHeight="1" x14ac:dyDescent="0.15">
      <c r="A28" s="243">
        <v>19</v>
      </c>
      <c r="B28" s="244">
        <f>'1.Stratégie'!B26</f>
        <v>0</v>
      </c>
      <c r="C28" s="245">
        <f>'2.Equipe'!$D25</f>
        <v>0</v>
      </c>
      <c r="D28" s="245">
        <f>SUM('2.Equipe'!$O25,'2.Equipe'!$Q25,'2.Equipe'!$S25,'2.Equipe'!$U25)</f>
        <v>0</v>
      </c>
      <c r="E28" s="245">
        <f>SUM('2.Equipe'!$W25:$Z25)</f>
        <v>0</v>
      </c>
      <c r="F28" s="245">
        <f>'2.Equipe'!$AD25</f>
        <v>0</v>
      </c>
      <c r="G28" s="245">
        <f>'2.Equipe'!$AB25</f>
        <v>0</v>
      </c>
      <c r="H28" s="245">
        <f>'3.Personnel'!V26*Data!$C$31*Data!$H$13</f>
        <v>0</v>
      </c>
      <c r="I28" s="245">
        <f>'2.Equipe'!AE25</f>
        <v>0</v>
      </c>
      <c r="J28" s="245">
        <f>'3.Personnel'!V26*Data!$C$51*Data!$H$13</f>
        <v>0</v>
      </c>
      <c r="K28" s="245">
        <f>'2.Equipe'!$AA25</f>
        <v>0</v>
      </c>
      <c r="L28" s="245">
        <f>IF('7.Transport_AS'!$D34=0,0,('7.Transport_AS'!$D34-'7.Transport_AS'!$C34)*Data!$H$14*Data!$B$86)</f>
        <v>0</v>
      </c>
      <c r="M28" s="245">
        <f>IF($B28=0,0,IF(AND('1.Stratégie'!$J26&gt;1,$B28&lt;&gt;"SSD"),Data!$H$84*'6.Gdéchet'!$D29,0))</f>
        <v>0</v>
      </c>
      <c r="N28" s="245">
        <f>'2.Equipe'!AG25</f>
        <v>0</v>
      </c>
      <c r="O28" s="245">
        <f>'2.Equipe'!AH25</f>
        <v>0</v>
      </c>
      <c r="P28" s="245">
        <f>'2.Equipe'!AI25</f>
        <v>0</v>
      </c>
      <c r="Q28" s="248">
        <f>IF($B28=0,0,IF(AND('1.Stratégie'!$J26&gt;1,$B28&lt;&gt;"SSD"),'14.MobSoc'!$D$16*'14.MobSoc'!$E$16,0))</f>
        <v>0</v>
      </c>
      <c r="R28" s="249">
        <f>IF($B28=0,0,IF(AND('1.Stratégie'!$J26&gt;1,$B28&lt;&gt;"SSD"),'14.MobSoc'!$D$22*'14.MobSoc'!$E$22,0))</f>
        <v>0</v>
      </c>
      <c r="S28" s="245">
        <f>IF($B28=0,0,IF(AND('1.Stratégie'!$J26&gt;1,$B28&lt;&gt;"SSD"),'14.MobSoc'!$D$20*'14.MobSoc'!$E$20,0))</f>
        <v>0</v>
      </c>
      <c r="T28" s="247">
        <f t="shared" si="0"/>
        <v>0</v>
      </c>
      <c r="U28" s="118"/>
      <c r="V28" s="247" t="str">
        <f t="shared" si="1"/>
        <v/>
      </c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</row>
    <row r="29" spans="1:39" s="121" customFormat="1" ht="15" customHeight="1" x14ac:dyDescent="0.15">
      <c r="A29" s="167">
        <v>20</v>
      </c>
      <c r="B29" s="168">
        <f>'1.Stratégie'!B27</f>
        <v>0</v>
      </c>
      <c r="C29" s="169">
        <f>'2.Equipe'!$D26</f>
        <v>0</v>
      </c>
      <c r="D29" s="169">
        <f>SUM('2.Equipe'!$O26,'2.Equipe'!$Q26,'2.Equipe'!$S26,'2.Equipe'!$U26)</f>
        <v>0</v>
      </c>
      <c r="E29" s="169">
        <f>SUM('2.Equipe'!$W26:$Z26)</f>
        <v>0</v>
      </c>
      <c r="F29" s="169">
        <f>'2.Equipe'!$AD26</f>
        <v>0</v>
      </c>
      <c r="G29" s="169">
        <f>'2.Equipe'!$AB26</f>
        <v>0</v>
      </c>
      <c r="H29" s="169">
        <f>'3.Personnel'!V27*Data!$C$31*Data!$H$13</f>
        <v>0</v>
      </c>
      <c r="I29" s="169">
        <f>'2.Equipe'!AE26</f>
        <v>0</v>
      </c>
      <c r="J29" s="169">
        <f>'3.Personnel'!V27*Data!$C$51*Data!$H$13</f>
        <v>0</v>
      </c>
      <c r="K29" s="169">
        <f>'2.Equipe'!$AA26</f>
        <v>0</v>
      </c>
      <c r="L29" s="169">
        <f>IF('7.Transport_AS'!$D35=0,0,('7.Transport_AS'!$D35-'7.Transport_AS'!$C35)*Data!$H$14*Data!$B$86)</f>
        <v>0</v>
      </c>
      <c r="M29" s="169">
        <f>IF($B29=0,0,IF(AND('1.Stratégie'!$J27&gt;1,$B29&lt;&gt;"SSD"),Data!$H$84*'6.Gdéchet'!$D30,0))</f>
        <v>0</v>
      </c>
      <c r="N29" s="169">
        <f>'2.Equipe'!AG26</f>
        <v>0</v>
      </c>
      <c r="O29" s="169">
        <f>'2.Equipe'!AH26</f>
        <v>0</v>
      </c>
      <c r="P29" s="169">
        <f>'2.Equipe'!AI26</f>
        <v>0</v>
      </c>
      <c r="Q29" s="239">
        <f>IF($B29=0,0,IF(AND('1.Stratégie'!$J27&gt;1,$B29&lt;&gt;"SSD"),'14.MobSoc'!$D$16*'14.MobSoc'!$E$16,0))</f>
        <v>0</v>
      </c>
      <c r="R29" s="170">
        <f>IF($B29=0,0,IF(AND('1.Stratégie'!$J27&gt;1,$B29&lt;&gt;"SSD"),'14.MobSoc'!$D$22*'14.MobSoc'!$E$22,0))</f>
        <v>0</v>
      </c>
      <c r="S29" s="169">
        <f>IF($B29=0,0,IF(AND('1.Stratégie'!$J27&gt;1,$B29&lt;&gt;"SSD"),'14.MobSoc'!$D$20*'14.MobSoc'!$E$20,0))</f>
        <v>0</v>
      </c>
      <c r="T29" s="171">
        <f t="shared" si="0"/>
        <v>0</v>
      </c>
      <c r="U29" s="118"/>
      <c r="V29" s="171" t="str">
        <f t="shared" si="1"/>
        <v/>
      </c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</row>
    <row r="30" spans="1:39" s="121" customFormat="1" ht="15" customHeight="1" x14ac:dyDescent="0.15">
      <c r="A30" s="243">
        <v>21</v>
      </c>
      <c r="B30" s="244">
        <f>'1.Stratégie'!B28</f>
        <v>0</v>
      </c>
      <c r="C30" s="245">
        <f>'2.Equipe'!$D27</f>
        <v>0</v>
      </c>
      <c r="D30" s="245">
        <f>SUM('2.Equipe'!$O27,'2.Equipe'!$Q27,'2.Equipe'!$S27,'2.Equipe'!$U27)</f>
        <v>0</v>
      </c>
      <c r="E30" s="245">
        <f>SUM('2.Equipe'!$W27:$Z27)</f>
        <v>0</v>
      </c>
      <c r="F30" s="245">
        <f>'2.Equipe'!$AD27</f>
        <v>0</v>
      </c>
      <c r="G30" s="245">
        <f>'2.Equipe'!$AB27</f>
        <v>0</v>
      </c>
      <c r="H30" s="245">
        <f>'3.Personnel'!V28*Data!$C$31*Data!$H$13</f>
        <v>0</v>
      </c>
      <c r="I30" s="245">
        <f>'2.Equipe'!AE27</f>
        <v>0</v>
      </c>
      <c r="J30" s="245">
        <f>'3.Personnel'!V28*Data!$C$51*Data!$H$13</f>
        <v>0</v>
      </c>
      <c r="K30" s="245">
        <f>'2.Equipe'!$AA27</f>
        <v>0</v>
      </c>
      <c r="L30" s="245">
        <f>IF('7.Transport_AS'!$D36=0,0,('7.Transport_AS'!$D36-'7.Transport_AS'!$C36)*Data!$H$14*Data!$B$86)</f>
        <v>0</v>
      </c>
      <c r="M30" s="245">
        <f>IF($B30=0,0,IF(AND('1.Stratégie'!$J28&gt;1,$B30&lt;&gt;"SSD"),Data!$H$84*'6.Gdéchet'!$D31,0))</f>
        <v>0</v>
      </c>
      <c r="N30" s="245">
        <f>'2.Equipe'!AG27</f>
        <v>0</v>
      </c>
      <c r="O30" s="245">
        <f>'2.Equipe'!AH27</f>
        <v>0</v>
      </c>
      <c r="P30" s="245">
        <f>'2.Equipe'!AI27</f>
        <v>0</v>
      </c>
      <c r="Q30" s="248">
        <f>IF($B30=0,0,IF(AND('1.Stratégie'!$J28&gt;1,$B30&lt;&gt;"SSD"),'14.MobSoc'!$D$16*'14.MobSoc'!$E$16,0))</f>
        <v>0</v>
      </c>
      <c r="R30" s="249">
        <f>IF($B30=0,0,IF(AND('1.Stratégie'!$J28&gt;1,$B30&lt;&gt;"SSD"),'14.MobSoc'!$D$22*'14.MobSoc'!$E$22,0))</f>
        <v>0</v>
      </c>
      <c r="S30" s="245">
        <f>IF($B30=0,0,IF(AND('1.Stratégie'!$J28&gt;1,$B30&lt;&gt;"SSD"),'14.MobSoc'!$D$20*'14.MobSoc'!$E$20,0))</f>
        <v>0</v>
      </c>
      <c r="T30" s="247">
        <f t="shared" si="0"/>
        <v>0</v>
      </c>
      <c r="U30" s="118"/>
      <c r="V30" s="247" t="str">
        <f t="shared" si="1"/>
        <v/>
      </c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</row>
    <row r="31" spans="1:39" s="121" customFormat="1" ht="15" customHeight="1" x14ac:dyDescent="0.15">
      <c r="A31" s="167">
        <v>22</v>
      </c>
      <c r="B31" s="168">
        <f>'1.Stratégie'!B29</f>
        <v>0</v>
      </c>
      <c r="C31" s="169">
        <f>'2.Equipe'!$D28</f>
        <v>0</v>
      </c>
      <c r="D31" s="169">
        <f>SUM('2.Equipe'!$O28,'2.Equipe'!$Q28,'2.Equipe'!$S28,'2.Equipe'!$U28)</f>
        <v>0</v>
      </c>
      <c r="E31" s="169">
        <f>SUM('2.Equipe'!$W28:$Z28)</f>
        <v>0</v>
      </c>
      <c r="F31" s="169">
        <f>'2.Equipe'!$AD28</f>
        <v>0</v>
      </c>
      <c r="G31" s="169">
        <f>'2.Equipe'!$AB28</f>
        <v>0</v>
      </c>
      <c r="H31" s="169">
        <f>'3.Personnel'!V29*Data!$C$31*Data!$H$13</f>
        <v>0</v>
      </c>
      <c r="I31" s="169">
        <f>'2.Equipe'!AE28</f>
        <v>0</v>
      </c>
      <c r="J31" s="169">
        <f>'3.Personnel'!V29*Data!$C$51*Data!$H$13</f>
        <v>0</v>
      </c>
      <c r="K31" s="169">
        <f>'2.Equipe'!$AA28</f>
        <v>0</v>
      </c>
      <c r="L31" s="169">
        <f>IF('7.Transport_AS'!$D37=0,0,('7.Transport_AS'!$D37-'7.Transport_AS'!$C37)*Data!$H$14*Data!$B$86)</f>
        <v>0</v>
      </c>
      <c r="M31" s="169">
        <f>IF($B31=0,0,IF(AND('1.Stratégie'!$J29&gt;1,$B31&lt;&gt;"SSD"),Data!$H$84*'6.Gdéchet'!$D32,0))</f>
        <v>0</v>
      </c>
      <c r="N31" s="169">
        <f>'2.Equipe'!AG28</f>
        <v>0</v>
      </c>
      <c r="O31" s="169">
        <f>'2.Equipe'!AH28</f>
        <v>0</v>
      </c>
      <c r="P31" s="169">
        <f>'2.Equipe'!AI28</f>
        <v>0</v>
      </c>
      <c r="Q31" s="239">
        <f>IF($B31=0,0,IF(AND('1.Stratégie'!$J29&gt;1,$B31&lt;&gt;"SSD"),'14.MobSoc'!$D$16*'14.MobSoc'!$E$16,0))</f>
        <v>0</v>
      </c>
      <c r="R31" s="170">
        <f>IF($B31=0,0,IF(AND('1.Stratégie'!$J29&gt;1,$B31&lt;&gt;"SSD"),'14.MobSoc'!$D$22*'14.MobSoc'!$E$22,0))</f>
        <v>0</v>
      </c>
      <c r="S31" s="169">
        <f>IF($B31=0,0,IF(AND('1.Stratégie'!$J29&gt;1,$B31&lt;&gt;"SSD"),'14.MobSoc'!$D$20*'14.MobSoc'!$E$20,0))</f>
        <v>0</v>
      </c>
      <c r="T31" s="171">
        <f t="shared" si="0"/>
        <v>0</v>
      </c>
      <c r="U31" s="118"/>
      <c r="V31" s="171" t="str">
        <f t="shared" si="1"/>
        <v/>
      </c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</row>
    <row r="32" spans="1:39" s="121" customFormat="1" ht="15" customHeight="1" x14ac:dyDescent="0.15">
      <c r="A32" s="243">
        <v>23</v>
      </c>
      <c r="B32" s="244">
        <f>'1.Stratégie'!B30</f>
        <v>0</v>
      </c>
      <c r="C32" s="245">
        <f>'2.Equipe'!$D29</f>
        <v>0</v>
      </c>
      <c r="D32" s="245">
        <f>SUM('2.Equipe'!$O29,'2.Equipe'!$Q29,'2.Equipe'!$S29,'2.Equipe'!$U29)</f>
        <v>0</v>
      </c>
      <c r="E32" s="245">
        <f>SUM('2.Equipe'!$W29:$Z29)</f>
        <v>0</v>
      </c>
      <c r="F32" s="245">
        <f>'2.Equipe'!$AD29</f>
        <v>0</v>
      </c>
      <c r="G32" s="245">
        <f>'2.Equipe'!$AB29</f>
        <v>0</v>
      </c>
      <c r="H32" s="245">
        <f>'3.Personnel'!V30*Data!$C$31*Data!$H$13</f>
        <v>0</v>
      </c>
      <c r="I32" s="245">
        <f>'2.Equipe'!AE29</f>
        <v>0</v>
      </c>
      <c r="J32" s="245">
        <f>'3.Personnel'!V30*Data!$C$51*Data!$H$13</f>
        <v>0</v>
      </c>
      <c r="K32" s="245">
        <f>'2.Equipe'!$AA29</f>
        <v>0</v>
      </c>
      <c r="L32" s="245">
        <f>IF('7.Transport_AS'!$D38=0,0,('7.Transport_AS'!$D38-'7.Transport_AS'!$C38)*Data!$H$14*Data!$B$86)</f>
        <v>0</v>
      </c>
      <c r="M32" s="245">
        <f>IF($B32=0,0,IF(AND('1.Stratégie'!$J30&gt;1,$B32&lt;&gt;"SSD"),Data!$H$84*'6.Gdéchet'!$D33,0))</f>
        <v>0</v>
      </c>
      <c r="N32" s="245">
        <f>'2.Equipe'!AG29</f>
        <v>0</v>
      </c>
      <c r="O32" s="245">
        <f>'2.Equipe'!AH29</f>
        <v>0</v>
      </c>
      <c r="P32" s="245">
        <f>'2.Equipe'!AI29</f>
        <v>0</v>
      </c>
      <c r="Q32" s="248">
        <f>IF($B32=0,0,IF(AND('1.Stratégie'!$J30&gt;1,$B32&lt;&gt;"SSD"),'14.MobSoc'!$D$16*'14.MobSoc'!$E$16,0))</f>
        <v>0</v>
      </c>
      <c r="R32" s="249">
        <f>IF($B32=0,0,IF(AND('1.Stratégie'!$J30&gt;1,$B32&lt;&gt;"SSD"),'14.MobSoc'!$D$22*'14.MobSoc'!$E$22,0))</f>
        <v>0</v>
      </c>
      <c r="S32" s="245">
        <f>IF($B32=0,0,IF(AND('1.Stratégie'!$J30&gt;1,$B32&lt;&gt;"SSD"),'14.MobSoc'!$D$20*'14.MobSoc'!$E$20,0))</f>
        <v>0</v>
      </c>
      <c r="T32" s="247">
        <f t="shared" si="0"/>
        <v>0</v>
      </c>
      <c r="U32" s="118"/>
      <c r="V32" s="247" t="str">
        <f t="shared" si="1"/>
        <v/>
      </c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</row>
    <row r="33" spans="1:39" s="121" customFormat="1" ht="15" customHeight="1" x14ac:dyDescent="0.15">
      <c r="A33" s="167">
        <v>24</v>
      </c>
      <c r="B33" s="168">
        <f>'1.Stratégie'!B31</f>
        <v>0</v>
      </c>
      <c r="C33" s="169">
        <f>'2.Equipe'!$D30</f>
        <v>0</v>
      </c>
      <c r="D33" s="169">
        <f>SUM('2.Equipe'!$O30,'2.Equipe'!$Q30,'2.Equipe'!$S30,'2.Equipe'!$U30)</f>
        <v>0</v>
      </c>
      <c r="E33" s="169">
        <f>SUM('2.Equipe'!$W30:$Z30)</f>
        <v>0</v>
      </c>
      <c r="F33" s="169">
        <f>'2.Equipe'!$AD30</f>
        <v>0</v>
      </c>
      <c r="G33" s="169">
        <f>'2.Equipe'!$AB30</f>
        <v>0</v>
      </c>
      <c r="H33" s="169">
        <f>'3.Personnel'!V31*Data!$C$31*Data!$H$13</f>
        <v>0</v>
      </c>
      <c r="I33" s="169">
        <f>'2.Equipe'!AE30</f>
        <v>0</v>
      </c>
      <c r="J33" s="169">
        <f>'3.Personnel'!V31*Data!$C$51*Data!$H$13</f>
        <v>0</v>
      </c>
      <c r="K33" s="169">
        <f>'2.Equipe'!$AA30</f>
        <v>0</v>
      </c>
      <c r="L33" s="169">
        <f>IF('7.Transport_AS'!$D39=0,0,('7.Transport_AS'!$D39-'7.Transport_AS'!$C39)*Data!$H$14*Data!$B$86)</f>
        <v>0</v>
      </c>
      <c r="M33" s="169">
        <f>IF($B33=0,0,IF(AND('1.Stratégie'!$J31&gt;1,$B33&lt;&gt;"SSD"),Data!$H$84*'6.Gdéchet'!$D34,0))</f>
        <v>0</v>
      </c>
      <c r="N33" s="169">
        <f>'2.Equipe'!AG30</f>
        <v>0</v>
      </c>
      <c r="O33" s="169">
        <f>'2.Equipe'!AH30</f>
        <v>0</v>
      </c>
      <c r="P33" s="169">
        <f>'2.Equipe'!AI30</f>
        <v>0</v>
      </c>
      <c r="Q33" s="239">
        <f>IF($B33=0,0,IF(AND('1.Stratégie'!$J31&gt;1,$B33&lt;&gt;"SSD"),'14.MobSoc'!$D$16*'14.MobSoc'!$E$16,0))</f>
        <v>0</v>
      </c>
      <c r="R33" s="170">
        <f>IF($B33=0,0,IF(AND('1.Stratégie'!$J31&gt;1,$B33&lt;&gt;"SSD"),'14.MobSoc'!$D$22*'14.MobSoc'!$E$22,0))</f>
        <v>0</v>
      </c>
      <c r="S33" s="169">
        <f>IF($B33=0,0,IF(AND('1.Stratégie'!$J31&gt;1,$B33&lt;&gt;"SSD"),'14.MobSoc'!$D$20*'14.MobSoc'!$E$20,0))</f>
        <v>0</v>
      </c>
      <c r="T33" s="171">
        <f t="shared" si="0"/>
        <v>0</v>
      </c>
      <c r="U33" s="118"/>
      <c r="V33" s="171" t="str">
        <f t="shared" si="1"/>
        <v/>
      </c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</row>
    <row r="34" spans="1:39" s="121" customFormat="1" ht="15" customHeight="1" x14ac:dyDescent="0.15">
      <c r="A34" s="243">
        <v>25</v>
      </c>
      <c r="B34" s="244">
        <f>'1.Stratégie'!B32</f>
        <v>0</v>
      </c>
      <c r="C34" s="245">
        <f>'2.Equipe'!$D31</f>
        <v>0</v>
      </c>
      <c r="D34" s="245">
        <f>SUM('2.Equipe'!$O31,'2.Equipe'!$Q31,'2.Equipe'!$S31,'2.Equipe'!$U31)</f>
        <v>0</v>
      </c>
      <c r="E34" s="245">
        <f>SUM('2.Equipe'!$W31:$Z31)</f>
        <v>0</v>
      </c>
      <c r="F34" s="245">
        <f>'2.Equipe'!$AD31</f>
        <v>0</v>
      </c>
      <c r="G34" s="245">
        <f>'2.Equipe'!$AB31</f>
        <v>0</v>
      </c>
      <c r="H34" s="245">
        <f>'3.Personnel'!V32*Data!$C$31*Data!$H$13</f>
        <v>0</v>
      </c>
      <c r="I34" s="245">
        <f>'2.Equipe'!AE31</f>
        <v>0</v>
      </c>
      <c r="J34" s="245">
        <f>'3.Personnel'!V32*Data!$C$51*Data!$H$13</f>
        <v>0</v>
      </c>
      <c r="K34" s="245">
        <f>'2.Equipe'!$AA31</f>
        <v>0</v>
      </c>
      <c r="L34" s="245">
        <f>IF('7.Transport_AS'!$D40=0,0,('7.Transport_AS'!$D40-'7.Transport_AS'!$C40)*Data!$H$14*Data!$B$86)</f>
        <v>0</v>
      </c>
      <c r="M34" s="245">
        <f>IF($B34=0,0,IF(AND('1.Stratégie'!$J32&gt;1,$B34&lt;&gt;"SSD"),Data!$H$84*'6.Gdéchet'!$D35,0))</f>
        <v>0</v>
      </c>
      <c r="N34" s="245">
        <f>'2.Equipe'!AG31</f>
        <v>0</v>
      </c>
      <c r="O34" s="245">
        <f>'2.Equipe'!AH31</f>
        <v>0</v>
      </c>
      <c r="P34" s="245">
        <f>'2.Equipe'!AI31</f>
        <v>0</v>
      </c>
      <c r="Q34" s="248">
        <f>IF($B34=0,0,IF(AND('1.Stratégie'!$J32&gt;1,$B34&lt;&gt;"SSD"),'14.MobSoc'!$D$16*'14.MobSoc'!$E$16,0))</f>
        <v>0</v>
      </c>
      <c r="R34" s="249">
        <f>IF($B34=0,0,IF(AND('1.Stratégie'!$J32&gt;1,$B34&lt;&gt;"SSD"),'14.MobSoc'!$D$22*'14.MobSoc'!$E$22,0))</f>
        <v>0</v>
      </c>
      <c r="S34" s="245">
        <f>IF($B34=0,0,IF(AND('1.Stratégie'!$J32&gt;1,$B34&lt;&gt;"SSD"),'14.MobSoc'!$D$20*'14.MobSoc'!$E$20,0))</f>
        <v>0</v>
      </c>
      <c r="T34" s="247">
        <f t="shared" si="0"/>
        <v>0</v>
      </c>
      <c r="U34" s="118"/>
      <c r="V34" s="247" t="str">
        <f t="shared" si="1"/>
        <v/>
      </c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</row>
    <row r="35" spans="1:39" s="121" customFormat="1" ht="15" customHeight="1" x14ac:dyDescent="0.15">
      <c r="A35" s="167">
        <v>26</v>
      </c>
      <c r="B35" s="168">
        <f>'1.Stratégie'!B33</f>
        <v>0</v>
      </c>
      <c r="C35" s="169">
        <f>'2.Equipe'!$D32</f>
        <v>0</v>
      </c>
      <c r="D35" s="169">
        <f>SUM('2.Equipe'!$O32,'2.Equipe'!$Q32,'2.Equipe'!$S32,'2.Equipe'!$U32)</f>
        <v>0</v>
      </c>
      <c r="E35" s="169">
        <f>SUM('2.Equipe'!$W32:$Z32)</f>
        <v>0</v>
      </c>
      <c r="F35" s="169">
        <f>'2.Equipe'!$AD32</f>
        <v>0</v>
      </c>
      <c r="G35" s="169">
        <f>'2.Equipe'!$AB32</f>
        <v>0</v>
      </c>
      <c r="H35" s="169">
        <f>'3.Personnel'!V33*Data!$C$31*Data!$H$13</f>
        <v>0</v>
      </c>
      <c r="I35" s="169">
        <f>'2.Equipe'!AE32</f>
        <v>0</v>
      </c>
      <c r="J35" s="169">
        <f>'3.Personnel'!V33*Data!$C$51*Data!$H$13</f>
        <v>0</v>
      </c>
      <c r="K35" s="169">
        <f>'2.Equipe'!$AA32</f>
        <v>0</v>
      </c>
      <c r="L35" s="169">
        <f>IF('7.Transport_AS'!$D41=0,0,('7.Transport_AS'!$D41-'7.Transport_AS'!$C41)*Data!$H$14*Data!$B$86)</f>
        <v>0</v>
      </c>
      <c r="M35" s="169">
        <f>IF($B35=0,0,IF(AND('1.Stratégie'!$J33&gt;1,$B35&lt;&gt;"SSD"),Data!$H$84*'6.Gdéchet'!$D36,0))</f>
        <v>0</v>
      </c>
      <c r="N35" s="169">
        <f>'2.Equipe'!AG32</f>
        <v>0</v>
      </c>
      <c r="O35" s="169">
        <f>'2.Equipe'!AH32</f>
        <v>0</v>
      </c>
      <c r="P35" s="169">
        <f>'2.Equipe'!AI32</f>
        <v>0</v>
      </c>
      <c r="Q35" s="239">
        <f>IF($B35=0,0,IF(AND('1.Stratégie'!$J33&gt;1,$B35&lt;&gt;"SSD"),'14.MobSoc'!$D$16*'14.MobSoc'!$E$16,0))</f>
        <v>0</v>
      </c>
      <c r="R35" s="170">
        <f>IF($B35=0,0,IF(AND('1.Stratégie'!$J33&gt;1,$B35&lt;&gt;"SSD"),'14.MobSoc'!$D$22*'14.MobSoc'!$E$22,0))</f>
        <v>0</v>
      </c>
      <c r="S35" s="169">
        <f>IF($B35=0,0,IF(AND('1.Stratégie'!$J33&gt;1,$B35&lt;&gt;"SSD"),'14.MobSoc'!$D$20*'14.MobSoc'!$E$20,0))</f>
        <v>0</v>
      </c>
      <c r="T35" s="171">
        <f t="shared" si="0"/>
        <v>0</v>
      </c>
      <c r="U35" s="118"/>
      <c r="V35" s="171" t="str">
        <f t="shared" si="1"/>
        <v/>
      </c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</row>
    <row r="36" spans="1:39" s="121" customFormat="1" ht="15" customHeight="1" x14ac:dyDescent="0.15">
      <c r="A36" s="243">
        <v>27</v>
      </c>
      <c r="B36" s="244">
        <f>'1.Stratégie'!B34</f>
        <v>0</v>
      </c>
      <c r="C36" s="245">
        <f>'2.Equipe'!$D33</f>
        <v>0</v>
      </c>
      <c r="D36" s="245">
        <f>SUM('2.Equipe'!$O33,'2.Equipe'!$Q33,'2.Equipe'!$S33,'2.Equipe'!$U33)</f>
        <v>0</v>
      </c>
      <c r="E36" s="245">
        <f>SUM('2.Equipe'!$W33:$Z33)</f>
        <v>0</v>
      </c>
      <c r="F36" s="245">
        <f>'2.Equipe'!$AD33</f>
        <v>0</v>
      </c>
      <c r="G36" s="245">
        <f>'2.Equipe'!$AB33</f>
        <v>0</v>
      </c>
      <c r="H36" s="245">
        <f>'3.Personnel'!V34*Data!$C$31*Data!$H$13</f>
        <v>0</v>
      </c>
      <c r="I36" s="245">
        <f>'2.Equipe'!AE33</f>
        <v>0</v>
      </c>
      <c r="J36" s="245">
        <f>'3.Personnel'!V34*Data!$C$51*Data!$H$13</f>
        <v>0</v>
      </c>
      <c r="K36" s="245">
        <f>'2.Equipe'!$AA33</f>
        <v>0</v>
      </c>
      <c r="L36" s="245">
        <f>IF('7.Transport_AS'!$D42=0,0,('7.Transport_AS'!$D42-'7.Transport_AS'!$C42)*Data!$H$14*Data!$B$86)</f>
        <v>0</v>
      </c>
      <c r="M36" s="245">
        <f>IF($B36=0,0,IF(AND('1.Stratégie'!$J34&gt;1,$B36&lt;&gt;"SSD"),Data!$H$84*'6.Gdéchet'!$D37,0))</f>
        <v>0</v>
      </c>
      <c r="N36" s="245">
        <f>'2.Equipe'!AG33</f>
        <v>0</v>
      </c>
      <c r="O36" s="245">
        <f>'2.Equipe'!AH33</f>
        <v>0</v>
      </c>
      <c r="P36" s="245">
        <f>'2.Equipe'!AI33</f>
        <v>0</v>
      </c>
      <c r="Q36" s="248">
        <f>IF($B36=0,0,IF(AND('1.Stratégie'!$J34&gt;1,$B36&lt;&gt;"SSD"),'14.MobSoc'!$D$16*'14.MobSoc'!$E$16,0))</f>
        <v>0</v>
      </c>
      <c r="R36" s="249">
        <f>IF($B36=0,0,IF(AND('1.Stratégie'!$J34&gt;1,$B36&lt;&gt;"SSD"),'14.MobSoc'!$D$22*'14.MobSoc'!$E$22,0))</f>
        <v>0</v>
      </c>
      <c r="S36" s="245">
        <f>IF($B36=0,0,IF(AND('1.Stratégie'!$J34&gt;1,$B36&lt;&gt;"SSD"),'14.MobSoc'!$D$20*'14.MobSoc'!$E$20,0))</f>
        <v>0</v>
      </c>
      <c r="T36" s="247">
        <f t="shared" si="0"/>
        <v>0</v>
      </c>
      <c r="U36" s="118"/>
      <c r="V36" s="247" t="str">
        <f t="shared" si="1"/>
        <v/>
      </c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</row>
    <row r="37" spans="1:39" s="121" customFormat="1" ht="15" customHeight="1" x14ac:dyDescent="0.15">
      <c r="A37" s="167">
        <v>28</v>
      </c>
      <c r="B37" s="168">
        <f>'1.Stratégie'!B35</f>
        <v>0</v>
      </c>
      <c r="C37" s="169">
        <f>'2.Equipe'!$D34</f>
        <v>0</v>
      </c>
      <c r="D37" s="169">
        <f>SUM('2.Equipe'!$O34,'2.Equipe'!$Q34,'2.Equipe'!$S34,'2.Equipe'!$U34)</f>
        <v>0</v>
      </c>
      <c r="E37" s="169">
        <f>SUM('2.Equipe'!$W34:$Z34)</f>
        <v>0</v>
      </c>
      <c r="F37" s="169">
        <f>'2.Equipe'!$AD34</f>
        <v>0</v>
      </c>
      <c r="G37" s="169">
        <f>'2.Equipe'!$AB34</f>
        <v>0</v>
      </c>
      <c r="H37" s="169">
        <f>'3.Personnel'!V35*Data!$C$31*Data!$H$13</f>
        <v>0</v>
      </c>
      <c r="I37" s="169">
        <f>'2.Equipe'!AE34</f>
        <v>0</v>
      </c>
      <c r="J37" s="169">
        <f>'3.Personnel'!V35*Data!$C$51*Data!$H$13</f>
        <v>0</v>
      </c>
      <c r="K37" s="169">
        <f>'2.Equipe'!$AA34</f>
        <v>0</v>
      </c>
      <c r="L37" s="169">
        <f>IF('7.Transport_AS'!$D43=0,0,('7.Transport_AS'!$D43-'7.Transport_AS'!$C43)*Data!$H$14*Data!$B$86)</f>
        <v>0</v>
      </c>
      <c r="M37" s="169">
        <f>IF($B37=0,0,IF(AND('1.Stratégie'!$J35&gt;1,$B37&lt;&gt;"SSD"),Data!$H$84*'6.Gdéchet'!$D38,0))</f>
        <v>0</v>
      </c>
      <c r="N37" s="169">
        <f>'2.Equipe'!AG34</f>
        <v>0</v>
      </c>
      <c r="O37" s="169">
        <f>'2.Equipe'!AH34</f>
        <v>0</v>
      </c>
      <c r="P37" s="169">
        <f>'2.Equipe'!AI34</f>
        <v>0</v>
      </c>
      <c r="Q37" s="239">
        <f>IF($B37=0,0,IF(AND('1.Stratégie'!$J35&gt;1,$B37&lt;&gt;"SSD"),'14.MobSoc'!$D$16*'14.MobSoc'!$E$16,0))</f>
        <v>0</v>
      </c>
      <c r="R37" s="170">
        <f>IF($B37=0,0,IF(AND('1.Stratégie'!$J35&gt;1,$B37&lt;&gt;"SSD"),'14.MobSoc'!$D$22*'14.MobSoc'!$E$22,0))</f>
        <v>0</v>
      </c>
      <c r="S37" s="169">
        <f>IF($B37=0,0,IF(AND('1.Stratégie'!$J35&gt;1,$B37&lt;&gt;"SSD"),'14.MobSoc'!$D$20*'14.MobSoc'!$E$20,0))</f>
        <v>0</v>
      </c>
      <c r="T37" s="171">
        <f t="shared" si="0"/>
        <v>0</v>
      </c>
      <c r="U37" s="118"/>
      <c r="V37" s="171" t="str">
        <f t="shared" si="1"/>
        <v/>
      </c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</row>
    <row r="38" spans="1:39" s="121" customFormat="1" ht="15" customHeight="1" x14ac:dyDescent="0.15">
      <c r="A38" s="243">
        <v>29</v>
      </c>
      <c r="B38" s="244">
        <f>'1.Stratégie'!B36</f>
        <v>0</v>
      </c>
      <c r="C38" s="245">
        <f>'2.Equipe'!$D35</f>
        <v>0</v>
      </c>
      <c r="D38" s="245">
        <f>SUM('2.Equipe'!$O35,'2.Equipe'!$Q35,'2.Equipe'!$S35,'2.Equipe'!$U35)</f>
        <v>0</v>
      </c>
      <c r="E38" s="245">
        <f>SUM('2.Equipe'!$W35:$Z35)</f>
        <v>0</v>
      </c>
      <c r="F38" s="245"/>
      <c r="G38" s="245">
        <f>'2.Equipe'!$AB35</f>
        <v>0</v>
      </c>
      <c r="H38" s="245">
        <f>'3.Personnel'!V36*Data!$C$31*Data!$H$13</f>
        <v>0</v>
      </c>
      <c r="I38" s="245">
        <f>'2.Equipe'!AE35</f>
        <v>0</v>
      </c>
      <c r="J38" s="245">
        <f>'3.Personnel'!V36*Data!$C$51*Data!$H$13</f>
        <v>0</v>
      </c>
      <c r="K38" s="245">
        <f>'2.Equipe'!$AA35</f>
        <v>0</v>
      </c>
      <c r="L38" s="245">
        <f>IF('7.Transport_AS'!$D44=0,0,('7.Transport_AS'!$D44-'7.Transport_AS'!$C44)*Data!$H$14*Data!$B$86)</f>
        <v>0</v>
      </c>
      <c r="M38" s="245">
        <f>IF($B38=0,0,IF(AND('1.Stratégie'!$J36&gt;1,$B38&lt;&gt;"SSD"),Data!$H$84*'6.Gdéchet'!$D39,0))</f>
        <v>0</v>
      </c>
      <c r="N38" s="245">
        <f>'2.Equipe'!AG35</f>
        <v>0</v>
      </c>
      <c r="O38" s="245">
        <f>'2.Equipe'!AH35</f>
        <v>0</v>
      </c>
      <c r="P38" s="245">
        <f>'2.Equipe'!AI35</f>
        <v>0</v>
      </c>
      <c r="Q38" s="248">
        <f>IF($B38=0,0,IF(AND('1.Stratégie'!$J36&gt;1,$B38&lt;&gt;"SSD"),'14.MobSoc'!$D$16*'14.MobSoc'!$E$16,0))</f>
        <v>0</v>
      </c>
      <c r="R38" s="249">
        <f>IF($B38=0,0,IF(AND('1.Stratégie'!$J36&gt;1,$B38&lt;&gt;"SSD"),'14.MobSoc'!$D$22*'14.MobSoc'!$E$22,0))</f>
        <v>0</v>
      </c>
      <c r="S38" s="245">
        <f>IF($B38=0,0,IF(AND('1.Stratégie'!$J36&gt;1,$B38&lt;&gt;"SSD"),'14.MobSoc'!$D$20*'14.MobSoc'!$E$20,0))</f>
        <v>0</v>
      </c>
      <c r="T38" s="247">
        <f t="shared" si="0"/>
        <v>0</v>
      </c>
      <c r="U38" s="118"/>
      <c r="V38" s="247" t="str">
        <f t="shared" si="1"/>
        <v/>
      </c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</row>
    <row r="39" spans="1:39" s="120" customFormat="1" ht="15" customHeight="1" x14ac:dyDescent="0.15">
      <c r="A39" s="172"/>
      <c r="B39" s="173" t="str">
        <f>"TOTAL "&amp;$O$6</f>
        <v>TOTAL 0</v>
      </c>
      <c r="C39" s="171">
        <f>SUM(C10:C38)</f>
        <v>0</v>
      </c>
      <c r="D39" s="171">
        <f>SUM(D10:D38)</f>
        <v>0</v>
      </c>
      <c r="E39" s="171">
        <f>SUM(E10:E38)</f>
        <v>0</v>
      </c>
      <c r="F39" s="171">
        <f>SUM(F10:F38)</f>
        <v>0</v>
      </c>
      <c r="G39" s="171">
        <f t="shared" ref="G39:R39" si="2">SUM(G10:G38)</f>
        <v>0</v>
      </c>
      <c r="H39" s="171">
        <f t="shared" si="2"/>
        <v>0</v>
      </c>
      <c r="I39" s="171">
        <f t="shared" si="2"/>
        <v>0</v>
      </c>
      <c r="J39" s="171">
        <f t="shared" si="2"/>
        <v>0</v>
      </c>
      <c r="K39" s="171">
        <f t="shared" si="2"/>
        <v>0</v>
      </c>
      <c r="L39" s="171">
        <f t="shared" si="2"/>
        <v>0</v>
      </c>
      <c r="M39" s="171">
        <f t="shared" si="2"/>
        <v>0</v>
      </c>
      <c r="N39" s="171">
        <f t="shared" si="2"/>
        <v>0</v>
      </c>
      <c r="O39" s="171">
        <f t="shared" si="2"/>
        <v>0</v>
      </c>
      <c r="P39" s="171">
        <f t="shared" si="2"/>
        <v>0</v>
      </c>
      <c r="Q39" s="171">
        <f t="shared" si="2"/>
        <v>0</v>
      </c>
      <c r="R39" s="171">
        <f t="shared" si="2"/>
        <v>0</v>
      </c>
      <c r="S39" s="171">
        <f>SUM(S10:S38)</f>
        <v>0</v>
      </c>
      <c r="T39" s="171">
        <f>SUM(T10:T38)</f>
        <v>0</v>
      </c>
      <c r="U39" s="119"/>
      <c r="V39" s="171" t="str">
        <f t="shared" si="1"/>
        <v/>
      </c>
    </row>
    <row r="40" spans="1:39" s="16" customFormat="1" ht="6.75" customHeight="1" x14ac:dyDescent="0.15">
      <c r="A40" s="3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2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 s="16" customFormat="1" x14ac:dyDescent="0.15">
      <c r="A41" s="32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2"/>
      <c r="T41" s="32"/>
      <c r="U41" s="32"/>
      <c r="V41" s="32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9" s="16" customFormat="1" x14ac:dyDescent="0.15">
      <c r="A42" s="32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2"/>
      <c r="T42" s="32"/>
      <c r="U42" s="32"/>
      <c r="V42" s="32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9" x14ac:dyDescent="0.15">
      <c r="R43" s="1"/>
      <c r="AJ43" s="49"/>
    </row>
    <row r="44" spans="1:39" x14ac:dyDescent="0.15">
      <c r="R44" s="1"/>
      <c r="AJ44" s="49"/>
    </row>
  </sheetData>
  <sheetProtection algorithmName="SHA-512" hashValue="IknGdQuGGau0dlulBwax+TODVeTZabyTgzuyYyzqmNzyrzB3fCEw/ACKeSQ2Ogo9yJyN2Cp0WO4kjKsWIDNSRA==" saltValue="+0eAxI9y29EG5yqX9woBFw==" spinCount="100000" sheet="1" objects="1" scenarios="1"/>
  <phoneticPr fontId="0" type="noConversion"/>
  <dataValidations count="2">
    <dataValidation allowBlank="1" showInputMessage="1" showErrorMessage="1" promptTitle="Feauile Equipes" prompt="Ne saisir aucune donnée sur cette feuilles. Les  y sont faits automatiquement" sqref="G6:H6 K6:N6" xr:uid="{00000000-0002-0000-0B00-000000000000}"/>
    <dataValidation allowBlank="1" showInputMessage="1" showErrorMessage="1" sqref="I6:J6 O6" xr:uid="{00000000-0002-0000-0B00-000001000000}"/>
  </dataValidations>
  <printOptions horizontalCentered="1"/>
  <pageMargins left="0.59055118110236227" right="0.59055118110236227" top="0.59055118110236227" bottom="0.59055118110236227" header="0.31496062992125984" footer="0.31496062992125984"/>
  <pageSetup paperSize="9" scale="77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J44"/>
  <sheetViews>
    <sheetView tabSelected="1" zoomScale="85" zoomScaleNormal="85" workbookViewId="0">
      <pane xSplit="3" ySplit="9" topLeftCell="D10" activePane="bottomRight" state="frozen"/>
      <selection pane="bottomLeft" activeCell="A9" sqref="A9"/>
      <selection pane="topRight" activeCell="D1" sqref="D1"/>
      <selection pane="bottomRight" activeCell="Q10" sqref="Q10:Q39"/>
    </sheetView>
  </sheetViews>
  <sheetFormatPr defaultColWidth="11.4609375" defaultRowHeight="12.75" x14ac:dyDescent="0.15"/>
  <cols>
    <col min="1" max="1" width="4.58203125" style="49" customWidth="1"/>
    <col min="2" max="2" width="18.609375" style="1" customWidth="1"/>
    <col min="3" max="3" width="10.3828125" style="1" customWidth="1"/>
    <col min="4" max="4" width="10.65234375" style="1" customWidth="1"/>
    <col min="5" max="5" width="10.11328125" style="1" customWidth="1"/>
    <col min="6" max="6" width="10.921875" style="1" customWidth="1"/>
    <col min="7" max="7" width="10.11328125" style="1" customWidth="1"/>
    <col min="8" max="8" width="11.0546875" style="1" customWidth="1"/>
    <col min="9" max="10" width="10.3828125" style="1" customWidth="1"/>
    <col min="11" max="12" width="9.70703125" style="1" customWidth="1"/>
    <col min="13" max="14" width="10.3828125" style="1" customWidth="1"/>
    <col min="15" max="15" width="9.03515625" style="1" customWidth="1"/>
    <col min="16" max="16" width="11.0546875" style="49" customWidth="1"/>
    <col min="17" max="17" width="9.70703125" style="49" customWidth="1"/>
    <col min="18" max="18" width="6.47265625" style="49" customWidth="1"/>
    <col min="19" max="19" width="7.8203125" style="49" customWidth="1"/>
    <col min="20" max="34" width="11.4609375" style="49"/>
    <col min="35" max="16384" width="11.4609375" style="1"/>
  </cols>
  <sheetData>
    <row r="2" spans="1:36" ht="18" x14ac:dyDescent="0.2">
      <c r="A2" s="17"/>
      <c r="B2" s="733" t="str">
        <f>'1.Stratégie'!$B$2</f>
        <v>Microplanification Campagne de vaccination préventive contre la Rougeole et la Rubeole (RR), 2023</v>
      </c>
      <c r="C2"/>
      <c r="D2"/>
      <c r="E2"/>
      <c r="F2"/>
      <c r="G2"/>
      <c r="H2"/>
      <c r="I2"/>
      <c r="J2"/>
      <c r="K2"/>
      <c r="L2"/>
      <c r="M2"/>
      <c r="N2"/>
      <c r="O2"/>
      <c r="P2" s="17"/>
      <c r="Q2" s="17"/>
    </row>
    <row r="3" spans="1:36" ht="5.25" customHeight="1" x14ac:dyDescent="0.15">
      <c r="A3" s="17"/>
      <c r="B3" s="165"/>
      <c r="C3"/>
      <c r="D3"/>
      <c r="E3"/>
      <c r="F3"/>
      <c r="G3"/>
      <c r="H3"/>
      <c r="I3"/>
      <c r="J3"/>
      <c r="K3"/>
      <c r="L3"/>
      <c r="M3"/>
      <c r="N3"/>
      <c r="O3"/>
      <c r="P3" s="17"/>
      <c r="Q3" s="17"/>
    </row>
    <row r="4" spans="1:36" ht="18" x14ac:dyDescent="0.2">
      <c r="A4" s="17"/>
      <c r="B4" s="337" t="s">
        <v>439</v>
      </c>
      <c r="C4"/>
      <c r="D4"/>
      <c r="E4"/>
      <c r="F4"/>
      <c r="G4"/>
      <c r="H4"/>
      <c r="I4"/>
      <c r="J4"/>
      <c r="K4"/>
      <c r="L4"/>
      <c r="M4"/>
      <c r="N4"/>
      <c r="O4"/>
      <c r="P4" s="17"/>
      <c r="Q4" s="17"/>
    </row>
    <row r="5" spans="1:36" ht="5.25" customHeight="1" x14ac:dyDescent="0.15">
      <c r="A5" s="17"/>
      <c r="B5"/>
      <c r="C5" s="165"/>
      <c r="D5"/>
      <c r="E5"/>
      <c r="F5"/>
      <c r="G5"/>
      <c r="H5"/>
      <c r="I5"/>
      <c r="J5"/>
      <c r="K5"/>
      <c r="L5"/>
      <c r="M5"/>
      <c r="N5"/>
      <c r="O5"/>
      <c r="P5" s="17"/>
      <c r="Q5" s="17"/>
    </row>
    <row r="6" spans="1:36" s="50" customFormat="1" ht="18" x14ac:dyDescent="0.15">
      <c r="A6" s="237" t="s">
        <v>398</v>
      </c>
      <c r="B6" s="130" t="str">
        <f>'1.Stratégie'!$B$4</f>
        <v>PAYS :</v>
      </c>
      <c r="C6" s="826" t="str">
        <f>'1.Stratégie'!$C$4</f>
        <v>CAMEROUN</v>
      </c>
      <c r="D6" s="827"/>
      <c r="E6" s="129" t="str">
        <f>'1.Stratégie'!$D$4</f>
        <v>REGION :</v>
      </c>
      <c r="F6" s="826">
        <f>'1.Stratégie'!$E$4</f>
        <v>0</v>
      </c>
      <c r="G6" s="828"/>
      <c r="H6" s="828"/>
      <c r="I6" s="128" t="str">
        <f>IF(('1.Stratégie'!$F$4)="","",'1.Stratégie'!$F$4)</f>
        <v>DISTRICT :</v>
      </c>
      <c r="J6" s="826">
        <f>IF(('1.Stratégie'!$G$4)="","",'1.Stratégie'!$G$4)</f>
        <v>0</v>
      </c>
      <c r="K6" s="872"/>
      <c r="L6" s="872"/>
      <c r="M6"/>
      <c r="N6" s="17"/>
      <c r="O6" s="17"/>
      <c r="P6" s="17"/>
      <c r="Q6" s="17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1:36" ht="6.75" customHeight="1" x14ac:dyDescent="0.15">
      <c r="A7" s="1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AI7" s="49"/>
      <c r="AJ7" s="49"/>
    </row>
    <row r="8" spans="1:36" s="16" customFormat="1" ht="46.5" x14ac:dyDescent="0.15">
      <c r="A8" s="147" t="s">
        <v>2</v>
      </c>
      <c r="B8" s="147" t="str">
        <f>'1.Stratégie'!$B$6</f>
        <v>AIRE DE SANTE</v>
      </c>
      <c r="C8" s="147" t="str">
        <f>"Population cible  "&amp;Data!$F$7</f>
        <v>Population cible  RR</v>
      </c>
      <c r="D8" s="147" t="s">
        <v>417</v>
      </c>
      <c r="E8" s="147" t="s">
        <v>399</v>
      </c>
      <c r="F8" s="147" t="s">
        <v>409</v>
      </c>
      <c r="G8" s="147" t="s">
        <v>396</v>
      </c>
      <c r="H8" s="147" t="s">
        <v>394</v>
      </c>
      <c r="I8" s="147" t="s">
        <v>418</v>
      </c>
      <c r="J8" s="235" t="s">
        <v>393</v>
      </c>
      <c r="K8" s="235" t="s">
        <v>397</v>
      </c>
      <c r="L8" s="235" t="s">
        <v>395</v>
      </c>
      <c r="M8" s="235" t="s">
        <v>416</v>
      </c>
      <c r="N8" s="241" t="s">
        <v>401</v>
      </c>
      <c r="O8" s="241" t="s">
        <v>460</v>
      </c>
      <c r="P8" s="339" t="s">
        <v>402</v>
      </c>
      <c r="Q8" s="166" t="s">
        <v>518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</row>
    <row r="9" spans="1:36" s="3" customFormat="1" x14ac:dyDescent="0.15">
      <c r="A9" s="147" t="s">
        <v>6</v>
      </c>
      <c r="B9" s="147" t="s">
        <v>7</v>
      </c>
      <c r="C9" s="147" t="s">
        <v>8</v>
      </c>
      <c r="D9" s="147" t="s">
        <v>9</v>
      </c>
      <c r="E9" s="147" t="s">
        <v>10</v>
      </c>
      <c r="F9" s="147" t="s">
        <v>11</v>
      </c>
      <c r="G9" s="147" t="s">
        <v>12</v>
      </c>
      <c r="H9" s="147" t="s">
        <v>13</v>
      </c>
      <c r="I9" s="147" t="s">
        <v>14</v>
      </c>
      <c r="J9" s="235" t="s">
        <v>15</v>
      </c>
      <c r="K9" s="235" t="s">
        <v>16</v>
      </c>
      <c r="L9" s="235" t="s">
        <v>17</v>
      </c>
      <c r="M9" s="235" t="s">
        <v>18</v>
      </c>
      <c r="N9" s="241" t="s">
        <v>19</v>
      </c>
      <c r="O9" s="241" t="s">
        <v>27</v>
      </c>
      <c r="P9" s="339" t="s">
        <v>29</v>
      </c>
      <c r="Q9" s="59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</row>
    <row r="10" spans="1:36" s="121" customFormat="1" ht="15" customHeight="1" x14ac:dyDescent="0.15">
      <c r="A10" s="251">
        <v>1</v>
      </c>
      <c r="B10" s="252">
        <f>'1.Stratégie'!B8</f>
        <v>0</v>
      </c>
      <c r="C10" s="250">
        <f>'2.Equipe'!$D7</f>
        <v>0</v>
      </c>
      <c r="D10" s="250">
        <f>ROUNDUP(IF('8.Transport_DS'!$D12=0,0,'8.Transport_DS'!$D12*Data!$B$45),-2)</f>
        <v>0</v>
      </c>
      <c r="E10" s="254">
        <f>IF(AND($B10&gt;0,$C10&gt;1),Data!$H$26+'8.Transport_DS'!$K12,0)</f>
        <v>0</v>
      </c>
      <c r="F10" s="254">
        <f>IF($B10=0,0,IF(AND('1.Stratégie'!$J8&lt;1,$B10="SSD"),'8.Transport_DS'!$E$50*Data!$B$86*Data!$H$14,0))</f>
        <v>0</v>
      </c>
      <c r="G10" s="254">
        <f>IF($B10=0,0,IF(AND('1.Stratégie'!$J8&lt;1,$B10="SSD"),'8.Transport_DS'!$E$55*Data!$B$85*Data!$H$14,0))</f>
        <v>0</v>
      </c>
      <c r="H10" s="254">
        <f>IF($B10=0,0,IF(AND('1.Stratégie'!$J8&lt;1,$B10="SSD"),Data!$C$28*'3.Personnel'!$Y$38*Data!$H$13+Data!$C$30*'3.Personnel'!$Z$38*Data!$H$13+Data!$C$31*'3.Personnel'!$U$38*Data!$H$13,0))</f>
        <v>0</v>
      </c>
      <c r="I10" s="254">
        <f>IF($B10=0,0,IF(AND('1.Stratégie'!$J8&lt;1,$B10="SSD"),Data!$B$45*'8.Transport_DS'!$H$42,0))</f>
        <v>0</v>
      </c>
      <c r="J10" s="250">
        <f>IF($B10=0,0,IF(AND('1.Stratégie'!$J8&lt;1,$B10="SSD"),'14.MobSoc'!$D$15*'14.MobSoc'!$E$15*'3.Personnel'!$X$38,0))</f>
        <v>0</v>
      </c>
      <c r="K10" s="250">
        <f>IF($B10=0,0,IF(AND('1.Stratégie'!$J8&lt;1,$B10="SSD"),'14.MobSoc'!$D$17*'14.MobSoc'!$E$17*'3.Personnel'!$X$38,0))</f>
        <v>0</v>
      </c>
      <c r="L10" s="254">
        <f>IF($B10=0,0,IF(AND('1.Stratégie'!$J8&lt;1,$B10="SSD"),'14.MobSoc'!$D$22*'14.MobSoc'!$E$22,0))</f>
        <v>0</v>
      </c>
      <c r="M10" s="254">
        <f>IF($B10=0,0,IF(AND('1.Stratégie'!$J8&lt;1,$B10="SSD"),'14.MobSoc'!$D$21*'14.MobSoc'!$E$21,0))</f>
        <v>0</v>
      </c>
      <c r="N10" s="250">
        <f>'8.Transport_DS'!$K12</f>
        <v>0</v>
      </c>
      <c r="O10" s="250">
        <f>IF(AND($B10&gt;0,$C10&gt;1),Data!$H$26,0)</f>
        <v>0</v>
      </c>
      <c r="P10" s="253">
        <f>SUM(D10:O10)</f>
        <v>0</v>
      </c>
      <c r="Q10" s="253" t="str">
        <f>IFERROR(P10/C10,"")</f>
        <v/>
      </c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</row>
    <row r="11" spans="1:36" s="121" customFormat="1" ht="15" customHeight="1" x14ac:dyDescent="0.15">
      <c r="A11" s="167">
        <v>2</v>
      </c>
      <c r="B11" s="168">
        <f>'1.Stratégie'!B9</f>
        <v>0</v>
      </c>
      <c r="C11" s="169">
        <f>'2.Equipe'!$D8</f>
        <v>0</v>
      </c>
      <c r="D11" s="169">
        <f>ROUNDUP(IF('8.Transport_DS'!$D13=0,0,'8.Transport_DS'!$D13*Data!$B$45),-2)</f>
        <v>0</v>
      </c>
      <c r="E11" s="169">
        <f>IF(AND($B11&gt;0,$C11&gt;1),Data!$H$26+'8.Transport_DS'!$K13,0)</f>
        <v>0</v>
      </c>
      <c r="F11" s="238">
        <f>IF($B11=0,0,IF(AND('1.Stratégie'!$J9&lt;1,$B11="SSD"),'8.Transport_DS'!$E$50*Data!$B$86*Data!$H$14,0))</f>
        <v>0</v>
      </c>
      <c r="G11" s="169">
        <f>IF($B11=0,0,IF(AND('1.Stratégie'!$J9&lt;1,$B11="SSD"),'8.Transport_DS'!$E$55*Data!$B$85*Data!$H$14,0))</f>
        <v>0</v>
      </c>
      <c r="H11" s="169">
        <f>IF($B11=0,0,IF(AND('1.Stratégie'!$J9&lt;1,$B11="SSD"),Data!$C$28*'3.Personnel'!$Y$38*Data!$H$13+Data!$C$30*'3.Personnel'!$Z$38*Data!$H$13+Data!$C$31*'3.Personnel'!$U$38*Data!$H$13,0))</f>
        <v>0</v>
      </c>
      <c r="I11" s="169">
        <f>IF($B11=0,0,IF(AND('1.Stratégie'!$J9&lt;1,$B11="SSD"),Data!$B$45*'8.Transport_DS'!$H$42,0))</f>
        <v>0</v>
      </c>
      <c r="J11" s="169">
        <f>IF($B11=0,0,IF(AND('1.Stratégie'!$J9&lt;1,$B11="SSD"),'14.MobSoc'!$D$15*'14.MobSoc'!$E$15*'3.Personnel'!$X$38,0))</f>
        <v>0</v>
      </c>
      <c r="K11" s="169">
        <f>IF($B11=0,0,IF(AND('1.Stratégie'!$J9&lt;1,$B11="SSD"),'14.MobSoc'!$D$17*'14.MobSoc'!$E$17*'3.Personnel'!$X$38,0))</f>
        <v>0</v>
      </c>
      <c r="L11" s="170">
        <f>IF($B11=0,0,IF(AND('1.Stratégie'!$J9&lt;1,$B11="SSD"),'14.MobSoc'!$D$22*'14.MobSoc'!$E$22,0))</f>
        <v>0</v>
      </c>
      <c r="M11" s="236">
        <f>IF($B11=0,0,IF(AND('1.Stratégie'!$J9&lt;1,$B11="SSD"),'14.MobSoc'!$D$21*'14.MobSoc'!$E$21,0))</f>
        <v>0</v>
      </c>
      <c r="N11" s="168">
        <f>'8.Transport_DS'!$K13</f>
        <v>0</v>
      </c>
      <c r="O11" s="169">
        <f>IF(AND($B11&gt;0,$C11&gt;1),Data!$H$26,0)</f>
        <v>0</v>
      </c>
      <c r="P11" s="171">
        <f t="shared" ref="P11:P38" si="0">SUM(D11:O11)</f>
        <v>0</v>
      </c>
      <c r="Q11" s="171" t="str">
        <f t="shared" ref="Q11:Q38" si="1">IFERROR(P11/C11,"")</f>
        <v/>
      </c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</row>
    <row r="12" spans="1:36" s="121" customFormat="1" ht="15" customHeight="1" x14ac:dyDescent="0.15">
      <c r="A12" s="251">
        <v>3</v>
      </c>
      <c r="B12" s="252">
        <f>'1.Stratégie'!B10</f>
        <v>0</v>
      </c>
      <c r="C12" s="250">
        <f>'2.Equipe'!$D9</f>
        <v>0</v>
      </c>
      <c r="D12" s="250">
        <f>ROUNDUP(IF('8.Transport_DS'!$D14=0,0,'8.Transport_DS'!$D14*Data!$B$45),-2)</f>
        <v>0</v>
      </c>
      <c r="E12" s="250">
        <f>IF(AND($B12&gt;0,$C12&gt;1),Data!$H$26+'8.Transport_DS'!$K14,0)</f>
        <v>0</v>
      </c>
      <c r="F12" s="250">
        <f>IF($B12=0,0,IF(AND('1.Stratégie'!$J10&lt;1,$B12="SSD"),'8.Transport_DS'!$E$50*Data!$B$86*Data!$H$14,0))</f>
        <v>0</v>
      </c>
      <c r="G12" s="250">
        <f>IF($B12=0,0,IF(AND('1.Stratégie'!$J10&lt;1,$B12="SSD"),'8.Transport_DS'!$E$55*Data!$B$85*Data!$H$14,0))</f>
        <v>0</v>
      </c>
      <c r="H12" s="250">
        <f>IF($B12=0,0,IF(AND('1.Stratégie'!$J10&lt;1,$B12="SSD"),Data!$C$28*'3.Personnel'!$Y$38*Data!$H$13+Data!$C$30*'3.Personnel'!$Z$38*Data!$H$13+Data!$C$31*'3.Personnel'!$U$38*Data!$H$13,0))</f>
        <v>0</v>
      </c>
      <c r="I12" s="250">
        <f>IF($B12=0,0,IF(AND('1.Stratégie'!$J10&lt;1,$B12="SSD"),Data!$B$45*'8.Transport_DS'!$H$42,0))</f>
        <v>0</v>
      </c>
      <c r="J12" s="250">
        <f>IF($B12=0,0,IF(AND('1.Stratégie'!$J10&lt;1,$B12="SSD"),'14.MobSoc'!$D$15*'14.MobSoc'!$E$15*'3.Personnel'!$X$38,0))</f>
        <v>0</v>
      </c>
      <c r="K12" s="250">
        <f>IF($B12=0,0,IF(AND('1.Stratégie'!$J10&lt;1,$B12="SSD"),'14.MobSoc'!$D$17*'14.MobSoc'!$E$17*'3.Personnel'!$X$38,0))</f>
        <v>0</v>
      </c>
      <c r="L12" s="250">
        <f>IF($B12=0,0,IF(AND('1.Stratégie'!$J10&lt;1,$B12="SSD"),'14.MobSoc'!$D$22*'14.MobSoc'!$E$22,0))</f>
        <v>0</v>
      </c>
      <c r="M12" s="250">
        <f>IF($B12=0,0,IF(AND('1.Stratégie'!$J10&lt;1,$B12="SSD"),'14.MobSoc'!$D$21*'14.MobSoc'!$E$21,0))</f>
        <v>0</v>
      </c>
      <c r="N12" s="252">
        <f>'8.Transport_DS'!$K14</f>
        <v>0</v>
      </c>
      <c r="O12" s="250">
        <f>IF(AND($B12&gt;0,$C12&gt;1),Data!$H$26,0)</f>
        <v>0</v>
      </c>
      <c r="P12" s="253">
        <f t="shared" si="0"/>
        <v>0</v>
      </c>
      <c r="Q12" s="253" t="str">
        <f t="shared" si="1"/>
        <v/>
      </c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</row>
    <row r="13" spans="1:36" s="121" customFormat="1" ht="15" customHeight="1" x14ac:dyDescent="0.15">
      <c r="A13" s="167">
        <v>4</v>
      </c>
      <c r="B13" s="168">
        <f>'1.Stratégie'!B11</f>
        <v>0</v>
      </c>
      <c r="C13" s="169">
        <f>'2.Equipe'!$D10</f>
        <v>0</v>
      </c>
      <c r="D13" s="169">
        <f>ROUNDUP(IF('8.Transport_DS'!$D15=0,0,'8.Transport_DS'!$D15*Data!$B$45),-2)</f>
        <v>0</v>
      </c>
      <c r="E13" s="169">
        <f>IF(AND($B13&gt;0,$C13&gt;1),Data!$H$26+'8.Transport_DS'!$K15,0)</f>
        <v>0</v>
      </c>
      <c r="F13" s="169">
        <f>IF($B13=0,0,IF(AND('1.Stratégie'!$J11&lt;1,$B13="SSD"),'8.Transport_DS'!$E$50*Data!$B$86*Data!$H$14,0))</f>
        <v>0</v>
      </c>
      <c r="G13" s="169">
        <f>IF($B13=0,0,IF(AND('1.Stratégie'!$J11&lt;1,$B13="SSD"),'8.Transport_DS'!$E$55*Data!$B$85*Data!$H$14,0))</f>
        <v>0</v>
      </c>
      <c r="H13" s="169">
        <f>IF($B13=0,0,IF(AND('1.Stratégie'!$J11&lt;1,$B13="SSD"),Data!$C$28*'3.Personnel'!$Y$38*Data!$H$13+Data!$C$30*'3.Personnel'!$Z$38*Data!$H$13+Data!$C$31*'3.Personnel'!$U$38*Data!$H$13,0))</f>
        <v>0</v>
      </c>
      <c r="I13" s="169">
        <f>IF($B13=0,0,IF(AND('1.Stratégie'!$J11&lt;1,$B13="SSD"),Data!$B$45*'8.Transport_DS'!$H$42,0))</f>
        <v>0</v>
      </c>
      <c r="J13" s="169">
        <f>IF($B13=0,0,IF(AND('1.Stratégie'!$J11&lt;1,$B13="SSD"),'14.MobSoc'!$D$15*'14.MobSoc'!$E$15*'3.Personnel'!$X$38,0))</f>
        <v>0</v>
      </c>
      <c r="K13" s="169">
        <f>IF($B13=0,0,IF(AND('1.Stratégie'!$J11&lt;1,$B13="SSD"),'14.MobSoc'!$D$17*'14.MobSoc'!$E$17*'3.Personnel'!$X$38,0))</f>
        <v>0</v>
      </c>
      <c r="L13" s="170">
        <f>IF($B13=0,0,IF(AND('1.Stratégie'!$J11&lt;1,$B13="SSD"),'14.MobSoc'!$D$22*'14.MobSoc'!$E$22,0))</f>
        <v>0</v>
      </c>
      <c r="M13" s="236">
        <f>IF($B13=0,0,IF(AND('1.Stratégie'!$J11&lt;1,$B13="SSD"),'14.MobSoc'!$D$21*'14.MobSoc'!$E$21,0))</f>
        <v>0</v>
      </c>
      <c r="N13" s="168">
        <f>'8.Transport_DS'!$K15</f>
        <v>0</v>
      </c>
      <c r="O13" s="169">
        <f>IF(AND($B13&gt;0,$C13&gt;1),Data!$H$26,0)</f>
        <v>0</v>
      </c>
      <c r="P13" s="171">
        <f t="shared" si="0"/>
        <v>0</v>
      </c>
      <c r="Q13" s="171" t="str">
        <f t="shared" si="1"/>
        <v/>
      </c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</row>
    <row r="14" spans="1:36" s="121" customFormat="1" ht="15" customHeight="1" x14ac:dyDescent="0.15">
      <c r="A14" s="251">
        <v>5</v>
      </c>
      <c r="B14" s="252">
        <f>'1.Stratégie'!B12</f>
        <v>0</v>
      </c>
      <c r="C14" s="250">
        <f>'2.Equipe'!$D11</f>
        <v>0</v>
      </c>
      <c r="D14" s="250">
        <f>ROUNDUP(IF('8.Transport_DS'!$D16=0,0,'8.Transport_DS'!$D16*Data!$B$45),-2)</f>
        <v>0</v>
      </c>
      <c r="E14" s="250">
        <f>IF(AND($B14&gt;0,$C14&gt;1),Data!$H$26+'8.Transport_DS'!$K16,0)</f>
        <v>0</v>
      </c>
      <c r="F14" s="250">
        <f>IF($B14=0,0,IF(AND('1.Stratégie'!$J12&lt;1,$B14="SSD"),'8.Transport_DS'!$E$50*Data!$B$86*Data!$H$14,0))</f>
        <v>0</v>
      </c>
      <c r="G14" s="250">
        <f>IF($B14=0,0,IF(AND('1.Stratégie'!$J12&lt;1,$B14="SSD"),'8.Transport_DS'!$E$55*Data!$B$85*Data!$H$14,0))</f>
        <v>0</v>
      </c>
      <c r="H14" s="250">
        <f>IF($B14=0,0,IF(AND('1.Stratégie'!$J12&lt;1,$B14="SSD"),Data!$C$28*'3.Personnel'!$Y$38*Data!$H$13+Data!$C$30*'3.Personnel'!$Z$38*Data!$H$13+Data!$C$31*'3.Personnel'!$U$38*Data!$H$13,0))</f>
        <v>0</v>
      </c>
      <c r="I14" s="250">
        <f>IF($B14=0,0,IF(AND('1.Stratégie'!$J12&lt;1,$B14="SSD"),Data!$B$45*'8.Transport_DS'!$H$42,0))</f>
        <v>0</v>
      </c>
      <c r="J14" s="250">
        <f>IF($B14=0,0,IF(AND('1.Stratégie'!$J12&lt;1,$B14="SSD"),'14.MobSoc'!$D$15*'14.MobSoc'!$E$15*'3.Personnel'!$X$38,0))</f>
        <v>0</v>
      </c>
      <c r="K14" s="250">
        <f>IF($B14=0,0,IF(AND('1.Stratégie'!$J12&lt;1,$B14="SSD"),'14.MobSoc'!$D$17*'14.MobSoc'!$E$17*'3.Personnel'!$X$38,0))</f>
        <v>0</v>
      </c>
      <c r="L14" s="250">
        <f>IF($B14=0,0,IF(AND('1.Stratégie'!$J12&lt;1,$B14="SSD"),'14.MobSoc'!$D$22*'14.MobSoc'!$E$22,0))</f>
        <v>0</v>
      </c>
      <c r="M14" s="250">
        <f>IF($B14=0,0,IF(AND('1.Stratégie'!$J12&lt;1,$B14="SSD"),'14.MobSoc'!$D$21*'14.MobSoc'!$E$21,0))</f>
        <v>0</v>
      </c>
      <c r="N14" s="252">
        <f>'8.Transport_DS'!$K16</f>
        <v>0</v>
      </c>
      <c r="O14" s="250">
        <f>IF(AND($B14&gt;0,$C14&gt;1),Data!$H$26,0)</f>
        <v>0</v>
      </c>
      <c r="P14" s="253">
        <f t="shared" si="0"/>
        <v>0</v>
      </c>
      <c r="Q14" s="253" t="str">
        <f t="shared" si="1"/>
        <v/>
      </c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</row>
    <row r="15" spans="1:36" s="121" customFormat="1" ht="15" customHeight="1" x14ac:dyDescent="0.15">
      <c r="A15" s="167">
        <v>6</v>
      </c>
      <c r="B15" s="168">
        <f>'1.Stratégie'!B13</f>
        <v>0</v>
      </c>
      <c r="C15" s="169">
        <f>'2.Equipe'!$D12</f>
        <v>0</v>
      </c>
      <c r="D15" s="169">
        <f>ROUNDUP(IF('8.Transport_DS'!$D17=0,0,'8.Transport_DS'!$D17*Data!$B$45),-2)</f>
        <v>0</v>
      </c>
      <c r="E15" s="169">
        <f>IF(AND($B15&gt;0,$C15&gt;1),Data!$H$26+'8.Transport_DS'!$K17,0)</f>
        <v>0</v>
      </c>
      <c r="F15" s="169">
        <f>IF($B15=0,0,IF(AND('1.Stratégie'!$J13&lt;1,$B15="SSD"),'8.Transport_DS'!$E$50*Data!$B$86*Data!$H$14,0))</f>
        <v>0</v>
      </c>
      <c r="G15" s="169">
        <f>IF($B15=0,0,IF(AND('1.Stratégie'!$J13&lt;1,$B15="SSD"),'8.Transport_DS'!$E$55*Data!$B$85*Data!$H$14,0))</f>
        <v>0</v>
      </c>
      <c r="H15" s="169">
        <f>IF($B15=0,0,IF(AND('1.Stratégie'!$J13&lt;1,$B15="SSD"),Data!$C$28*'3.Personnel'!$Y$38*Data!$H$13+Data!$C$30*'3.Personnel'!$Z$38*Data!$H$13+Data!$C$31*'3.Personnel'!$U$38*Data!$H$13,0))</f>
        <v>0</v>
      </c>
      <c r="I15" s="169">
        <f>IF($B15=0,0,IF(AND('1.Stratégie'!$J13&lt;1,$B15="SSD"),Data!$B$45*'8.Transport_DS'!$H$42,0))</f>
        <v>0</v>
      </c>
      <c r="J15" s="169">
        <f>IF($B15=0,0,IF(AND('1.Stratégie'!$J13&lt;1,$B15="SSD"),'14.MobSoc'!$D$15*'14.MobSoc'!$E$15*'3.Personnel'!$X$38,0))</f>
        <v>0</v>
      </c>
      <c r="K15" s="169">
        <f>IF($B15=0,0,IF(AND('1.Stratégie'!$J13&lt;1,$B15="SSD"),'14.MobSoc'!$D$17*'14.MobSoc'!$E$17*'3.Personnel'!$X$38,0))</f>
        <v>0</v>
      </c>
      <c r="L15" s="170">
        <f>IF($B15=0,0,IF(AND('1.Stratégie'!$J13&lt;1,$B15="SSD"),'14.MobSoc'!$D$22*'14.MobSoc'!$E$22,0))</f>
        <v>0</v>
      </c>
      <c r="M15" s="236">
        <f>IF($B15=0,0,IF(AND('1.Stratégie'!$J13&lt;1,$B15="SSD"),'14.MobSoc'!$D$21*'14.MobSoc'!$E$21,0))</f>
        <v>0</v>
      </c>
      <c r="N15" s="168">
        <f>'8.Transport_DS'!$K17</f>
        <v>0</v>
      </c>
      <c r="O15" s="169">
        <f>IF(AND($B15&gt;0,$C15&gt;1),Data!$H$26,0)</f>
        <v>0</v>
      </c>
      <c r="P15" s="171">
        <f t="shared" si="0"/>
        <v>0</v>
      </c>
      <c r="Q15" s="171" t="str">
        <f t="shared" si="1"/>
        <v/>
      </c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</row>
    <row r="16" spans="1:36" s="121" customFormat="1" ht="15" customHeight="1" x14ac:dyDescent="0.15">
      <c r="A16" s="251">
        <v>7</v>
      </c>
      <c r="B16" s="252">
        <f>'1.Stratégie'!B14</f>
        <v>0</v>
      </c>
      <c r="C16" s="250">
        <f>'2.Equipe'!$D13</f>
        <v>0</v>
      </c>
      <c r="D16" s="250">
        <f>ROUNDUP(IF('8.Transport_DS'!$D18=0,0,'8.Transport_DS'!$D18*Data!$B$45),-2)</f>
        <v>0</v>
      </c>
      <c r="E16" s="250">
        <f>IF(AND($B16&gt;0,$C16&gt;1),Data!$H$26+'8.Transport_DS'!$K18,0)</f>
        <v>0</v>
      </c>
      <c r="F16" s="250">
        <f>IF($B16=0,0,IF(AND('1.Stratégie'!$J14&lt;1,$B16="SSD"),'8.Transport_DS'!$E$50*Data!$B$86*Data!$H$14,0))</f>
        <v>0</v>
      </c>
      <c r="G16" s="250">
        <f>IF($B16=0,0,IF(AND('1.Stratégie'!$J14&lt;1,$B16="SSD"),'8.Transport_DS'!$E$55*Data!$B$85*Data!$H$14,0))</f>
        <v>0</v>
      </c>
      <c r="H16" s="250">
        <f>IF($B16=0,0,IF(AND('1.Stratégie'!$J14&lt;1,$B16="SSD"),Data!$C$28*'3.Personnel'!$Y$38*Data!$H$13+Data!$C$30*'3.Personnel'!$Z$38*Data!$H$13+Data!$C$31*'3.Personnel'!$U$38*Data!$H$13,0))</f>
        <v>0</v>
      </c>
      <c r="I16" s="250">
        <f>IF($B16=0,0,IF(AND('1.Stratégie'!$J14&lt;1,$B16="SSD"),Data!$B$45*'8.Transport_DS'!$H$42,0))</f>
        <v>0</v>
      </c>
      <c r="J16" s="250">
        <f>IF($B16=0,0,IF(AND('1.Stratégie'!$J14&lt;1,$B16="SSD"),'14.MobSoc'!$D$15*'14.MobSoc'!$E$15*'3.Personnel'!$X$38,0))</f>
        <v>0</v>
      </c>
      <c r="K16" s="250">
        <f>IF($B16=0,0,IF(AND('1.Stratégie'!$J14&lt;1,$B16="SSD"),'14.MobSoc'!$D$17*'14.MobSoc'!$E$17*'3.Personnel'!$X$38,0))</f>
        <v>0</v>
      </c>
      <c r="L16" s="250">
        <f>IF($B16=0,0,IF(AND('1.Stratégie'!$J14&lt;1,$B16="SSD"),'14.MobSoc'!$D$22*'14.MobSoc'!$E$22,0))</f>
        <v>0</v>
      </c>
      <c r="M16" s="250">
        <f>IF($B16=0,0,IF(AND('1.Stratégie'!$J14&lt;1,$B16="SSD"),'14.MobSoc'!$D$21*'14.MobSoc'!$E$21,0))</f>
        <v>0</v>
      </c>
      <c r="N16" s="252">
        <f>'8.Transport_DS'!$K18</f>
        <v>0</v>
      </c>
      <c r="O16" s="250">
        <f>IF(AND($B16&gt;0,$C16&gt;1),Data!$H$26,0)</f>
        <v>0</v>
      </c>
      <c r="P16" s="253">
        <f t="shared" si="0"/>
        <v>0</v>
      </c>
      <c r="Q16" s="253" t="str">
        <f t="shared" si="1"/>
        <v/>
      </c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</row>
    <row r="17" spans="1:36" s="121" customFormat="1" ht="15" customHeight="1" x14ac:dyDescent="0.15">
      <c r="A17" s="167">
        <v>8</v>
      </c>
      <c r="B17" s="168">
        <f>'1.Stratégie'!B15</f>
        <v>0</v>
      </c>
      <c r="C17" s="169">
        <f>'2.Equipe'!$D14</f>
        <v>0</v>
      </c>
      <c r="D17" s="169">
        <f>ROUNDUP(IF('8.Transport_DS'!$D19=0,0,'8.Transport_DS'!$D19*Data!$B$45),-2)</f>
        <v>0</v>
      </c>
      <c r="E17" s="169">
        <f>IF(AND($B17&gt;0,$C17&gt;1),Data!$H$26+'8.Transport_DS'!$K19,0)</f>
        <v>0</v>
      </c>
      <c r="F17" s="169">
        <f>IF($B17=0,0,IF(AND('1.Stratégie'!$J15&lt;1,$B17="SSD"),'8.Transport_DS'!$E$50*Data!$B$86*Data!$H$14,0))</f>
        <v>0</v>
      </c>
      <c r="G17" s="169">
        <f>IF($B17=0,0,IF(AND('1.Stratégie'!$J15&lt;1,$B17="SSD"),'8.Transport_DS'!$E$55*Data!$B$85*Data!$H$14,0))</f>
        <v>0</v>
      </c>
      <c r="H17" s="169">
        <f>IF($B17=0,0,IF(AND('1.Stratégie'!$J15&lt;1,$B17="SSD"),Data!$C$28*'3.Personnel'!$Y$38*Data!$H$13+Data!$C$30*'3.Personnel'!$Z$38*Data!$H$13+Data!$C$31*'3.Personnel'!$U$38*Data!$H$13,0))</f>
        <v>0</v>
      </c>
      <c r="I17" s="169">
        <f>IF($B17=0,0,IF(AND('1.Stratégie'!$J15&lt;1,$B17="SSD"),Data!$B$45*'8.Transport_DS'!$H$42,0))</f>
        <v>0</v>
      </c>
      <c r="J17" s="169">
        <f>IF($B17=0,0,IF(AND('1.Stratégie'!$J15&lt;1,$B17="SSD"),'14.MobSoc'!$D$15*'14.MobSoc'!$E$15*'3.Personnel'!$X$38,0))</f>
        <v>0</v>
      </c>
      <c r="K17" s="169">
        <f>IF($B17=0,0,IF(AND('1.Stratégie'!$J15&lt;1,$B17="SSD"),'14.MobSoc'!$D$17*'14.MobSoc'!$E$17*'3.Personnel'!$X$38,0))</f>
        <v>0</v>
      </c>
      <c r="L17" s="170">
        <f>IF($B17=0,0,IF(AND('1.Stratégie'!$J15&lt;1,$B17="SSD"),'14.MobSoc'!$D$22*'14.MobSoc'!$E$22,0))</f>
        <v>0</v>
      </c>
      <c r="M17" s="236">
        <f>IF($B17=0,0,IF(AND('1.Stratégie'!$J15&lt;1,$B17="SSD"),'14.MobSoc'!$D$21*'14.MobSoc'!$E$21,0))</f>
        <v>0</v>
      </c>
      <c r="N17" s="168">
        <f>'8.Transport_DS'!$K19</f>
        <v>0</v>
      </c>
      <c r="O17" s="169">
        <f>IF(AND($B17&gt;0,$C17&gt;1),Data!$H$26,0)</f>
        <v>0</v>
      </c>
      <c r="P17" s="171">
        <f t="shared" si="0"/>
        <v>0</v>
      </c>
      <c r="Q17" s="171" t="str">
        <f t="shared" si="1"/>
        <v/>
      </c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</row>
    <row r="18" spans="1:36" s="121" customFormat="1" ht="15" customHeight="1" x14ac:dyDescent="0.15">
      <c r="A18" s="251">
        <v>9</v>
      </c>
      <c r="B18" s="252">
        <f>'1.Stratégie'!B16</f>
        <v>0</v>
      </c>
      <c r="C18" s="250">
        <f>'2.Equipe'!$D15</f>
        <v>0</v>
      </c>
      <c r="D18" s="250">
        <f>ROUNDUP(IF('8.Transport_DS'!$D20=0,0,'8.Transport_DS'!$D20*Data!$B$45),-2)</f>
        <v>0</v>
      </c>
      <c r="E18" s="250">
        <f>IF(AND($B18&gt;0,$C18&gt;1),Data!$H$26+'8.Transport_DS'!$K20,0)</f>
        <v>0</v>
      </c>
      <c r="F18" s="250">
        <f>IF($B18=0,0,IF(AND('1.Stratégie'!$J16&lt;1,$B18="SSD"),'8.Transport_DS'!$E$50*Data!$B$86*Data!$H$14,0))</f>
        <v>0</v>
      </c>
      <c r="G18" s="250">
        <f>IF($B18=0,0,IF(AND('1.Stratégie'!$J16&lt;1,$B18="SSD"),'8.Transport_DS'!$E$55*Data!$B$85*Data!$H$14,0))</f>
        <v>0</v>
      </c>
      <c r="H18" s="250">
        <f>IF($B18=0,0,IF(AND('1.Stratégie'!$J16&lt;1,$B18="SSD"),Data!$C$28*'3.Personnel'!$Y$38*Data!$H$13+Data!$C$30*'3.Personnel'!$Z$38*Data!$H$13+Data!$C$31*'3.Personnel'!$U$38*Data!$H$13,0))</f>
        <v>0</v>
      </c>
      <c r="I18" s="250">
        <f>IF($B18=0,0,IF(AND('1.Stratégie'!$J16&lt;1,$B18="SSD"),Data!$B$45*'8.Transport_DS'!$H$42,0))</f>
        <v>0</v>
      </c>
      <c r="J18" s="250">
        <f>IF($B18=0,0,IF(AND('1.Stratégie'!$J16&lt;1,$B18="SSD"),'14.MobSoc'!$D$15*'14.MobSoc'!$E$15*'3.Personnel'!$X$38,0))</f>
        <v>0</v>
      </c>
      <c r="K18" s="250">
        <f>IF($B18=0,0,IF(AND('1.Stratégie'!$J16&lt;1,$B18="SSD"),'14.MobSoc'!$D$17*'14.MobSoc'!$E$17*'3.Personnel'!$X$38,0))</f>
        <v>0</v>
      </c>
      <c r="L18" s="255">
        <f>IF($B18=0,0,IF(AND('1.Stratégie'!$J16&lt;1,$B18="SSD"),'14.MobSoc'!$D$22*'14.MobSoc'!$E$22,0))</f>
        <v>0</v>
      </c>
      <c r="M18" s="256">
        <f>IF($B18=0,0,IF(AND('1.Stratégie'!$J16&lt;1,$B18="SSD"),'14.MobSoc'!$D$21*'14.MobSoc'!$E$21,0))</f>
        <v>0</v>
      </c>
      <c r="N18" s="252">
        <f>'8.Transport_DS'!$K20</f>
        <v>0</v>
      </c>
      <c r="O18" s="250">
        <f>IF(AND($B18&gt;0,$C18&gt;1),Data!$H$26,0)</f>
        <v>0</v>
      </c>
      <c r="P18" s="253">
        <f t="shared" si="0"/>
        <v>0</v>
      </c>
      <c r="Q18" s="253" t="str">
        <f t="shared" si="1"/>
        <v/>
      </c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</row>
    <row r="19" spans="1:36" s="121" customFormat="1" ht="15" customHeight="1" x14ac:dyDescent="0.15">
      <c r="A19" s="167">
        <v>10</v>
      </c>
      <c r="B19" s="168">
        <f>'1.Stratégie'!B17</f>
        <v>0</v>
      </c>
      <c r="C19" s="169">
        <f>'2.Equipe'!$D16</f>
        <v>0</v>
      </c>
      <c r="D19" s="169">
        <f>ROUNDUP(IF('8.Transport_DS'!$D21=0,0,'8.Transport_DS'!$D21*Data!$B$45),-2)</f>
        <v>0</v>
      </c>
      <c r="E19" s="169">
        <f>IF(AND($B19&gt;0,$C19&gt;1),Data!$H$26+'8.Transport_DS'!$K21,0)</f>
        <v>0</v>
      </c>
      <c r="F19" s="169">
        <f>IF($B19=0,0,IF(AND('1.Stratégie'!$J17&lt;1,$B19="SSD"),'8.Transport_DS'!$E$50*Data!$B$86*Data!$H$14,0))</f>
        <v>0</v>
      </c>
      <c r="G19" s="169">
        <f>IF($B19=0,0,IF(AND('1.Stratégie'!$J17&lt;1,$B19="SSD"),'8.Transport_DS'!$E$55*Data!$B$85*Data!$H$14,0))</f>
        <v>0</v>
      </c>
      <c r="H19" s="169">
        <f>IF($B19=0,0,IF(AND('1.Stratégie'!$J17&lt;1,$B19="SSD"),Data!$C$28*'3.Personnel'!$Y$38*Data!$H$13+Data!$C$30*'3.Personnel'!$Z$38*Data!$H$13+Data!$C$31*'3.Personnel'!$U$38*Data!$H$13,0))</f>
        <v>0</v>
      </c>
      <c r="I19" s="169">
        <f>IF($B19=0,0,IF(AND('1.Stratégie'!$J17&lt;1,$B19="SSD"),Data!$B$45*'8.Transport_DS'!$H$42,0))</f>
        <v>0</v>
      </c>
      <c r="J19" s="169">
        <f>IF($B19=0,0,IF(AND('1.Stratégie'!$J17&lt;1,$B19="SSD"),'14.MobSoc'!$D$15*'14.MobSoc'!$E$15*'3.Personnel'!$X$38,0))</f>
        <v>0</v>
      </c>
      <c r="K19" s="169">
        <f>IF($B19=0,0,IF(AND('1.Stratégie'!$J17&lt;1,$B19="SSD"),'14.MobSoc'!$D$17*'14.MobSoc'!$E$17*'3.Personnel'!$X$38,0))</f>
        <v>0</v>
      </c>
      <c r="L19" s="170">
        <f>IF($B19=0,0,IF(AND('1.Stratégie'!$J17&lt;1,$B19="SSD"),'14.MobSoc'!$D$22*'14.MobSoc'!$E$22,0))</f>
        <v>0</v>
      </c>
      <c r="M19" s="236">
        <f>IF($B19=0,0,IF(AND('1.Stratégie'!$J17&lt;1,$B19="SSD"),'14.MobSoc'!$D$21*'14.MobSoc'!$E$21,0))</f>
        <v>0</v>
      </c>
      <c r="N19" s="168">
        <f>'8.Transport_DS'!$K21</f>
        <v>0</v>
      </c>
      <c r="O19" s="169">
        <f>IF(AND($B19&gt;0,$C19&gt;1),Data!$H$26,0)</f>
        <v>0</v>
      </c>
      <c r="P19" s="171">
        <f t="shared" si="0"/>
        <v>0</v>
      </c>
      <c r="Q19" s="171" t="str">
        <f t="shared" si="1"/>
        <v/>
      </c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</row>
    <row r="20" spans="1:36" s="121" customFormat="1" ht="15" customHeight="1" x14ac:dyDescent="0.15">
      <c r="A20" s="251">
        <v>11</v>
      </c>
      <c r="B20" s="252">
        <f>'1.Stratégie'!B18</f>
        <v>0</v>
      </c>
      <c r="C20" s="250">
        <f>'2.Equipe'!$D17</f>
        <v>0</v>
      </c>
      <c r="D20" s="250">
        <f>ROUNDUP(IF('8.Transport_DS'!$D22=0,0,'8.Transport_DS'!$D22*Data!$B$45),-2)</f>
        <v>0</v>
      </c>
      <c r="E20" s="250">
        <f>IF(AND($B20&gt;0,$C20&gt;1),Data!$H$26+'8.Transport_DS'!$K22,0)</f>
        <v>0</v>
      </c>
      <c r="F20" s="250">
        <f>IF($B20=0,0,IF(AND('1.Stratégie'!$J18&lt;1,$B20="SSD"),'8.Transport_DS'!$E$50*Data!$B$86*Data!$H$14,0))</f>
        <v>0</v>
      </c>
      <c r="G20" s="250">
        <f>IF($B20=0,0,IF(AND('1.Stratégie'!$J18&lt;1,$B20="SSD"),'8.Transport_DS'!$E$55*Data!$B$85*Data!$H$14,0))</f>
        <v>0</v>
      </c>
      <c r="H20" s="250">
        <f>IF($B20=0,0,IF(AND('1.Stratégie'!$J18&lt;1,$B20="SSD"),Data!$C$28*'3.Personnel'!$Y$38*Data!$H$13+Data!$C$30*'3.Personnel'!$Z$38*Data!$H$13+Data!$C$31*'3.Personnel'!$U$38*Data!$H$13,0))</f>
        <v>0</v>
      </c>
      <c r="I20" s="250">
        <f>IF($B20=0,0,IF(AND('1.Stratégie'!$J18&lt;1,$B20="SSD"),Data!$B$45*'8.Transport_DS'!$H$42,0))</f>
        <v>0</v>
      </c>
      <c r="J20" s="250">
        <f>IF($B20=0,0,IF(AND('1.Stratégie'!$J18&lt;1,$B20="SSD"),'14.MobSoc'!$D$15*'14.MobSoc'!$E$15*'3.Personnel'!$X$38,0))</f>
        <v>0</v>
      </c>
      <c r="K20" s="250">
        <f>IF($B20=0,0,IF(AND('1.Stratégie'!$J18&lt;1,$B20="SSD"),'14.MobSoc'!$D$17*'14.MobSoc'!$E$17*'3.Personnel'!$X$38,0))</f>
        <v>0</v>
      </c>
      <c r="L20" s="255">
        <f>IF($B20=0,0,IF(AND('1.Stratégie'!$J18&lt;1,$B20="SSD"),'14.MobSoc'!$D$22*'14.MobSoc'!$E$22,0))</f>
        <v>0</v>
      </c>
      <c r="M20" s="256">
        <f>IF($B20=0,0,IF(AND('1.Stratégie'!$J18&lt;1,$B20="SSD"),'14.MobSoc'!$D$21*'14.MobSoc'!$E$21,0))</f>
        <v>0</v>
      </c>
      <c r="N20" s="252">
        <f>'8.Transport_DS'!$K22</f>
        <v>0</v>
      </c>
      <c r="O20" s="250">
        <f>IF(AND($B20&gt;0,$C20&gt;1),Data!$H$26,0)</f>
        <v>0</v>
      </c>
      <c r="P20" s="253">
        <f t="shared" si="0"/>
        <v>0</v>
      </c>
      <c r="Q20" s="253" t="str">
        <f t="shared" si="1"/>
        <v/>
      </c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</row>
    <row r="21" spans="1:36" s="121" customFormat="1" ht="15" customHeight="1" x14ac:dyDescent="0.15">
      <c r="A21" s="167">
        <v>12</v>
      </c>
      <c r="B21" s="168">
        <f>'1.Stratégie'!B19</f>
        <v>0</v>
      </c>
      <c r="C21" s="169">
        <f>'2.Equipe'!$D18</f>
        <v>0</v>
      </c>
      <c r="D21" s="169">
        <f>ROUNDUP(IF('8.Transport_DS'!$D23=0,0,'8.Transport_DS'!$D23*Data!$B$45),-2)</f>
        <v>0</v>
      </c>
      <c r="E21" s="169">
        <f>IF(AND($B21&gt;0,$C21&gt;1),Data!$H$26+'8.Transport_DS'!$K23,0)</f>
        <v>0</v>
      </c>
      <c r="F21" s="169">
        <f>IF($B21=0,0,IF(AND('1.Stratégie'!$J19&lt;1,$B21="SSD"),'8.Transport_DS'!$E$50*Data!$B$86*Data!$H$14,0))</f>
        <v>0</v>
      </c>
      <c r="G21" s="169">
        <f>IF($B21=0,0,IF(AND('1.Stratégie'!$J19&lt;1,$B21="SSD"),'8.Transport_DS'!$E$55*Data!$B$85*Data!$H$14,0))</f>
        <v>0</v>
      </c>
      <c r="H21" s="169">
        <f>IF($B21=0,0,IF(AND('1.Stratégie'!$J19&lt;1,$B21="SSD"),Data!$C$28*'3.Personnel'!$Y$38*Data!$H$13+Data!$C$30*'3.Personnel'!$Z$38*Data!$H$13+Data!$C$31*'3.Personnel'!$U$38*Data!$H$13,0))</f>
        <v>0</v>
      </c>
      <c r="I21" s="169">
        <f>IF($B21=0,0,IF(AND('1.Stratégie'!$J19&lt;1,$B21="SSD"),Data!$B$45*'8.Transport_DS'!$H$42,0))</f>
        <v>0</v>
      </c>
      <c r="J21" s="169">
        <f>IF($B21=0,0,IF(AND('1.Stratégie'!$J19&lt;1,$B21="SSD"),'14.MobSoc'!$D$15*'14.MobSoc'!$E$15*'3.Personnel'!$X$38,0))</f>
        <v>0</v>
      </c>
      <c r="K21" s="169">
        <f>IF($B21=0,0,IF(AND('1.Stratégie'!$J19&lt;1,$B21="SSD"),'14.MobSoc'!$D$17*'14.MobSoc'!$E$17*'3.Personnel'!$X$38,0))</f>
        <v>0</v>
      </c>
      <c r="L21" s="170">
        <f>IF($B21=0,0,IF(AND('1.Stratégie'!$J19&lt;1,$B21="SSD"),'14.MobSoc'!$D$22*'14.MobSoc'!$E$22,0))</f>
        <v>0</v>
      </c>
      <c r="M21" s="236">
        <f>IF($B21=0,0,IF(AND('1.Stratégie'!$J19&lt;1,$B21="SSD"),'14.MobSoc'!$D$21*'14.MobSoc'!$E$21,0))</f>
        <v>0</v>
      </c>
      <c r="N21" s="168">
        <f>'8.Transport_DS'!$K23</f>
        <v>0</v>
      </c>
      <c r="O21" s="169">
        <f>IF(AND($B21&gt;0,$C21&gt;1),Data!$H$26,0)</f>
        <v>0</v>
      </c>
      <c r="P21" s="171">
        <f t="shared" si="0"/>
        <v>0</v>
      </c>
      <c r="Q21" s="171" t="str">
        <f t="shared" si="1"/>
        <v/>
      </c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</row>
    <row r="22" spans="1:36" s="121" customFormat="1" ht="15" customHeight="1" x14ac:dyDescent="0.15">
      <c r="A22" s="251">
        <v>13</v>
      </c>
      <c r="B22" s="252">
        <f>'1.Stratégie'!B20</f>
        <v>0</v>
      </c>
      <c r="C22" s="250">
        <f>'2.Equipe'!$D19</f>
        <v>0</v>
      </c>
      <c r="D22" s="250">
        <f>ROUNDUP(IF('8.Transport_DS'!$D24=0,0,'8.Transport_DS'!$D24*Data!$B$45),-2)</f>
        <v>0</v>
      </c>
      <c r="E22" s="250">
        <f>IF(AND($B22&gt;0,$C22&gt;1),Data!$H$26+'8.Transport_DS'!$K24,0)</f>
        <v>0</v>
      </c>
      <c r="F22" s="250">
        <f>IF($B22=0,0,IF(AND('1.Stratégie'!$J20&lt;1,$B22="SSD"),'8.Transport_DS'!$E$50*Data!$B$86*Data!$H$14,0))</f>
        <v>0</v>
      </c>
      <c r="G22" s="250">
        <f>IF($B22=0,0,IF(AND('1.Stratégie'!$J20&lt;1,$B22="SSD"),'8.Transport_DS'!$E$55*Data!$B$85*Data!$H$14,0))</f>
        <v>0</v>
      </c>
      <c r="H22" s="250">
        <f>IF($B22=0,0,IF(AND('1.Stratégie'!$J20&lt;1,$B22="SSD"),Data!$C$28*'3.Personnel'!$Y$38*Data!$H$13+Data!$C$30*'3.Personnel'!$Z$38*Data!$H$13+Data!$C$31*'3.Personnel'!$U$38*Data!$H$13,0))</f>
        <v>0</v>
      </c>
      <c r="I22" s="250">
        <f>IF($B22=0,0,IF(AND('1.Stratégie'!$J20&lt;1,$B22="SSD"),Data!$B$45*'8.Transport_DS'!$H$42,0))</f>
        <v>0</v>
      </c>
      <c r="J22" s="250">
        <f>IF($B22=0,0,IF(AND('1.Stratégie'!$J20&lt;1,$B22="SSD"),'14.MobSoc'!$D$15*'14.MobSoc'!$E$15*'3.Personnel'!$X$38,0))</f>
        <v>0</v>
      </c>
      <c r="K22" s="250">
        <f>IF($B22=0,0,IF(AND('1.Stratégie'!$J20&lt;1,$B22="SSD"),'14.MobSoc'!$D$17*'14.MobSoc'!$E$17*'3.Personnel'!$X$38,0))</f>
        <v>0</v>
      </c>
      <c r="L22" s="255">
        <f>IF($B22=0,0,IF(AND('1.Stratégie'!$J20&lt;1,$B22="SSD"),'14.MobSoc'!$D$22*'14.MobSoc'!$E$22,0))</f>
        <v>0</v>
      </c>
      <c r="M22" s="256">
        <f>IF($B22=0,0,IF(AND('1.Stratégie'!$J20&lt;1,$B22="SSD"),'14.MobSoc'!$D$21*'14.MobSoc'!$E$21,0))</f>
        <v>0</v>
      </c>
      <c r="N22" s="252">
        <f>'8.Transport_DS'!$K24</f>
        <v>0</v>
      </c>
      <c r="O22" s="250">
        <f>IF(AND($B22&gt;0,$C22&gt;1),Data!$H$26,0)</f>
        <v>0</v>
      </c>
      <c r="P22" s="253">
        <f t="shared" si="0"/>
        <v>0</v>
      </c>
      <c r="Q22" s="253" t="str">
        <f t="shared" si="1"/>
        <v/>
      </c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</row>
    <row r="23" spans="1:36" s="121" customFormat="1" ht="15" customHeight="1" x14ac:dyDescent="0.15">
      <c r="A23" s="167">
        <v>14</v>
      </c>
      <c r="B23" s="168">
        <f>'1.Stratégie'!B21</f>
        <v>0</v>
      </c>
      <c r="C23" s="169">
        <f>'2.Equipe'!$D20</f>
        <v>0</v>
      </c>
      <c r="D23" s="169">
        <f>ROUNDUP(IF('8.Transport_DS'!$D25=0,0,'8.Transport_DS'!$D25*Data!$B$45),-2)</f>
        <v>0</v>
      </c>
      <c r="E23" s="169">
        <f>IF(AND($B23&gt;0,$C23&gt;1),Data!$H$26+'8.Transport_DS'!$K25,0)</f>
        <v>0</v>
      </c>
      <c r="F23" s="169">
        <f>IF($B23=0,0,IF(AND('1.Stratégie'!$J21&lt;1,$B23="SSD"),'8.Transport_DS'!$E$50*Data!$B$86*Data!$H$14,0))</f>
        <v>0</v>
      </c>
      <c r="G23" s="169">
        <f>IF($B23=0,0,IF(AND('1.Stratégie'!$J21&lt;1,$B23="SSD"),'8.Transport_DS'!$E$55*Data!$B$85*Data!$H$14,0))</f>
        <v>0</v>
      </c>
      <c r="H23" s="169">
        <f>IF($B23=0,0,IF(AND('1.Stratégie'!$J21&lt;1,$B23="SSD"),Data!$C$28*'3.Personnel'!$Y$38*Data!$H$13+Data!$C$30*'3.Personnel'!$Z$38*Data!$H$13+Data!$C$31*'3.Personnel'!$U$38*Data!$H$13,0))</f>
        <v>0</v>
      </c>
      <c r="I23" s="169">
        <f>IF($B23=0,0,IF(AND('1.Stratégie'!$J21&lt;1,$B23="SSD"),Data!$B$45*'8.Transport_DS'!$H$42,0))</f>
        <v>0</v>
      </c>
      <c r="J23" s="169">
        <f>IF($B23=0,0,IF(AND('1.Stratégie'!$J21&lt;1,$B23="SSD"),'14.MobSoc'!$D$15*'14.MobSoc'!$E$15*'3.Personnel'!$X$38,0))</f>
        <v>0</v>
      </c>
      <c r="K23" s="169">
        <f>IF($B23=0,0,IF(AND('1.Stratégie'!$J21&lt;1,$B23="SSD"),'14.MobSoc'!$D$17*'14.MobSoc'!$E$17*'3.Personnel'!$X$38,0))</f>
        <v>0</v>
      </c>
      <c r="L23" s="170">
        <f>IF($B23=0,0,IF(AND('1.Stratégie'!$J21&lt;1,$B23="SSD"),'14.MobSoc'!$D$22*'14.MobSoc'!$E$22,0))</f>
        <v>0</v>
      </c>
      <c r="M23" s="236">
        <f>IF($B23=0,0,IF(AND('1.Stratégie'!$J21&lt;1,$B23="SSD"),'14.MobSoc'!$D$21*'14.MobSoc'!$E$21,0))</f>
        <v>0</v>
      </c>
      <c r="N23" s="168">
        <f>'8.Transport_DS'!$K25</f>
        <v>0</v>
      </c>
      <c r="O23" s="169">
        <f>IF(AND($B23&gt;0,$C23&gt;1),Data!$H$26,0)</f>
        <v>0</v>
      </c>
      <c r="P23" s="171">
        <f t="shared" si="0"/>
        <v>0</v>
      </c>
      <c r="Q23" s="171" t="str">
        <f t="shared" si="1"/>
        <v/>
      </c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</row>
    <row r="24" spans="1:36" s="121" customFormat="1" ht="15" customHeight="1" x14ac:dyDescent="0.15">
      <c r="A24" s="251">
        <v>15</v>
      </c>
      <c r="B24" s="252">
        <f>'1.Stratégie'!B22</f>
        <v>0</v>
      </c>
      <c r="C24" s="250">
        <f>'2.Equipe'!$D21</f>
        <v>0</v>
      </c>
      <c r="D24" s="250">
        <f>ROUNDUP(IF('8.Transport_DS'!$D26=0,0,'8.Transport_DS'!$D26*Data!$B$45),-2)</f>
        <v>0</v>
      </c>
      <c r="E24" s="250">
        <f>IF(AND($B24&gt;0,$C24&gt;1),Data!$H$26+'8.Transport_DS'!$K26,0)</f>
        <v>0</v>
      </c>
      <c r="F24" s="250">
        <f>IF($B24=0,0,IF(AND('1.Stratégie'!$J22&lt;1,$B24="SSD"),'8.Transport_DS'!$E$50*Data!$B$86*Data!$H$14,0))</f>
        <v>0</v>
      </c>
      <c r="G24" s="250">
        <f>IF($B24=0,0,IF(AND('1.Stratégie'!$J22&lt;1,$B24="SSD"),'8.Transport_DS'!$E$55*Data!$B$85*Data!$H$14,0))</f>
        <v>0</v>
      </c>
      <c r="H24" s="250">
        <f>IF($B24=0,0,IF(AND('1.Stratégie'!$J22&lt;1,$B24="SSD"),Data!$C$28*'3.Personnel'!$Y$38*Data!$H$13+Data!$C$30*'3.Personnel'!$Z$38*Data!$H$13+Data!$C$31*'3.Personnel'!$U$38*Data!$H$13,0))</f>
        <v>0</v>
      </c>
      <c r="I24" s="250">
        <f>IF($B24=0,0,IF(AND('1.Stratégie'!$J22&lt;1,$B24="SSD"),Data!$B$45*'8.Transport_DS'!$H$42,0))</f>
        <v>0</v>
      </c>
      <c r="J24" s="250">
        <f>IF($B24=0,0,IF(AND('1.Stratégie'!$J22&lt;1,$B24="SSD"),'14.MobSoc'!$D$15*'14.MobSoc'!$E$15*'3.Personnel'!$X$38,0))</f>
        <v>0</v>
      </c>
      <c r="K24" s="250">
        <f>IF($B24=0,0,IF(AND('1.Stratégie'!$J22&lt;1,$B24="SSD"),'14.MobSoc'!$D$17*'14.MobSoc'!$E$17*'3.Personnel'!$X$38,0))</f>
        <v>0</v>
      </c>
      <c r="L24" s="255">
        <f>IF($B24=0,0,IF(AND('1.Stratégie'!$J22&lt;1,$B24="SSD"),'14.MobSoc'!$D$22*'14.MobSoc'!$E$22,0))</f>
        <v>0</v>
      </c>
      <c r="M24" s="256">
        <f>IF($B24=0,0,IF(AND('1.Stratégie'!$J22&lt;1,$B24="SSD"),'14.MobSoc'!$D$21*'14.MobSoc'!$E$21,0))</f>
        <v>0</v>
      </c>
      <c r="N24" s="252">
        <f>'8.Transport_DS'!$K26</f>
        <v>0</v>
      </c>
      <c r="O24" s="250">
        <f>IF(AND($B24&gt;0,$C24&gt;1),Data!$H$26,0)</f>
        <v>0</v>
      </c>
      <c r="P24" s="253">
        <f t="shared" si="0"/>
        <v>0</v>
      </c>
      <c r="Q24" s="253" t="str">
        <f t="shared" si="1"/>
        <v/>
      </c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</row>
    <row r="25" spans="1:36" s="121" customFormat="1" ht="15" customHeight="1" x14ac:dyDescent="0.15">
      <c r="A25" s="167">
        <v>16</v>
      </c>
      <c r="B25" s="168">
        <f>'1.Stratégie'!B23</f>
        <v>0</v>
      </c>
      <c r="C25" s="169">
        <f>'2.Equipe'!$D22</f>
        <v>0</v>
      </c>
      <c r="D25" s="169">
        <f>ROUNDUP(IF('8.Transport_DS'!$D27=0,0,'8.Transport_DS'!$D27*Data!$B$45),-2)</f>
        <v>0</v>
      </c>
      <c r="E25" s="169">
        <f>IF(AND($B25&gt;0,$C25&gt;1),Data!$H$26+'8.Transport_DS'!$K27,0)</f>
        <v>0</v>
      </c>
      <c r="F25" s="169">
        <f>IF($B25=0,0,IF(AND('1.Stratégie'!$J23&lt;1,$B25="SSD"),'8.Transport_DS'!$E$50*Data!$B$86*Data!$H$14,0))</f>
        <v>0</v>
      </c>
      <c r="G25" s="169">
        <f>IF($B25=0,0,IF(AND('1.Stratégie'!$J23&lt;1,$B25="SSD"),'8.Transport_DS'!$E$55*Data!$B$85*Data!$H$14,0))</f>
        <v>0</v>
      </c>
      <c r="H25" s="169">
        <f>IF($B25=0,0,IF(AND('1.Stratégie'!$J23&lt;1,$B25="SSD"),Data!$C$28*'3.Personnel'!$Y$38*Data!$H$13+Data!$C$30*'3.Personnel'!$Z$38*Data!$H$13+Data!$C$31*'3.Personnel'!$U$38*Data!$H$13,0))</f>
        <v>0</v>
      </c>
      <c r="I25" s="169">
        <f>IF($B25=0,0,IF(AND('1.Stratégie'!$J23&lt;1,$B25="SSD"),Data!$B$45*'8.Transport_DS'!$H$42,0))</f>
        <v>0</v>
      </c>
      <c r="J25" s="169">
        <f>IF($B25=0,0,IF(AND('1.Stratégie'!$J23&lt;1,$B25="SSD"),'14.MobSoc'!$D$15*'14.MobSoc'!$E$15*'3.Personnel'!$X$38,0))</f>
        <v>0</v>
      </c>
      <c r="K25" s="238">
        <f>IF($B25=0,0,IF(AND('1.Stratégie'!$J23&lt;1,$B25="SSD"),'14.MobSoc'!$D$17*'14.MobSoc'!$E$17*'3.Personnel'!$X$38,0))</f>
        <v>0</v>
      </c>
      <c r="L25" s="170">
        <f>IF($B25=0,0,IF(AND('1.Stratégie'!$J23&lt;1,$B25="SSD"),'14.MobSoc'!$D$22*'14.MobSoc'!$E$22,0))</f>
        <v>0</v>
      </c>
      <c r="M25" s="236">
        <f>IF($B25=0,0,IF(AND('1.Stratégie'!$J23&lt;1,$B25="SSD"),'14.MobSoc'!$D$21*'14.MobSoc'!$E$21,0))</f>
        <v>0</v>
      </c>
      <c r="N25" s="168">
        <f>'8.Transport_DS'!$K27</f>
        <v>0</v>
      </c>
      <c r="O25" s="169">
        <f>IF(AND($B25&gt;0,$C25&gt;1),Data!$H$26,0)</f>
        <v>0</v>
      </c>
      <c r="P25" s="171">
        <f t="shared" si="0"/>
        <v>0</v>
      </c>
      <c r="Q25" s="171" t="str">
        <f t="shared" si="1"/>
        <v/>
      </c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</row>
    <row r="26" spans="1:36" s="121" customFormat="1" ht="15" customHeight="1" x14ac:dyDescent="0.15">
      <c r="A26" s="251">
        <v>17</v>
      </c>
      <c r="B26" s="252">
        <f>'1.Stratégie'!B24</f>
        <v>0</v>
      </c>
      <c r="C26" s="250">
        <f>'2.Equipe'!$D23</f>
        <v>0</v>
      </c>
      <c r="D26" s="250">
        <f>ROUNDUP(IF('8.Transport_DS'!$D28=0,0,'8.Transport_DS'!$D28*Data!$B$45),-2)</f>
        <v>0</v>
      </c>
      <c r="E26" s="250">
        <f>IF(AND($B26&gt;0,$C26&gt;1),Data!$H$26+'8.Transport_DS'!$K28,0)</f>
        <v>0</v>
      </c>
      <c r="F26" s="250">
        <f>IF($B26=0,0,IF(AND('1.Stratégie'!$J24&lt;1,$B26="SSD"),'8.Transport_DS'!$E$50*Data!$B$86*Data!$H$14,0))</f>
        <v>0</v>
      </c>
      <c r="G26" s="250">
        <f>IF($B26=0,0,IF(AND('1.Stratégie'!$J24&lt;1,$B26="SSD"),'8.Transport_DS'!$E$55*Data!$B$85*Data!$H$14,0))</f>
        <v>0</v>
      </c>
      <c r="H26" s="250">
        <f>IF($B26=0,0,IF(AND('1.Stratégie'!$J24&lt;1,$B26="SSD"),Data!$C$28*'3.Personnel'!$Y$38*Data!$H$13+Data!$C$30*'3.Personnel'!$Z$38*Data!$H$13+Data!$C$31*'3.Personnel'!$U$38*Data!$H$13,0))</f>
        <v>0</v>
      </c>
      <c r="I26" s="250">
        <f>IF($B26=0,0,IF(AND('1.Stratégie'!$J24&lt;1,$B26="SSD"),Data!$B$45*'8.Transport_DS'!$H$42,0))</f>
        <v>0</v>
      </c>
      <c r="J26" s="250">
        <f>IF($B26=0,0,IF(AND('1.Stratégie'!$J24&lt;1,$B26="SSD"),'14.MobSoc'!$D$15*'14.MobSoc'!$E$15*'3.Personnel'!$X$38,0))</f>
        <v>0</v>
      </c>
      <c r="K26" s="250">
        <f>IF($B26=0,0,IF(AND('1.Stratégie'!$J24&lt;1,$B26="SSD"),'14.MobSoc'!$D$17*'14.MobSoc'!$E$17*'3.Personnel'!$X$38,0))</f>
        <v>0</v>
      </c>
      <c r="L26" s="255">
        <f>IF($B26=0,0,IF(AND('1.Stratégie'!$J24&lt;1,$B26="SSD"),'14.MobSoc'!$D$22*'14.MobSoc'!$E$22,0))</f>
        <v>0</v>
      </c>
      <c r="M26" s="256">
        <f>IF($B26=0,0,IF(AND('1.Stratégie'!$J24&lt;1,$B26="SSD"),'14.MobSoc'!$D$21*'14.MobSoc'!$E$21,0))</f>
        <v>0</v>
      </c>
      <c r="N26" s="252">
        <f>'8.Transport_DS'!$K28</f>
        <v>0</v>
      </c>
      <c r="O26" s="250">
        <f>IF(AND($B26&gt;0,$C26&gt;1),Data!$H$26,0)</f>
        <v>0</v>
      </c>
      <c r="P26" s="253">
        <f t="shared" si="0"/>
        <v>0</v>
      </c>
      <c r="Q26" s="253" t="str">
        <f t="shared" si="1"/>
        <v/>
      </c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</row>
    <row r="27" spans="1:36" s="121" customFormat="1" ht="15" customHeight="1" x14ac:dyDescent="0.15">
      <c r="A27" s="167">
        <v>18</v>
      </c>
      <c r="B27" s="168">
        <f>'1.Stratégie'!B25</f>
        <v>0</v>
      </c>
      <c r="C27" s="169">
        <f>'2.Equipe'!$D24</f>
        <v>0</v>
      </c>
      <c r="D27" s="169">
        <f>ROUNDUP(IF('8.Transport_DS'!$D29=0,0,'8.Transport_DS'!$D29*Data!$B$45),-2)</f>
        <v>0</v>
      </c>
      <c r="E27" s="169">
        <f>IF(AND($B27&gt;0,$C27&gt;1),Data!$H$26+'8.Transport_DS'!$K29,0)</f>
        <v>0</v>
      </c>
      <c r="F27" s="169">
        <f>IF($B27=0,0,IF(AND('1.Stratégie'!$J25&lt;1,$B27="SSD"),'8.Transport_DS'!$E$50*Data!$B$86*Data!$H$14,0))</f>
        <v>0</v>
      </c>
      <c r="G27" s="169">
        <f>IF($B27=0,0,IF(AND('1.Stratégie'!$J25&lt;1,$B27="SSD"),'8.Transport_DS'!$E$55*Data!$B$85*Data!$H$14,0))</f>
        <v>0</v>
      </c>
      <c r="H27" s="169">
        <f>IF($B27=0,0,IF(AND('1.Stratégie'!$J25&lt;1,$B27="SSD"),Data!$C$28*'3.Personnel'!$Y$38*Data!$H$13+Data!$C$30*'3.Personnel'!$Z$38*Data!$H$13+Data!$C$31*'3.Personnel'!$U$38*Data!$H$13,0))</f>
        <v>0</v>
      </c>
      <c r="I27" s="169">
        <f>IF($B27=0,0,IF(AND('1.Stratégie'!$J25&lt;1,$B27="SSD"),Data!$B$45*'8.Transport_DS'!$H$42,0))</f>
        <v>0</v>
      </c>
      <c r="J27" s="169">
        <f>IF($B27=0,0,IF(AND('1.Stratégie'!$J25&lt;1,$B27="SSD"),'14.MobSoc'!$D$15*'14.MobSoc'!$E$15*'3.Personnel'!$X$38,0))</f>
        <v>0</v>
      </c>
      <c r="K27" s="169">
        <f>IF($B27=0,0,IF(AND('1.Stratégie'!$J25&lt;1,$B27="SSD"),'14.MobSoc'!$D$17*'14.MobSoc'!$E$17*'3.Personnel'!$X$38,0))</f>
        <v>0</v>
      </c>
      <c r="L27" s="170">
        <f>IF($B27=0,0,IF(AND('1.Stratégie'!$J25&lt;1,$B27="SSD"),'14.MobSoc'!$D$22*'14.MobSoc'!$E$22,0))</f>
        <v>0</v>
      </c>
      <c r="M27" s="236">
        <f>IF($B27=0,0,IF(AND('1.Stratégie'!$J25&lt;1,$B27="SSD"),'14.MobSoc'!$D$21*'14.MobSoc'!$E$21,0))</f>
        <v>0</v>
      </c>
      <c r="N27" s="168">
        <f>'8.Transport_DS'!$K29</f>
        <v>0</v>
      </c>
      <c r="O27" s="169">
        <f>IF(AND($B27&gt;0,$C27&gt;1),Data!$H$26,0)</f>
        <v>0</v>
      </c>
      <c r="P27" s="171">
        <f t="shared" si="0"/>
        <v>0</v>
      </c>
      <c r="Q27" s="171" t="str">
        <f t="shared" si="1"/>
        <v/>
      </c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</row>
    <row r="28" spans="1:36" s="121" customFormat="1" ht="15" customHeight="1" x14ac:dyDescent="0.15">
      <c r="A28" s="251">
        <v>19</v>
      </c>
      <c r="B28" s="252">
        <f>'1.Stratégie'!B26</f>
        <v>0</v>
      </c>
      <c r="C28" s="250">
        <f>'2.Equipe'!$D25</f>
        <v>0</v>
      </c>
      <c r="D28" s="250">
        <f>ROUNDUP(IF('8.Transport_DS'!$D30=0,0,'8.Transport_DS'!$D30*Data!$B$45),-2)</f>
        <v>0</v>
      </c>
      <c r="E28" s="250">
        <f>IF(AND($B28&gt;0,$C28&gt;1),Data!$H$26+'8.Transport_DS'!$K30,0)</f>
        <v>0</v>
      </c>
      <c r="F28" s="250">
        <f>IF($B28=0,0,IF(AND('1.Stratégie'!$J26&lt;1,$B28="SSD"),'8.Transport_DS'!$E$50*Data!$B$86*Data!$H$14,0))</f>
        <v>0</v>
      </c>
      <c r="G28" s="250">
        <f>IF($B28=0,0,IF(AND('1.Stratégie'!$J26&lt;1,$B28="SSD"),'8.Transport_DS'!$E$55*Data!$B$85*Data!$H$14,0))</f>
        <v>0</v>
      </c>
      <c r="H28" s="250">
        <f>IF($B28=0,0,IF(AND('1.Stratégie'!$J26&lt;1,$B28="SSD"),Data!$C$28*'3.Personnel'!$Y$38*Data!$H$13+Data!$C$30*'3.Personnel'!$Z$38*Data!$H$13+Data!$C$31*'3.Personnel'!$U$38*Data!$H$13,0))</f>
        <v>0</v>
      </c>
      <c r="I28" s="250">
        <f>IF($B28=0,0,IF(AND('1.Stratégie'!$J26&lt;1,$B28="SSD"),Data!$B$45*'8.Transport_DS'!$H$42,0))</f>
        <v>0</v>
      </c>
      <c r="J28" s="250">
        <f>IF($B28=0,0,IF(AND('1.Stratégie'!$J26&lt;1,$B28="SSD"),'14.MobSoc'!$D$15*'14.MobSoc'!$E$15*'3.Personnel'!$X$38,0))</f>
        <v>0</v>
      </c>
      <c r="K28" s="250">
        <f>IF($B28=0,0,IF(AND('1.Stratégie'!$J26&lt;1,$B28="SSD"),'14.MobSoc'!$D$17*'14.MobSoc'!$E$17*'3.Personnel'!$X$38,0))</f>
        <v>0</v>
      </c>
      <c r="L28" s="255">
        <f>IF($B28=0,0,IF(AND('1.Stratégie'!$J26&lt;1,$B28="SSD"),'14.MobSoc'!$D$22*'14.MobSoc'!$E$22,0))</f>
        <v>0</v>
      </c>
      <c r="M28" s="256">
        <f>IF($B28=0,0,IF(AND('1.Stratégie'!$J26&lt;1,$B28="SSD"),'14.MobSoc'!$D$21*'14.MobSoc'!$E$21,0))</f>
        <v>0</v>
      </c>
      <c r="N28" s="252">
        <f>'8.Transport_DS'!$K30</f>
        <v>0</v>
      </c>
      <c r="O28" s="250">
        <f>IF(AND($B28&gt;0,$C28&gt;1),Data!$H$26,0)</f>
        <v>0</v>
      </c>
      <c r="P28" s="253">
        <f t="shared" si="0"/>
        <v>0</v>
      </c>
      <c r="Q28" s="253" t="str">
        <f t="shared" si="1"/>
        <v/>
      </c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</row>
    <row r="29" spans="1:36" s="121" customFormat="1" ht="15" customHeight="1" x14ac:dyDescent="0.15">
      <c r="A29" s="167">
        <v>20</v>
      </c>
      <c r="B29" s="168">
        <f>'1.Stratégie'!B27</f>
        <v>0</v>
      </c>
      <c r="C29" s="169">
        <f>'2.Equipe'!$D26</f>
        <v>0</v>
      </c>
      <c r="D29" s="169">
        <f>ROUNDUP(IF('8.Transport_DS'!$D31=0,0,'8.Transport_DS'!$D31*Data!$B$45),-2)</f>
        <v>0</v>
      </c>
      <c r="E29" s="169">
        <f>IF(AND($B29&gt;0,$C29&gt;1),Data!$H$26+'8.Transport_DS'!$K31,0)</f>
        <v>0</v>
      </c>
      <c r="F29" s="169">
        <f>IF($B29=0,0,IF(AND('1.Stratégie'!$J27&lt;1,$B29="SSD"),'8.Transport_DS'!$E$50*Data!$B$86*Data!$H$14,0))</f>
        <v>0</v>
      </c>
      <c r="G29" s="169">
        <f>IF($B29=0,0,IF(AND('1.Stratégie'!$J27&lt;1,$B29="SSD"),'8.Transport_DS'!$E$55*Data!$B$85*Data!$H$14,0))</f>
        <v>0</v>
      </c>
      <c r="H29" s="169">
        <f>IF($B29=0,0,IF(AND('1.Stratégie'!$J27&lt;1,$B29="SSD"),Data!$C$28*'3.Personnel'!$Y$38*Data!$H$13+Data!$C$30*'3.Personnel'!$Z$38*Data!$H$13+Data!$C$31*'3.Personnel'!$U$38*Data!$H$13,0))</f>
        <v>0</v>
      </c>
      <c r="I29" s="169">
        <f>IF($B29=0,0,IF(AND('1.Stratégie'!$J27&lt;1,$B29="SSD"),Data!$B$45*'8.Transport_DS'!$H$42,0))</f>
        <v>0</v>
      </c>
      <c r="J29" s="169">
        <f>IF($B29=0,0,IF(AND('1.Stratégie'!$J27&lt;1,$B29="SSD"),'14.MobSoc'!$D$15*'14.MobSoc'!$E$15*'3.Personnel'!$X$38,0))</f>
        <v>0</v>
      </c>
      <c r="K29" s="169">
        <f>IF($B29=0,0,IF(AND('1.Stratégie'!$J27&lt;1,$B29="SSD"),'14.MobSoc'!$D$17*'14.MobSoc'!$E$17*'3.Personnel'!$X$38,0))</f>
        <v>0</v>
      </c>
      <c r="L29" s="170">
        <f>IF($B29=0,0,IF(AND('1.Stratégie'!$J27&lt;1,$B29="SSD"),'14.MobSoc'!$D$22*'14.MobSoc'!$E$22,0))</f>
        <v>0</v>
      </c>
      <c r="M29" s="236">
        <f>IF($B29=0,0,IF(AND('1.Stratégie'!$J27&lt;1,$B29="SSD"),'14.MobSoc'!$D$21*'14.MobSoc'!$E$21,0))</f>
        <v>0</v>
      </c>
      <c r="N29" s="168">
        <f>'8.Transport_DS'!$K31</f>
        <v>0</v>
      </c>
      <c r="O29" s="169">
        <f>IF(AND($B29&gt;0,$C29&gt;1),Data!$H$26,0)</f>
        <v>0</v>
      </c>
      <c r="P29" s="171">
        <f t="shared" si="0"/>
        <v>0</v>
      </c>
      <c r="Q29" s="171" t="str">
        <f t="shared" si="1"/>
        <v/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</row>
    <row r="30" spans="1:36" s="121" customFormat="1" ht="15" customHeight="1" x14ac:dyDescent="0.15">
      <c r="A30" s="251">
        <v>21</v>
      </c>
      <c r="B30" s="252">
        <f>'1.Stratégie'!B28</f>
        <v>0</v>
      </c>
      <c r="C30" s="250">
        <f>'2.Equipe'!$D27</f>
        <v>0</v>
      </c>
      <c r="D30" s="250">
        <f>ROUNDUP(IF('8.Transport_DS'!$D32=0,0,'8.Transport_DS'!$D32*Data!$B$45),-2)</f>
        <v>0</v>
      </c>
      <c r="E30" s="250">
        <f>IF(AND($B30&gt;0,$C30&gt;1),Data!$H$26+'8.Transport_DS'!$K32,0)</f>
        <v>0</v>
      </c>
      <c r="F30" s="250">
        <f>IF($B30=0,0,IF(AND('1.Stratégie'!$J28&lt;1,$B30="SSD"),'8.Transport_DS'!$E$50*Data!$B$86*Data!$H$14,0))</f>
        <v>0</v>
      </c>
      <c r="G30" s="250">
        <f>IF($B30=0,0,IF(AND('1.Stratégie'!$J28&lt;1,$B30="SSD"),'8.Transport_DS'!$E$55*Data!$B$85*Data!$H$14,0))</f>
        <v>0</v>
      </c>
      <c r="H30" s="250">
        <f>IF($B30=0,0,IF(AND('1.Stratégie'!$J28&lt;1,$B30="SSD"),Data!$C$28*'3.Personnel'!$Y$38*Data!$H$13+Data!$C$30*'3.Personnel'!$Z$38*Data!$H$13+Data!$C$31*'3.Personnel'!$U$38*Data!$H$13,0))</f>
        <v>0</v>
      </c>
      <c r="I30" s="250">
        <f>IF($B30=0,0,IF(AND('1.Stratégie'!$J28&lt;1,$B30="SSD"),Data!$B$45*'8.Transport_DS'!$H$42,0))</f>
        <v>0</v>
      </c>
      <c r="J30" s="250">
        <f>IF($B30=0,0,IF(AND('1.Stratégie'!$J28&lt;1,$B30="SSD"),'14.MobSoc'!$D$15*'14.MobSoc'!$E$15*'3.Personnel'!$X$38,0))</f>
        <v>0</v>
      </c>
      <c r="K30" s="250">
        <f>IF($B30=0,0,IF(AND('1.Stratégie'!$J28&lt;1,$B30="SSD"),'14.MobSoc'!$D$17*'14.MobSoc'!$E$17*'3.Personnel'!$X$38,0))</f>
        <v>0</v>
      </c>
      <c r="L30" s="255">
        <f>IF($B30=0,0,IF(AND('1.Stratégie'!$J28&lt;1,$B30="SSD"),'14.MobSoc'!$D$22*'14.MobSoc'!$E$22,0))</f>
        <v>0</v>
      </c>
      <c r="M30" s="256">
        <f>IF($B30=0,0,IF(AND('1.Stratégie'!$J28&lt;1,$B30="SSD"),'14.MobSoc'!$D$21*'14.MobSoc'!$E$21,0))</f>
        <v>0</v>
      </c>
      <c r="N30" s="252">
        <f>'8.Transport_DS'!$K32</f>
        <v>0</v>
      </c>
      <c r="O30" s="250">
        <f>IF(AND($B30&gt;0,$C30&gt;1),Data!$H$26,0)</f>
        <v>0</v>
      </c>
      <c r="P30" s="253">
        <f t="shared" si="0"/>
        <v>0</v>
      </c>
      <c r="Q30" s="253" t="str">
        <f t="shared" si="1"/>
        <v/>
      </c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</row>
    <row r="31" spans="1:36" s="121" customFormat="1" ht="15" customHeight="1" x14ac:dyDescent="0.15">
      <c r="A31" s="167">
        <v>22</v>
      </c>
      <c r="B31" s="168">
        <f>'1.Stratégie'!B29</f>
        <v>0</v>
      </c>
      <c r="C31" s="169">
        <f>'2.Equipe'!$D28</f>
        <v>0</v>
      </c>
      <c r="D31" s="169">
        <f>ROUNDUP(IF('8.Transport_DS'!$D33=0,0,'8.Transport_DS'!$D33*Data!$B$45),-2)</f>
        <v>0</v>
      </c>
      <c r="E31" s="169">
        <f>IF(AND($B31&gt;0,$C31&gt;1),Data!$H$26+'8.Transport_DS'!$K33,0)</f>
        <v>0</v>
      </c>
      <c r="F31" s="169">
        <f>IF($B31=0,0,IF(AND('1.Stratégie'!$J29&lt;1,$B31="SSD"),'8.Transport_DS'!$E$50*Data!$B$86*Data!$H$14,0))</f>
        <v>0</v>
      </c>
      <c r="G31" s="169">
        <f>IF($B31=0,0,IF(AND('1.Stratégie'!$J29&lt;1,$B31="SSD"),'8.Transport_DS'!$E$55*Data!$B$85*Data!$H$14,0))</f>
        <v>0</v>
      </c>
      <c r="H31" s="169">
        <f>IF($B31=0,0,IF(AND('1.Stratégie'!$J29&lt;1,$B31="SSD"),Data!$C$28*'3.Personnel'!$Y$38*Data!$H$13+Data!$C$30*'3.Personnel'!$Z$38*Data!$H$13+Data!$C$31*'3.Personnel'!$U$38*Data!$H$13,0))</f>
        <v>0</v>
      </c>
      <c r="I31" s="169">
        <f>IF($B31=0,0,IF(AND('1.Stratégie'!$J29&lt;1,$B31="SSD"),Data!$B$45*'8.Transport_DS'!$H$42,0))</f>
        <v>0</v>
      </c>
      <c r="J31" s="169">
        <f>IF($B31=0,0,IF(AND('1.Stratégie'!$J29&lt;1,$B31="SSD"),'14.MobSoc'!$D$15*'14.MobSoc'!$E$15*'3.Personnel'!$X$38,0))</f>
        <v>0</v>
      </c>
      <c r="K31" s="169">
        <f>IF($B31=0,0,IF(AND('1.Stratégie'!$J29&lt;1,$B31="SSD"),'14.MobSoc'!$D$17*'14.MobSoc'!$E$17*'3.Personnel'!$X$38,0))</f>
        <v>0</v>
      </c>
      <c r="L31" s="170">
        <f>IF($B31=0,0,IF(AND('1.Stratégie'!$J29&lt;1,$B31="SSD"),'14.MobSoc'!$D$22*'14.MobSoc'!$E$22,0))</f>
        <v>0</v>
      </c>
      <c r="M31" s="236">
        <f>IF($B31=0,0,IF(AND('1.Stratégie'!$J29&lt;1,$B31="SSD"),'14.MobSoc'!$D$21*'14.MobSoc'!$E$21,0))</f>
        <v>0</v>
      </c>
      <c r="N31" s="168">
        <f>'8.Transport_DS'!$K33</f>
        <v>0</v>
      </c>
      <c r="O31" s="169">
        <f>IF(AND($B31&gt;0,$C31&gt;1),Data!$H$26,0)</f>
        <v>0</v>
      </c>
      <c r="P31" s="171">
        <f t="shared" si="0"/>
        <v>0</v>
      </c>
      <c r="Q31" s="171" t="str">
        <f t="shared" si="1"/>
        <v/>
      </c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</row>
    <row r="32" spans="1:36" s="121" customFormat="1" ht="15" customHeight="1" x14ac:dyDescent="0.15">
      <c r="A32" s="251">
        <v>23</v>
      </c>
      <c r="B32" s="252">
        <f>'1.Stratégie'!B30</f>
        <v>0</v>
      </c>
      <c r="C32" s="250">
        <f>'2.Equipe'!$D29</f>
        <v>0</v>
      </c>
      <c r="D32" s="250">
        <f>ROUNDUP(IF('8.Transport_DS'!$D34=0,0,'8.Transport_DS'!$D34*Data!$B$45),-2)</f>
        <v>0</v>
      </c>
      <c r="E32" s="250">
        <f>IF(AND($B32&gt;0,$C32&gt;1),Data!$H$26+'8.Transport_DS'!$K34,0)</f>
        <v>0</v>
      </c>
      <c r="F32" s="250">
        <f>IF($B32=0,0,IF(AND('1.Stratégie'!$J30&lt;1,$B32="SSD"),'8.Transport_DS'!$E$50*Data!$B$86*Data!$H$14,0))</f>
        <v>0</v>
      </c>
      <c r="G32" s="250">
        <f>IF($B32=0,0,IF(AND('1.Stratégie'!$J30&lt;1,$B32="SSD"),'8.Transport_DS'!$E$55*Data!$B$85*Data!$H$14,0))</f>
        <v>0</v>
      </c>
      <c r="H32" s="250">
        <f>IF($B32=0,0,IF(AND('1.Stratégie'!$J30&lt;1,$B32="SSD"),Data!$C$28*'3.Personnel'!$Y$38*Data!$H$13+Data!$C$30*'3.Personnel'!$Z$38*Data!$H$13+Data!$C$31*'3.Personnel'!$U$38*Data!$H$13,0))</f>
        <v>0</v>
      </c>
      <c r="I32" s="250">
        <f>IF($B32=0,0,IF(AND('1.Stratégie'!$J30&lt;1,$B32="SSD"),Data!$B$45*'8.Transport_DS'!$H$42,0))</f>
        <v>0</v>
      </c>
      <c r="J32" s="250">
        <f>IF($B32=0,0,IF(AND('1.Stratégie'!$J30&lt;1,$B32="SSD"),'14.MobSoc'!$D$15*'14.MobSoc'!$E$15*'3.Personnel'!$X$38,0))</f>
        <v>0</v>
      </c>
      <c r="K32" s="250">
        <f>IF($B32=0,0,IF(AND('1.Stratégie'!$J30&lt;1,$B32="SSD"),'14.MobSoc'!$D$17*'14.MobSoc'!$E$17*'3.Personnel'!$X$38,0))</f>
        <v>0</v>
      </c>
      <c r="L32" s="255">
        <f>IF($B32=0,0,IF(AND('1.Stratégie'!$J30&lt;1,$B32="SSD"),'14.MobSoc'!$D$22*'14.MobSoc'!$E$22,0))</f>
        <v>0</v>
      </c>
      <c r="M32" s="256">
        <f>IF($B32=0,0,IF(AND('1.Stratégie'!$J30&lt;1,$B32="SSD"),'14.MobSoc'!$D$21*'14.MobSoc'!$E$21,0))</f>
        <v>0</v>
      </c>
      <c r="N32" s="252">
        <f>'8.Transport_DS'!$K34</f>
        <v>0</v>
      </c>
      <c r="O32" s="250">
        <f>IF(AND($B32&gt;0,$C32&gt;1),Data!$H$26,0)</f>
        <v>0</v>
      </c>
      <c r="P32" s="253">
        <f t="shared" si="0"/>
        <v>0</v>
      </c>
      <c r="Q32" s="253" t="str">
        <f t="shared" si="1"/>
        <v/>
      </c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</row>
    <row r="33" spans="1:36" s="121" customFormat="1" ht="15" customHeight="1" x14ac:dyDescent="0.15">
      <c r="A33" s="167">
        <v>24</v>
      </c>
      <c r="B33" s="168">
        <f>'1.Stratégie'!B31</f>
        <v>0</v>
      </c>
      <c r="C33" s="169">
        <f>'2.Equipe'!$D30</f>
        <v>0</v>
      </c>
      <c r="D33" s="169">
        <f>ROUNDUP(IF('8.Transport_DS'!$D35=0,0,'8.Transport_DS'!$D35*Data!$B$45),-2)</f>
        <v>0</v>
      </c>
      <c r="E33" s="169">
        <f>IF(AND($B33&gt;0,$C33&gt;1),Data!$H$26+'8.Transport_DS'!$K35,0)</f>
        <v>0</v>
      </c>
      <c r="F33" s="169">
        <f>IF($B33=0,0,IF(AND('1.Stratégie'!$J31&lt;1,$B33="SSD"),'8.Transport_DS'!$E$50*Data!$B$86*Data!$H$14,0))</f>
        <v>0</v>
      </c>
      <c r="G33" s="169">
        <f>IF($B33=0,0,IF(AND('1.Stratégie'!$J31&lt;1,$B33="SSD"),'8.Transport_DS'!$E$55*Data!$B$85*Data!$H$14,0))</f>
        <v>0</v>
      </c>
      <c r="H33" s="169">
        <f>IF($B33=0,0,IF(AND('1.Stratégie'!$J31&lt;1,$B33="SSD"),Data!$C$28*'3.Personnel'!$Y$38*Data!$H$13+Data!$C$30*'3.Personnel'!$Z$38*Data!$H$13+Data!$C$31*'3.Personnel'!$U$38*Data!$H$13,0))</f>
        <v>0</v>
      </c>
      <c r="I33" s="169">
        <f>IF($B33=0,0,IF(AND('1.Stratégie'!$J31&lt;1,$B33="SSD"),Data!$B$45*'8.Transport_DS'!$H$42,0))</f>
        <v>0</v>
      </c>
      <c r="J33" s="169">
        <f>IF($B33=0,0,IF(AND('1.Stratégie'!$J31&lt;1,$B33="SSD"),'14.MobSoc'!$D$15*'14.MobSoc'!$E$15*'3.Personnel'!$X$38,0))</f>
        <v>0</v>
      </c>
      <c r="K33" s="169">
        <f>IF($B33=0,0,IF(AND('1.Stratégie'!$J31&lt;1,$B33="SSD"),'14.MobSoc'!$D$17*'14.MobSoc'!$E$17*'3.Personnel'!$X$38,0))</f>
        <v>0</v>
      </c>
      <c r="L33" s="170">
        <f>IF($B33=0,0,IF(AND('1.Stratégie'!$J31&lt;1,$B33="SSD"),'14.MobSoc'!$D$22*'14.MobSoc'!$E$22,0))</f>
        <v>0</v>
      </c>
      <c r="M33" s="236">
        <f>IF($B33=0,0,IF(AND('1.Stratégie'!$J31&lt;1,$B33="SSD"),'14.MobSoc'!$D$21*'14.MobSoc'!$E$21,0))</f>
        <v>0</v>
      </c>
      <c r="N33" s="168">
        <f>'8.Transport_DS'!$K35</f>
        <v>0</v>
      </c>
      <c r="O33" s="169">
        <f>IF(AND($B33&gt;0,$C33&gt;1),Data!$H$26,0)</f>
        <v>0</v>
      </c>
      <c r="P33" s="171">
        <f t="shared" si="0"/>
        <v>0</v>
      </c>
      <c r="Q33" s="171" t="str">
        <f t="shared" si="1"/>
        <v/>
      </c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</row>
    <row r="34" spans="1:36" s="121" customFormat="1" ht="15" customHeight="1" x14ac:dyDescent="0.15">
      <c r="A34" s="251">
        <v>25</v>
      </c>
      <c r="B34" s="252">
        <f>'1.Stratégie'!B32</f>
        <v>0</v>
      </c>
      <c r="C34" s="250">
        <f>'2.Equipe'!$D31</f>
        <v>0</v>
      </c>
      <c r="D34" s="250">
        <f>ROUNDUP(IF('8.Transport_DS'!$D36=0,0,'8.Transport_DS'!$D36*Data!$B$45),-2)</f>
        <v>0</v>
      </c>
      <c r="E34" s="250">
        <f>IF(AND($B34&gt;0,$C34&gt;1),Data!$H$26+'8.Transport_DS'!$K36,0)</f>
        <v>0</v>
      </c>
      <c r="F34" s="250">
        <f>IF($B34=0,0,IF(AND('1.Stratégie'!$J32&lt;1,$B34="SSD"),'8.Transport_DS'!$E$50*Data!$B$86*Data!$H$14,0))</f>
        <v>0</v>
      </c>
      <c r="G34" s="250">
        <f>IF($B34=0,0,IF(AND('1.Stratégie'!$J32&lt;1,$B34="SSD"),'8.Transport_DS'!$E$55*Data!$B$85*Data!$H$14,0))</f>
        <v>0</v>
      </c>
      <c r="H34" s="250">
        <f>IF($B34=0,0,IF(AND('1.Stratégie'!$J32&lt;1,$B34="SSD"),Data!$C$28*'3.Personnel'!$Y$38*Data!$H$13+Data!$C$30*'3.Personnel'!$Z$38*Data!$H$13+Data!$C$31*'3.Personnel'!$U$38*Data!$H$13,0))</f>
        <v>0</v>
      </c>
      <c r="I34" s="250">
        <f>IF($B34=0,0,IF(AND('1.Stratégie'!$J32&lt;1,$B34="SSD"),Data!$B$45*'8.Transport_DS'!$H$42,0))</f>
        <v>0</v>
      </c>
      <c r="J34" s="250">
        <f>IF($B34=0,0,IF(AND('1.Stratégie'!$J32&lt;1,$B34="SSD"),'14.MobSoc'!$D$15*'14.MobSoc'!$E$15*'3.Personnel'!$X$38,0))</f>
        <v>0</v>
      </c>
      <c r="K34" s="250">
        <f>IF($B34=0,0,IF(AND('1.Stratégie'!$J32&lt;1,$B34="SSD"),'14.MobSoc'!$D$17*'14.MobSoc'!$E$17*'3.Personnel'!$X$38,0))</f>
        <v>0</v>
      </c>
      <c r="L34" s="255">
        <f>IF($B34=0,0,IF(AND('1.Stratégie'!$J32&lt;1,$B34="SSD"),'14.MobSoc'!$D$22*'14.MobSoc'!$E$22,0))</f>
        <v>0</v>
      </c>
      <c r="M34" s="256">
        <f>IF($B34=0,0,IF(AND('1.Stratégie'!$J32&lt;1,$B34="SSD"),'14.MobSoc'!$D$21*'14.MobSoc'!$E$21,0))</f>
        <v>0</v>
      </c>
      <c r="N34" s="252">
        <f>'8.Transport_DS'!$K36</f>
        <v>0</v>
      </c>
      <c r="O34" s="250">
        <f>IF(AND($B34&gt;0,$C34&gt;1),Data!$H$26,0)</f>
        <v>0</v>
      </c>
      <c r="P34" s="253">
        <f t="shared" si="0"/>
        <v>0</v>
      </c>
      <c r="Q34" s="253" t="str">
        <f t="shared" si="1"/>
        <v/>
      </c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</row>
    <row r="35" spans="1:36" s="121" customFormat="1" ht="15" customHeight="1" x14ac:dyDescent="0.15">
      <c r="A35" s="167">
        <v>26</v>
      </c>
      <c r="B35" s="168">
        <f>'1.Stratégie'!B33</f>
        <v>0</v>
      </c>
      <c r="C35" s="169">
        <f>'2.Equipe'!$D32</f>
        <v>0</v>
      </c>
      <c r="D35" s="169">
        <f>ROUNDUP(IF('8.Transport_DS'!$D37=0,0,'8.Transport_DS'!$D37*Data!$B$45),-2)</f>
        <v>0</v>
      </c>
      <c r="E35" s="169">
        <f>IF(AND($B35&gt;0,$C35&gt;1),Data!$H$26+'8.Transport_DS'!$K37,0)</f>
        <v>0</v>
      </c>
      <c r="F35" s="169">
        <f>IF($B35=0,0,IF(AND('1.Stratégie'!$J33&lt;1,$B35="SSD"),'8.Transport_DS'!$E$50*Data!$B$86*Data!$H$14,0))</f>
        <v>0</v>
      </c>
      <c r="G35" s="169">
        <f>IF($B35=0,0,IF(AND('1.Stratégie'!$J33&lt;1,$B35="SSD"),'8.Transport_DS'!$E$55*Data!$B$85*Data!$H$14,0))</f>
        <v>0</v>
      </c>
      <c r="H35" s="169">
        <f>IF($B35=0,0,IF(AND('1.Stratégie'!$J33&lt;1,$B35="SSD"),Data!$C$28*'3.Personnel'!$Y$38*Data!$H$13+Data!$C$30*'3.Personnel'!$Z$38*Data!$H$13+Data!$C$31*'3.Personnel'!$U$38*Data!$H$13,0))</f>
        <v>0</v>
      </c>
      <c r="I35" s="169">
        <f>IF($B35=0,0,IF(AND('1.Stratégie'!$J33&lt;1,$B35="SSD"),Data!$B$45*'8.Transport_DS'!$H$42,0))</f>
        <v>0</v>
      </c>
      <c r="J35" s="169">
        <f>IF($B35=0,0,IF(AND('1.Stratégie'!$J33&lt;1,$B35="SSD"),'14.MobSoc'!$D$15*'14.MobSoc'!$E$15*'3.Personnel'!$X$38,0))</f>
        <v>0</v>
      </c>
      <c r="K35" s="169">
        <f>IF($B35=0,0,IF(AND('1.Stratégie'!$J33&lt;1,$B35="SSD"),'14.MobSoc'!$D$17*'14.MobSoc'!$E$17*'3.Personnel'!$X$38,0))</f>
        <v>0</v>
      </c>
      <c r="L35" s="170">
        <f>IF($B35=0,0,IF(AND('1.Stratégie'!$J33&lt;1,$B35="SSD"),'14.MobSoc'!$D$22*'14.MobSoc'!$E$22,0))</f>
        <v>0</v>
      </c>
      <c r="M35" s="236">
        <f>IF($B35=0,0,IF(AND('1.Stratégie'!$J33&lt;1,$B35="SSD"),'14.MobSoc'!$D$21*'14.MobSoc'!$E$21,0))</f>
        <v>0</v>
      </c>
      <c r="N35" s="168">
        <f>'8.Transport_DS'!$K37</f>
        <v>0</v>
      </c>
      <c r="O35" s="169">
        <f>IF(AND($B35&gt;0,$C35&gt;1),Data!$H$26,0)</f>
        <v>0</v>
      </c>
      <c r="P35" s="171">
        <f t="shared" si="0"/>
        <v>0</v>
      </c>
      <c r="Q35" s="171" t="str">
        <f t="shared" si="1"/>
        <v/>
      </c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</row>
    <row r="36" spans="1:36" s="121" customFormat="1" ht="15" customHeight="1" x14ac:dyDescent="0.15">
      <c r="A36" s="251">
        <v>27</v>
      </c>
      <c r="B36" s="252">
        <f>'1.Stratégie'!B34</f>
        <v>0</v>
      </c>
      <c r="C36" s="250">
        <f>'2.Equipe'!$D33</f>
        <v>0</v>
      </c>
      <c r="D36" s="250">
        <f>ROUNDUP(IF('8.Transport_DS'!$D38=0,0,'8.Transport_DS'!$D38*Data!$B$45),-2)</f>
        <v>0</v>
      </c>
      <c r="E36" s="250">
        <f>IF(AND($B36&gt;0,$C36&gt;1),Data!$H$26+'8.Transport_DS'!$K38,0)</f>
        <v>0</v>
      </c>
      <c r="F36" s="250">
        <f>IF($B36=0,0,IF(AND('1.Stratégie'!$J34&lt;1,$B36="SSD"),'8.Transport_DS'!$E$50*Data!$B$86*Data!$H$14,0))</f>
        <v>0</v>
      </c>
      <c r="G36" s="250">
        <f>IF($B36=0,0,IF(AND('1.Stratégie'!$J34&lt;1,$B36="SSD"),'8.Transport_DS'!$E$55*Data!$B$85*Data!$H$14,0))</f>
        <v>0</v>
      </c>
      <c r="H36" s="250">
        <f>IF($B36=0,0,IF(AND('1.Stratégie'!$J34&lt;1,$B36="SSD"),Data!$C$28*'3.Personnel'!$Y$38*Data!$H$13+Data!$C$30*'3.Personnel'!$Z$38*Data!$H$13+Data!$C$31*'3.Personnel'!$U$38*Data!$H$13,0))</f>
        <v>0</v>
      </c>
      <c r="I36" s="250">
        <f>IF($B36=0,0,IF(AND('1.Stratégie'!$J34&lt;1,$B36="SSD"),Data!$B$45*'8.Transport_DS'!$H$42,0))</f>
        <v>0</v>
      </c>
      <c r="J36" s="250">
        <f>IF($B36=0,0,IF(AND('1.Stratégie'!$J34&lt;1,$B36="SSD"),'14.MobSoc'!$D$15*'14.MobSoc'!$E$15*'3.Personnel'!$X$38,0))</f>
        <v>0</v>
      </c>
      <c r="K36" s="250">
        <f>IF($B36=0,0,IF(AND('1.Stratégie'!$J34&lt;1,$B36="SSD"),'14.MobSoc'!$D$17*'14.MobSoc'!$E$17*'3.Personnel'!$X$38,0))</f>
        <v>0</v>
      </c>
      <c r="L36" s="255">
        <f>IF($B36=0,0,IF(AND('1.Stratégie'!$J34&lt;1,$B36="SSD"),'14.MobSoc'!$D$22*'14.MobSoc'!$E$22,0))</f>
        <v>0</v>
      </c>
      <c r="M36" s="256">
        <f>IF($B36=0,0,IF(AND('1.Stratégie'!$J34&lt;1,$B36="SSD"),'14.MobSoc'!$D$21*'14.MobSoc'!$E$21,0))</f>
        <v>0</v>
      </c>
      <c r="N36" s="252">
        <f>'8.Transport_DS'!$K38</f>
        <v>0</v>
      </c>
      <c r="O36" s="250">
        <f>IF(AND($B36&gt;0,$C36&gt;1),Data!$H$26,0)</f>
        <v>0</v>
      </c>
      <c r="P36" s="253">
        <f t="shared" si="0"/>
        <v>0</v>
      </c>
      <c r="Q36" s="253" t="str">
        <f t="shared" si="1"/>
        <v/>
      </c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</row>
    <row r="37" spans="1:36" s="121" customFormat="1" ht="15" customHeight="1" x14ac:dyDescent="0.15">
      <c r="A37" s="167">
        <v>28</v>
      </c>
      <c r="B37" s="168">
        <f>'1.Stratégie'!B35</f>
        <v>0</v>
      </c>
      <c r="C37" s="169">
        <f>'2.Equipe'!$D34</f>
        <v>0</v>
      </c>
      <c r="D37" s="169">
        <f>ROUNDUP(IF('8.Transport_DS'!$D39=0,0,'8.Transport_DS'!$D39*Data!$B$45),-2)</f>
        <v>0</v>
      </c>
      <c r="E37" s="169">
        <f>IF(AND($B37&gt;0,$C37&gt;1),Data!$H$26+'8.Transport_DS'!$K39,0)</f>
        <v>0</v>
      </c>
      <c r="F37" s="169">
        <f>IF($B37=0,0,IF(AND('1.Stratégie'!$J35&lt;1,$B37="SSD"),'8.Transport_DS'!$E$50*Data!$B$86*Data!$H$14,0))</f>
        <v>0</v>
      </c>
      <c r="G37" s="169">
        <f>IF($B37=0,0,IF(AND('1.Stratégie'!$J35&lt;1,$B37="SSD"),'8.Transport_DS'!$E$55*Data!$B$85*Data!$H$14,0))</f>
        <v>0</v>
      </c>
      <c r="H37" s="169">
        <f>IF($B37=0,0,IF(AND('1.Stratégie'!$J35&lt;1,$B37="SSD"),Data!$C$28*'3.Personnel'!$Y$38*Data!$H$13+Data!$C$30*'3.Personnel'!$Z$38*Data!$H$13+Data!$C$31*'3.Personnel'!$U$38*Data!$H$13,0))</f>
        <v>0</v>
      </c>
      <c r="I37" s="169">
        <f>IF($B37=0,0,IF(AND('1.Stratégie'!$J35&lt;1,$B37="SSD"),Data!$B$45*'8.Transport_DS'!$H$42,0))</f>
        <v>0</v>
      </c>
      <c r="J37" s="169">
        <f>IF($B37=0,0,IF(AND('1.Stratégie'!$J35&lt;1,$B37="SSD"),'14.MobSoc'!$D$15*'14.MobSoc'!$E$15*'3.Personnel'!$X$38,0))</f>
        <v>0</v>
      </c>
      <c r="K37" s="169">
        <f>IF($B37=0,0,IF(AND('1.Stratégie'!$J35&lt;1,$B37="SSD"),'14.MobSoc'!$D$17*'14.MobSoc'!$E$17*'3.Personnel'!$X$38,0))</f>
        <v>0</v>
      </c>
      <c r="L37" s="170">
        <f>IF($B37=0,0,IF(AND('1.Stratégie'!$J35&lt;1,$B37="SSD"),'14.MobSoc'!$D$22*'14.MobSoc'!$E$22,0))</f>
        <v>0</v>
      </c>
      <c r="M37" s="236">
        <f>IF($B37=0,0,IF(AND('1.Stratégie'!$J35&lt;1,$B37="SSD"),'14.MobSoc'!$D$21*'14.MobSoc'!$E$21,0))</f>
        <v>0</v>
      </c>
      <c r="N37" s="168">
        <f>'8.Transport_DS'!$K39</f>
        <v>0</v>
      </c>
      <c r="O37" s="169">
        <f>IF(AND($B37&gt;0,$C37&gt;1),Data!$H$26,0)</f>
        <v>0</v>
      </c>
      <c r="P37" s="171">
        <f t="shared" si="0"/>
        <v>0</v>
      </c>
      <c r="Q37" s="171" t="str">
        <f t="shared" si="1"/>
        <v/>
      </c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</row>
    <row r="38" spans="1:36" s="121" customFormat="1" ht="15" customHeight="1" x14ac:dyDescent="0.15">
      <c r="A38" s="251">
        <v>29</v>
      </c>
      <c r="B38" s="252">
        <f>'1.Stratégie'!B36</f>
        <v>0</v>
      </c>
      <c r="C38" s="250">
        <f>'2.Equipe'!$D35</f>
        <v>0</v>
      </c>
      <c r="D38" s="250">
        <f>ROUNDUP(IF('8.Transport_DS'!$D40=0,0,'8.Transport_DS'!$D40*Data!$B$45),-2)</f>
        <v>0</v>
      </c>
      <c r="E38" s="250">
        <f>IF(AND($B38&gt;0,$C38&gt;1),Data!$H$26+'8.Transport_DS'!$K40,0)</f>
        <v>0</v>
      </c>
      <c r="F38" s="250">
        <f>IF($B38=0,0,IF(AND('1.Stratégie'!$J36&lt;1,$B38="SSD"),'8.Transport_DS'!$E$50*Data!$B$86*Data!$H$14,0))</f>
        <v>0</v>
      </c>
      <c r="G38" s="250">
        <f>IF($B38=0,0,IF(AND('1.Stratégie'!$J36&lt;1,$B38="SSD"),'8.Transport_DS'!$E$55*Data!$B$85*Data!$H$14,0))</f>
        <v>0</v>
      </c>
      <c r="H38" s="250">
        <f>IF($B38=0,0,IF(AND('1.Stratégie'!$J36&lt;1,$B38="SSD"),Data!$C$28*'3.Personnel'!$Y$38*Data!$H$13+Data!$C$30*'3.Personnel'!$Z$38*Data!$H$13+Data!$C$31*'3.Personnel'!$U$38*Data!$H$13,0))</f>
        <v>0</v>
      </c>
      <c r="I38" s="250">
        <f>IF($B38=0,0,IF(AND('1.Stratégie'!$J36&lt;1,$B38="SSD"),Data!$B$45*'8.Transport_DS'!$H$42,0))</f>
        <v>0</v>
      </c>
      <c r="J38" s="250">
        <f>IF($B38=0,0,IF(AND('1.Stratégie'!$J36&lt;1,$B38="SSD"),'14.MobSoc'!$D$15*'14.MobSoc'!$E$15*'3.Personnel'!$X$38,0))</f>
        <v>0</v>
      </c>
      <c r="K38" s="250">
        <f>IF($B38=0,0,IF(AND('1.Stratégie'!$J36&lt;1,$B38="SSD"),'14.MobSoc'!$D$17*'14.MobSoc'!$E$17*'3.Personnel'!$X$38,0))</f>
        <v>0</v>
      </c>
      <c r="L38" s="255">
        <f>IF($B38=0,0,IF(AND('1.Stratégie'!$J36&lt;1,$B38="SSD"),'14.MobSoc'!$D$22*'14.MobSoc'!$E$22,0))</f>
        <v>0</v>
      </c>
      <c r="M38" s="256">
        <f>IF($B38=0,0,IF(AND('1.Stratégie'!$J36&lt;1,$B38="SSD"),'14.MobSoc'!$D$21*'14.MobSoc'!$E$21,0))</f>
        <v>0</v>
      </c>
      <c r="N38" s="252">
        <f>'8.Transport_DS'!$K40</f>
        <v>0</v>
      </c>
      <c r="O38" s="250">
        <f>IF(AND($B38&gt;0,$C38&gt;1),Data!$H$26,0)</f>
        <v>0</v>
      </c>
      <c r="P38" s="253">
        <f t="shared" si="0"/>
        <v>0</v>
      </c>
      <c r="Q38" s="253" t="str">
        <f t="shared" si="1"/>
        <v/>
      </c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</row>
    <row r="39" spans="1:36" s="120" customFormat="1" ht="15" customHeight="1" x14ac:dyDescent="0.15">
      <c r="A39" s="172"/>
      <c r="B39" s="173" t="str">
        <f>"TOTAL "&amp;$J$6</f>
        <v>TOTAL 0</v>
      </c>
      <c r="C39" s="171">
        <f>SUM(C10:C38)</f>
        <v>0</v>
      </c>
      <c r="D39" s="171">
        <f>SUM(D10:D38)</f>
        <v>0</v>
      </c>
      <c r="E39" s="171">
        <f t="shared" ref="E39:M39" si="2">SUM(E10:E38)</f>
        <v>0</v>
      </c>
      <c r="F39" s="171">
        <f t="shared" si="2"/>
        <v>0</v>
      </c>
      <c r="G39" s="171">
        <f t="shared" si="2"/>
        <v>0</v>
      </c>
      <c r="H39" s="171">
        <f t="shared" si="2"/>
        <v>0</v>
      </c>
      <c r="I39" s="171">
        <f t="shared" si="2"/>
        <v>0</v>
      </c>
      <c r="J39" s="171">
        <f t="shared" si="2"/>
        <v>0</v>
      </c>
      <c r="K39" s="171">
        <f t="shared" si="2"/>
        <v>0</v>
      </c>
      <c r="L39" s="171">
        <f t="shared" si="2"/>
        <v>0</v>
      </c>
      <c r="M39" s="171">
        <f t="shared" si="2"/>
        <v>0</v>
      </c>
      <c r="N39" s="171">
        <f>SUM(N10:N38)</f>
        <v>0</v>
      </c>
      <c r="O39" s="171">
        <f>SUM(O10:O38)</f>
        <v>0</v>
      </c>
      <c r="P39" s="171">
        <f>SUM(P10:P38)</f>
        <v>0</v>
      </c>
      <c r="Q39" s="171" t="str">
        <f>IFERROR(P39/C39,"")</f>
        <v/>
      </c>
      <c r="R39" s="519"/>
      <c r="S39" s="517"/>
    </row>
    <row r="40" spans="1:36" s="16" customFormat="1" ht="6.75" customHeight="1" x14ac:dyDescent="0.15">
      <c r="A40" s="32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 s="16" customFormat="1" x14ac:dyDescent="0.15">
      <c r="A41" s="32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242"/>
      <c r="Q41" s="32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6" s="16" customFormat="1" x14ac:dyDescent="0.15">
      <c r="A42" s="35"/>
      <c r="P42" s="518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6" x14ac:dyDescent="0.15">
      <c r="P43" s="518"/>
      <c r="AI43" s="49"/>
    </row>
    <row r="44" spans="1:36" x14ac:dyDescent="0.15">
      <c r="P44" s="1"/>
      <c r="AI44" s="49"/>
    </row>
  </sheetData>
  <sheetProtection algorithmName="SHA-512" hashValue="N66sHzLyq1rECyUxMwPTGb6sHtfGBslkGlNYFnptutBUzZRryI1f341YCm6IVEqh43berqfMid7gaFAF5iTdKw==" saltValue="6EJaeezIpjCaoJ4n9D5pOA==" spinCount="100000" sheet="1" objects="1" scenarios="1"/>
  <dataValidations count="2">
    <dataValidation allowBlank="1" showInputMessage="1" showErrorMessage="1" sqref="F6 J6" xr:uid="{00000000-0002-0000-0C00-000000000000}"/>
    <dataValidation allowBlank="1" showInputMessage="1" showErrorMessage="1" promptTitle="Feauile Equipes" prompt="Ne saisir aucune donnée sur cette feuilles. Les  y sont faits automatiquement" sqref="E6 G6:I6" xr:uid="{00000000-0002-0000-0C00-000001000000}"/>
  </dataValidations>
  <printOptions horizontalCentered="1"/>
  <pageMargins left="0.59055118110236227" right="0.59055118110236227" top="0.59055118110236227" bottom="0.59055118110236227" header="0.31496062992125984" footer="0.31496062992125984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8"/>
  <sheetViews>
    <sheetView showGridLines="0" topLeftCell="A17" zoomScaleSheetLayoutView="100" workbookViewId="0">
      <selection activeCell="A43" sqref="A43:XFD43"/>
    </sheetView>
  </sheetViews>
  <sheetFormatPr defaultColWidth="11.4609375" defaultRowHeight="12.75" x14ac:dyDescent="0.15"/>
  <cols>
    <col min="1" max="1" width="39.9140625" style="1" customWidth="1"/>
    <col min="2" max="2" width="13.6171875" style="1" customWidth="1"/>
    <col min="3" max="3" width="13.078125" style="1" customWidth="1"/>
    <col min="4" max="4" width="12.9453125" style="1" customWidth="1"/>
    <col min="5" max="5" width="13.6171875" style="1" customWidth="1"/>
    <col min="6" max="6" width="12.26953125" style="1" customWidth="1"/>
    <col min="7" max="7" width="1.6171875" style="1" customWidth="1"/>
    <col min="8" max="16384" width="11.4609375" style="1"/>
  </cols>
  <sheetData>
    <row r="1" spans="1:8" s="5" customFormat="1" ht="33" x14ac:dyDescent="0.2">
      <c r="A1" s="734" t="str">
        <f>'1.Stratégie'!B2</f>
        <v>Microplanification Campagne de vaccination préventive contre la Rougeole et la Rubeole (RR), 2023</v>
      </c>
      <c r="B1" s="305"/>
      <c r="C1" s="305"/>
      <c r="D1" s="305"/>
      <c r="E1" s="305"/>
      <c r="F1" s="305"/>
      <c r="G1" s="164"/>
      <c r="H1" s="164"/>
    </row>
    <row r="2" spans="1:8" ht="3.75" customHeight="1" x14ac:dyDescent="0.25">
      <c r="A2" s="306"/>
      <c r="B2" s="307"/>
      <c r="C2" s="307"/>
      <c r="D2" s="307"/>
      <c r="E2" s="307"/>
      <c r="F2"/>
      <c r="G2"/>
      <c r="H2"/>
    </row>
    <row r="3" spans="1:8" ht="18" x14ac:dyDescent="0.2">
      <c r="A3" s="308" t="s">
        <v>440</v>
      </c>
      <c r="B3" s="307"/>
      <c r="C3" s="307"/>
      <c r="D3" s="307"/>
      <c r="E3" s="307"/>
      <c r="F3"/>
      <c r="G3"/>
      <c r="H3"/>
    </row>
    <row r="4" spans="1:8" ht="3.75" customHeight="1" x14ac:dyDescent="0.15">
      <c r="A4"/>
      <c r="B4"/>
      <c r="C4"/>
      <c r="D4"/>
      <c r="E4"/>
      <c r="F4"/>
      <c r="G4"/>
      <c r="H4"/>
    </row>
    <row r="5" spans="1:8" ht="18" x14ac:dyDescent="0.2">
      <c r="A5" s="309" t="str">
        <f>'1.Stratégie'!B4</f>
        <v>PAYS :</v>
      </c>
      <c r="B5" s="873" t="str">
        <f>'1.Stratégie'!C4</f>
        <v>CAMEROUN</v>
      </c>
      <c r="C5" s="874"/>
      <c r="D5" s="21" t="str">
        <f>'1.Stratégie'!$D$4</f>
        <v>REGION :</v>
      </c>
      <c r="E5" s="826">
        <f>'1.Stratégie'!$E$4</f>
        <v>0</v>
      </c>
      <c r="F5" s="828"/>
      <c r="G5" s="21"/>
      <c r="H5"/>
    </row>
    <row r="6" spans="1:8" ht="7.5" customHeight="1" x14ac:dyDescent="0.15">
      <c r="A6" s="296"/>
      <c r="B6"/>
      <c r="C6"/>
      <c r="D6"/>
      <c r="E6"/>
      <c r="F6"/>
      <c r="G6"/>
      <c r="H6"/>
    </row>
    <row r="7" spans="1:8" ht="18" x14ac:dyDescent="0.15">
      <c r="A7" s="296"/>
      <c r="B7"/>
      <c r="C7"/>
      <c r="D7" s="24" t="str">
        <f>IF(('1.Stratégie'!$F$4)="","",'1.Stratégie'!$F$4)</f>
        <v>DISTRICT :</v>
      </c>
      <c r="E7" s="826">
        <f>IF(('1.Stratégie'!$G$4)="","",'1.Stratégie'!$G$4)</f>
        <v>0</v>
      </c>
      <c r="F7" s="826"/>
      <c r="G7"/>
      <c r="H7"/>
    </row>
    <row r="8" spans="1:8" s="6" customFormat="1" ht="6" customHeight="1" x14ac:dyDescent="0.15">
      <c r="A8" s="298"/>
      <c r="B8" s="298"/>
      <c r="C8" s="298"/>
      <c r="D8" s="298"/>
      <c r="E8" s="298"/>
      <c r="F8" s="298"/>
      <c r="G8" s="298"/>
      <c r="H8" s="298"/>
    </row>
    <row r="9" spans="1:8" s="6" customFormat="1" x14ac:dyDescent="0.15">
      <c r="A9" s="310" t="s">
        <v>61</v>
      </c>
      <c r="B9" s="298"/>
      <c r="C9" s="298"/>
      <c r="D9" s="298"/>
      <c r="E9" s="298"/>
      <c r="F9" s="298"/>
      <c r="G9" s="298"/>
      <c r="H9" s="298"/>
    </row>
    <row r="10" spans="1:8" s="115" customFormat="1" ht="9" customHeight="1" x14ac:dyDescent="0.15">
      <c r="A10" s="311"/>
      <c r="B10" s="312"/>
      <c r="C10" s="312"/>
      <c r="D10" s="312"/>
      <c r="E10" s="312"/>
      <c r="F10" s="312"/>
      <c r="G10" s="312"/>
      <c r="H10" s="312"/>
    </row>
    <row r="11" spans="1:8" s="115" customFormat="1" x14ac:dyDescent="0.15">
      <c r="A11" s="311"/>
      <c r="B11" s="334" t="s">
        <v>23</v>
      </c>
      <c r="C11" s="313"/>
      <c r="D11" s="312"/>
      <c r="E11" s="312"/>
      <c r="F11" s="312"/>
      <c r="G11" s="312"/>
      <c r="H11" s="312"/>
    </row>
    <row r="12" spans="1:8" s="115" customFormat="1" x14ac:dyDescent="0.15">
      <c r="A12" s="279" t="s">
        <v>62</v>
      </c>
      <c r="B12" s="299">
        <f>'1.Stratégie'!$J$38</f>
        <v>0</v>
      </c>
      <c r="C12" s="314"/>
      <c r="D12" s="312"/>
      <c r="E12" s="312"/>
      <c r="F12" s="312"/>
      <c r="G12" s="312"/>
      <c r="H12" s="312"/>
    </row>
    <row r="13" spans="1:8" s="115" customFormat="1" x14ac:dyDescent="0.15">
      <c r="A13" s="315" t="str">
        <f>"Population cible "&amp;'Page de garde'!$D$16</f>
        <v>Population cible RR</v>
      </c>
      <c r="B13" s="299">
        <f>'2.Equipe'!$D$37</f>
        <v>0</v>
      </c>
      <c r="C13" s="314"/>
      <c r="D13" s="312"/>
      <c r="E13" s="312"/>
      <c r="F13" s="312"/>
      <c r="G13" s="312"/>
      <c r="H13" s="312"/>
    </row>
    <row r="14" spans="1:8" s="115" customFormat="1" x14ac:dyDescent="0.15">
      <c r="A14" s="315" t="s">
        <v>79</v>
      </c>
      <c r="B14" s="299">
        <f>'2.Equipe'!$F$37</f>
        <v>0</v>
      </c>
      <c r="C14" s="314"/>
      <c r="D14" s="312"/>
      <c r="E14" s="312"/>
      <c r="F14" s="312"/>
      <c r="G14" s="312"/>
      <c r="H14" s="312"/>
    </row>
    <row r="15" spans="1:8" s="115" customFormat="1" x14ac:dyDescent="0.15">
      <c r="A15" s="315" t="s">
        <v>80</v>
      </c>
      <c r="B15" s="299">
        <f>'2.Equipe'!$H$37</f>
        <v>0</v>
      </c>
      <c r="C15" s="314"/>
      <c r="D15" s="312"/>
      <c r="E15" s="312"/>
      <c r="F15" s="312"/>
      <c r="G15" s="312"/>
      <c r="H15" s="312"/>
    </row>
    <row r="16" spans="1:8" s="115" customFormat="1" x14ac:dyDescent="0.15">
      <c r="A16" s="316" t="s">
        <v>81</v>
      </c>
      <c r="B16" s="299">
        <f>'2.Equipe'!$J$37</f>
        <v>0</v>
      </c>
      <c r="C16" s="314"/>
      <c r="D16" s="312"/>
      <c r="E16" s="312"/>
      <c r="F16" s="312"/>
      <c r="G16" s="312"/>
      <c r="H16" s="312"/>
    </row>
    <row r="17" spans="1:8" s="115" customFormat="1" x14ac:dyDescent="0.15">
      <c r="A17" s="316" t="s">
        <v>82</v>
      </c>
      <c r="B17" s="299">
        <f>'2.Equipe'!$L$37</f>
        <v>0</v>
      </c>
      <c r="C17" s="314"/>
      <c r="D17" s="312"/>
      <c r="E17" s="312"/>
      <c r="F17" s="312"/>
      <c r="G17" s="312"/>
      <c r="H17" s="312"/>
    </row>
    <row r="18" spans="1:8" s="115" customFormat="1" ht="10.5" customHeight="1" x14ac:dyDescent="0.15">
      <c r="A18" s="312"/>
      <c r="B18" s="312"/>
      <c r="C18" s="312"/>
      <c r="D18" s="312"/>
      <c r="E18" s="312"/>
      <c r="F18" s="312"/>
      <c r="G18" s="312"/>
      <c r="H18" s="312"/>
    </row>
    <row r="19" spans="1:8" s="115" customFormat="1" x14ac:dyDescent="0.15">
      <c r="A19" s="317" t="s">
        <v>83</v>
      </c>
      <c r="B19" s="318"/>
      <c r="C19" s="312"/>
      <c r="D19" s="312"/>
      <c r="E19" s="312"/>
      <c r="F19" s="312"/>
      <c r="G19" s="312"/>
      <c r="H19" s="312"/>
    </row>
    <row r="20" spans="1:8" s="115" customFormat="1" ht="9" customHeight="1" x14ac:dyDescent="0.15">
      <c r="A20" s="311"/>
      <c r="B20" s="312"/>
      <c r="C20" s="312"/>
      <c r="D20" s="312"/>
      <c r="E20" s="312"/>
      <c r="F20" s="312"/>
      <c r="G20" s="312"/>
      <c r="H20" s="312"/>
    </row>
    <row r="21" spans="1:8" s="115" customFormat="1" x14ac:dyDescent="0.15">
      <c r="A21" s="311"/>
      <c r="B21" s="334" t="s">
        <v>23</v>
      </c>
      <c r="C21" s="313"/>
      <c r="D21" s="312"/>
      <c r="E21" s="312"/>
      <c r="F21" s="312"/>
      <c r="G21" s="312"/>
      <c r="H21" s="312"/>
    </row>
    <row r="22" spans="1:8" s="115" customFormat="1" x14ac:dyDescent="0.15">
      <c r="A22" s="319" t="str">
        <f>'Page de garde'!$D$16 &amp;" (nombre de flacons)"</f>
        <v>RR (nombre de flacons)</v>
      </c>
      <c r="B22" s="272">
        <f>'4.Vaccin_intrant'!$X$38/'Page de garde'!$D$18</f>
        <v>0</v>
      </c>
      <c r="C22" s="320"/>
      <c r="D22" s="312"/>
      <c r="E22" s="312"/>
      <c r="F22" s="312"/>
      <c r="G22" s="312"/>
      <c r="H22" s="312"/>
    </row>
    <row r="23" spans="1:8" s="115" customFormat="1" x14ac:dyDescent="0.15">
      <c r="A23" s="319" t="s">
        <v>163</v>
      </c>
      <c r="B23" s="321">
        <f>'4.Vaccin_intrant'!$Y$38</f>
        <v>0</v>
      </c>
      <c r="C23" s="322"/>
      <c r="D23" s="312"/>
      <c r="E23" s="312"/>
      <c r="F23" s="312"/>
      <c r="G23" s="312"/>
      <c r="H23" s="312"/>
    </row>
    <row r="24" spans="1:8" s="115" customFormat="1" x14ac:dyDescent="0.15">
      <c r="A24" s="319" t="s">
        <v>191</v>
      </c>
      <c r="B24" s="321">
        <f>'4.Vaccin_intrant'!$Z$38</f>
        <v>0</v>
      </c>
      <c r="C24" s="322"/>
      <c r="D24" s="312"/>
      <c r="E24" s="312"/>
      <c r="F24" s="312"/>
      <c r="G24" s="312"/>
      <c r="H24" s="312"/>
    </row>
    <row r="25" spans="1:8" s="115" customFormat="1" x14ac:dyDescent="0.15">
      <c r="A25" s="319" t="s">
        <v>84</v>
      </c>
      <c r="B25" s="321">
        <f>'4.Vaccin_intrant'!$AA$38</f>
        <v>0</v>
      </c>
      <c r="C25" s="322"/>
      <c r="D25" s="312"/>
      <c r="E25" s="312"/>
      <c r="F25" s="312"/>
      <c r="G25" s="312"/>
      <c r="H25" s="312"/>
    </row>
    <row r="26" spans="1:8" s="115" customFormat="1" x14ac:dyDescent="0.15">
      <c r="A26" s="319" t="s">
        <v>205</v>
      </c>
      <c r="B26" s="321">
        <f>'4.Vaccin_intrant'!$AB$38</f>
        <v>0</v>
      </c>
      <c r="C26" s="322"/>
      <c r="D26" s="312"/>
      <c r="E26" s="312"/>
      <c r="F26" s="312"/>
      <c r="G26" s="312"/>
      <c r="H26" s="312"/>
    </row>
    <row r="27" spans="1:8" s="115" customFormat="1" x14ac:dyDescent="0.15">
      <c r="A27" s="319" t="s">
        <v>206</v>
      </c>
      <c r="B27" s="321">
        <f>'4.Vaccin_intrant'!$AC$38</f>
        <v>0</v>
      </c>
      <c r="C27" s="322"/>
      <c r="D27" s="122">
        <f>IF($B$13=0,0,$D$66/$B$13)</f>
        <v>0</v>
      </c>
      <c r="E27" s="312"/>
      <c r="F27" s="312"/>
      <c r="G27" s="312"/>
      <c r="H27" s="312"/>
    </row>
    <row r="28" spans="1:8" s="115" customFormat="1" x14ac:dyDescent="0.15">
      <c r="A28" s="319" t="s">
        <v>207</v>
      </c>
      <c r="B28" s="321">
        <f>'4.Vaccin_intrant'!$AD$38</f>
        <v>0</v>
      </c>
      <c r="C28" s="322"/>
      <c r="D28" s="335">
        <f>D27/500</f>
        <v>0</v>
      </c>
      <c r="E28" s="312"/>
      <c r="F28" s="312"/>
      <c r="G28" s="312"/>
      <c r="H28" s="312"/>
    </row>
    <row r="29" spans="1:8" s="115" customFormat="1" ht="9" customHeight="1" x14ac:dyDescent="0.15">
      <c r="A29" s="323"/>
      <c r="B29" s="324"/>
      <c r="C29" s="324"/>
      <c r="D29" s="312"/>
      <c r="E29" s="312"/>
      <c r="F29" s="312"/>
      <c r="G29" s="312"/>
      <c r="H29" s="312"/>
    </row>
    <row r="30" spans="1:8" s="115" customFormat="1" x14ac:dyDescent="0.15">
      <c r="A30" s="325" t="s">
        <v>85</v>
      </c>
      <c r="B30" s="312"/>
      <c r="C30" s="312"/>
      <c r="D30" s="312"/>
      <c r="E30" s="312"/>
      <c r="F30" s="312"/>
      <c r="G30" s="312"/>
      <c r="H30" s="312"/>
    </row>
    <row r="31" spans="1:8" s="115" customFormat="1" x14ac:dyDescent="0.15">
      <c r="A31" s="326" t="s">
        <v>63</v>
      </c>
      <c r="B31" s="275" t="s">
        <v>64</v>
      </c>
      <c r="C31" s="274" t="s">
        <v>65</v>
      </c>
      <c r="D31" s="275" t="s">
        <v>66</v>
      </c>
      <c r="E31" s="312"/>
      <c r="F31" s="312"/>
      <c r="G31" s="312"/>
      <c r="H31" s="312"/>
    </row>
    <row r="32" spans="1:8" s="115" customFormat="1" x14ac:dyDescent="0.15">
      <c r="A32" s="279" t="s">
        <v>67</v>
      </c>
      <c r="B32" s="279">
        <f>'5.Chaîne_froid'!$G$38</f>
        <v>0</v>
      </c>
      <c r="C32" s="279">
        <f>'5.Chaîne_froid'!$K$38</f>
        <v>0</v>
      </c>
      <c r="D32" s="279">
        <f>B32-C32</f>
        <v>0</v>
      </c>
      <c r="E32" s="312"/>
      <c r="F32" s="312"/>
      <c r="G32" s="312"/>
      <c r="H32" s="312"/>
    </row>
    <row r="33" spans="1:8" s="115" customFormat="1" x14ac:dyDescent="0.15">
      <c r="A33" s="279" t="s">
        <v>68</v>
      </c>
      <c r="B33" s="279">
        <f>'5.Chaîne_froid'!$H$38</f>
        <v>0</v>
      </c>
      <c r="C33" s="279">
        <f>'5.Chaîne_froid'!$L$38</f>
        <v>0</v>
      </c>
      <c r="D33" s="279">
        <f>B33-C33</f>
        <v>0</v>
      </c>
      <c r="E33" s="312"/>
      <c r="F33" s="312"/>
      <c r="G33" s="312"/>
      <c r="H33" s="312"/>
    </row>
    <row r="34" spans="1:8" s="115" customFormat="1" x14ac:dyDescent="0.15">
      <c r="A34" s="279" t="s">
        <v>86</v>
      </c>
      <c r="B34" s="279">
        <f>'5.Chaîne_froid'!$I$38</f>
        <v>0</v>
      </c>
      <c r="C34" s="279">
        <f>'5.Chaîne_froid'!$M$38</f>
        <v>0</v>
      </c>
      <c r="D34" s="279">
        <f>B34-C34</f>
        <v>0</v>
      </c>
      <c r="E34" s="312"/>
      <c r="F34" s="312"/>
      <c r="G34" s="312"/>
      <c r="H34" s="312"/>
    </row>
    <row r="35" spans="1:8" s="115" customFormat="1" x14ac:dyDescent="0.15">
      <c r="A35" s="279" t="s">
        <v>69</v>
      </c>
      <c r="B35" s="279">
        <f>'5.Chaîne_froid'!$J$38</f>
        <v>0</v>
      </c>
      <c r="C35" s="279">
        <f>'5.Chaîne_froid'!$O$38</f>
        <v>0</v>
      </c>
      <c r="D35" s="279">
        <f>B35-C35</f>
        <v>0</v>
      </c>
      <c r="E35" s="312"/>
      <c r="F35" s="312"/>
      <c r="G35" s="312"/>
      <c r="H35" s="312"/>
    </row>
    <row r="36" spans="1:8" s="115" customFormat="1" ht="7.5" customHeight="1" x14ac:dyDescent="0.15">
      <c r="A36" s="312"/>
      <c r="B36" s="312"/>
      <c r="C36" s="312"/>
      <c r="D36" s="312"/>
      <c r="E36" s="312"/>
      <c r="F36" s="312"/>
      <c r="G36" s="312"/>
      <c r="H36" s="312"/>
    </row>
    <row r="37" spans="1:8" s="115" customFormat="1" x14ac:dyDescent="0.15">
      <c r="A37" s="317" t="s">
        <v>70</v>
      </c>
      <c r="B37" s="312"/>
      <c r="C37" s="312"/>
      <c r="D37" s="312"/>
      <c r="E37" s="312"/>
      <c r="F37" s="312"/>
      <c r="G37" s="312"/>
      <c r="H37" s="312"/>
    </row>
    <row r="38" spans="1:8" s="115" customFormat="1" x14ac:dyDescent="0.15">
      <c r="A38" s="311"/>
      <c r="B38" s="275" t="s">
        <v>64</v>
      </c>
      <c r="C38" s="275" t="s">
        <v>65</v>
      </c>
      <c r="D38" s="275" t="s">
        <v>66</v>
      </c>
      <c r="E38" s="312"/>
      <c r="F38" s="324"/>
      <c r="G38" s="312"/>
      <c r="H38" s="312"/>
    </row>
    <row r="39" spans="1:8" s="115" customFormat="1" x14ac:dyDescent="0.15">
      <c r="A39" s="279" t="s">
        <v>71</v>
      </c>
      <c r="B39" s="279">
        <f>'3.Personnel'!$D$38+'3.Personnel'!$H$38+'3.Personnel'!$K$38+'3.Personnel'!$N$38</f>
        <v>0</v>
      </c>
      <c r="C39" s="279"/>
      <c r="D39" s="279">
        <f>B39-C39</f>
        <v>0</v>
      </c>
      <c r="E39" s="312"/>
      <c r="F39" s="312"/>
      <c r="G39" s="312"/>
      <c r="H39" s="312"/>
    </row>
    <row r="40" spans="1:8" s="115" customFormat="1" x14ac:dyDescent="0.15">
      <c r="A40" s="316" t="s">
        <v>72</v>
      </c>
      <c r="B40" s="279">
        <f>'3.Personnel'!$E$38+'3.Personnel'!$I$38+'3.Personnel'!$L$38+'3.Personnel'!$O$38</f>
        <v>0</v>
      </c>
      <c r="C40" s="279"/>
      <c r="D40" s="279">
        <f t="shared" ref="D40:D46" si="0">B40-C40</f>
        <v>0</v>
      </c>
      <c r="E40" s="312"/>
      <c r="F40" s="312"/>
      <c r="G40" s="312"/>
      <c r="H40" s="312"/>
    </row>
    <row r="41" spans="1:8" s="115" customFormat="1" x14ac:dyDescent="0.15">
      <c r="A41" s="316" t="s">
        <v>87</v>
      </c>
      <c r="B41" s="279">
        <f>'3.Personnel'!$F$38</f>
        <v>0</v>
      </c>
      <c r="C41" s="279"/>
      <c r="D41" s="279">
        <f t="shared" si="0"/>
        <v>0</v>
      </c>
      <c r="E41" s="312"/>
      <c r="F41" s="312"/>
      <c r="G41" s="312"/>
      <c r="H41" s="312"/>
    </row>
    <row r="42" spans="1:8" s="115" customFormat="1" x14ac:dyDescent="0.15">
      <c r="A42" s="316" t="s">
        <v>403</v>
      </c>
      <c r="B42" s="279">
        <f>'3.Personnel'!$T$38</f>
        <v>0</v>
      </c>
      <c r="C42" s="279"/>
      <c r="D42" s="279">
        <f t="shared" si="0"/>
        <v>0</v>
      </c>
      <c r="E42" s="312"/>
      <c r="F42" s="312"/>
      <c r="G42" s="312"/>
      <c r="H42" s="312"/>
    </row>
    <row r="43" spans="1:8" s="115" customFormat="1" x14ac:dyDescent="0.15">
      <c r="A43" s="316" t="s">
        <v>404</v>
      </c>
      <c r="B43" s="279">
        <f>'3.Personnel'!$Y$38</f>
        <v>0</v>
      </c>
      <c r="C43" s="279"/>
      <c r="D43" s="279">
        <f t="shared" si="0"/>
        <v>0</v>
      </c>
      <c r="E43" s="312"/>
      <c r="F43" s="312"/>
      <c r="G43" s="312"/>
      <c r="H43" s="312"/>
    </row>
    <row r="44" spans="1:8" s="115" customFormat="1" x14ac:dyDescent="0.15">
      <c r="A44" s="316" t="s">
        <v>73</v>
      </c>
      <c r="B44" s="279">
        <f>'3.Personnel'!$W$38</f>
        <v>0</v>
      </c>
      <c r="C44" s="279"/>
      <c r="D44" s="279">
        <f t="shared" si="0"/>
        <v>0</v>
      </c>
      <c r="E44" s="312"/>
      <c r="F44" s="312"/>
      <c r="G44" s="312"/>
      <c r="H44" s="312"/>
    </row>
    <row r="45" spans="1:8" s="115" customFormat="1" x14ac:dyDescent="0.15">
      <c r="A45" s="316" t="s">
        <v>424</v>
      </c>
      <c r="B45" s="279">
        <f>SUM('3.Personnel'!$T$38,'3.Personnel'!$X$38)</f>
        <v>0</v>
      </c>
      <c r="C45" s="279"/>
      <c r="D45" s="279">
        <f t="shared" si="0"/>
        <v>0</v>
      </c>
      <c r="E45" s="312"/>
      <c r="F45" s="312"/>
      <c r="G45" s="312"/>
      <c r="H45" s="312"/>
    </row>
    <row r="46" spans="1:8" s="115" customFormat="1" x14ac:dyDescent="0.15">
      <c r="A46" s="316" t="s">
        <v>74</v>
      </c>
      <c r="B46" s="279">
        <f>'3.Personnel'!$Z$38</f>
        <v>0</v>
      </c>
      <c r="C46" s="279"/>
      <c r="D46" s="279">
        <f t="shared" si="0"/>
        <v>0</v>
      </c>
      <c r="E46" s="312"/>
      <c r="F46" s="324"/>
      <c r="G46" s="312"/>
      <c r="H46" s="312"/>
    </row>
    <row r="47" spans="1:8" s="115" customFormat="1" ht="7.5" customHeight="1" x14ac:dyDescent="0.15">
      <c r="A47" s="312"/>
      <c r="B47" s="312"/>
      <c r="C47" s="312"/>
      <c r="D47" s="312"/>
      <c r="E47" s="312"/>
      <c r="F47" s="312"/>
      <c r="G47" s="312"/>
      <c r="H47" s="312"/>
    </row>
    <row r="48" spans="1:8" s="115" customFormat="1" x14ac:dyDescent="0.15">
      <c r="A48" s="317" t="s">
        <v>75</v>
      </c>
      <c r="B48" s="312"/>
      <c r="C48" s="312"/>
      <c r="D48" s="312"/>
      <c r="E48" s="312"/>
      <c r="F48" s="312"/>
      <c r="G48" s="312"/>
      <c r="H48" s="312"/>
    </row>
    <row r="49" spans="1:8" s="115" customFormat="1" ht="9" customHeight="1" x14ac:dyDescent="0.15">
      <c r="A49" s="311"/>
      <c r="B49" s="312"/>
      <c r="C49" s="312"/>
      <c r="D49" s="312"/>
      <c r="E49" s="312"/>
      <c r="F49" s="312"/>
      <c r="G49" s="312"/>
      <c r="H49" s="312"/>
    </row>
    <row r="50" spans="1:8" s="115" customFormat="1" x14ac:dyDescent="0.15">
      <c r="A50" s="311"/>
      <c r="B50" s="275" t="s">
        <v>64</v>
      </c>
      <c r="C50" s="275" t="s">
        <v>65</v>
      </c>
      <c r="D50" s="275" t="s">
        <v>66</v>
      </c>
      <c r="E50" s="312"/>
      <c r="F50" s="312"/>
      <c r="G50" s="312"/>
      <c r="H50" s="312"/>
    </row>
    <row r="51" spans="1:8" s="115" customFormat="1" x14ac:dyDescent="0.15">
      <c r="A51" s="279" t="s">
        <v>76</v>
      </c>
      <c r="B51" s="279">
        <f>'8.Transport_DS'!$E$56</f>
        <v>1</v>
      </c>
      <c r="C51" s="279">
        <f>'8.Transport_DS'!$E$54</f>
        <v>0</v>
      </c>
      <c r="D51" s="327">
        <f>B51-C51</f>
        <v>1</v>
      </c>
      <c r="E51" s="312"/>
      <c r="F51" s="312"/>
      <c r="G51" s="312"/>
      <c r="H51" s="312"/>
    </row>
    <row r="52" spans="1:8" s="115" customFormat="1" x14ac:dyDescent="0.15">
      <c r="A52" s="279" t="s">
        <v>77</v>
      </c>
      <c r="B52" s="279">
        <f>'8.Transport_DS'!$E$51+'7.Transport_AS'!$D$46</f>
        <v>4</v>
      </c>
      <c r="C52" s="279">
        <f>'8.Transport_DS'!$E$49+'7.Transport_AS'!$C$46</f>
        <v>0</v>
      </c>
      <c r="D52" s="327">
        <f>B52-C52</f>
        <v>4</v>
      </c>
      <c r="E52" s="312"/>
      <c r="F52" s="312"/>
      <c r="G52" s="312"/>
      <c r="H52" s="312"/>
    </row>
    <row r="53" spans="1:8" s="115" customFormat="1" x14ac:dyDescent="0.15">
      <c r="A53" s="279" t="s">
        <v>78</v>
      </c>
      <c r="B53" s="279"/>
      <c r="C53" s="279"/>
      <c r="D53" s="327">
        <f>B53-C53</f>
        <v>0</v>
      </c>
      <c r="E53" s="312"/>
      <c r="F53" s="312"/>
      <c r="G53" s="312"/>
      <c r="H53" s="312"/>
    </row>
    <row r="54" spans="1:8" s="115" customFormat="1" x14ac:dyDescent="0.15">
      <c r="A54" s="312"/>
      <c r="B54" s="312"/>
      <c r="C54" s="312"/>
      <c r="D54" s="312"/>
      <c r="E54" s="312"/>
      <c r="F54" s="312"/>
      <c r="G54" s="312"/>
      <c r="H54" s="312"/>
    </row>
    <row r="55" spans="1:8" s="115" customFormat="1" x14ac:dyDescent="0.15">
      <c r="A55" s="317" t="s">
        <v>88</v>
      </c>
      <c r="B55" s="312" t="s">
        <v>89</v>
      </c>
      <c r="C55" s="312"/>
      <c r="D55" s="328"/>
      <c r="E55" s="329"/>
      <c r="F55" s="312"/>
      <c r="G55" s="312"/>
      <c r="H55" s="312"/>
    </row>
    <row r="56" spans="1:8" s="115" customFormat="1" x14ac:dyDescent="0.15">
      <c r="A56" s="279"/>
      <c r="B56" s="303" t="s">
        <v>428</v>
      </c>
      <c r="C56" s="304" t="s">
        <v>398</v>
      </c>
      <c r="D56" s="330" t="s">
        <v>25</v>
      </c>
      <c r="E56" s="312"/>
      <c r="F56" s="312"/>
      <c r="G56" s="312"/>
      <c r="H56" s="312"/>
    </row>
    <row r="57" spans="1:8" s="115" customFormat="1" x14ac:dyDescent="0.15">
      <c r="A57" s="279" t="s">
        <v>436</v>
      </c>
      <c r="B57" s="299">
        <f>'9.budget_AS'!$K$39</f>
        <v>0</v>
      </c>
      <c r="C57" s="301">
        <f>'10.budget_SSD'!$E$39</f>
        <v>0</v>
      </c>
      <c r="D57" s="333">
        <f>SUM(B57:C57)</f>
        <v>0</v>
      </c>
      <c r="E57" s="312"/>
      <c r="F57" s="312"/>
      <c r="G57" s="312"/>
      <c r="H57" s="312"/>
    </row>
    <row r="58" spans="1:8" s="115" customFormat="1" x14ac:dyDescent="0.15">
      <c r="A58" s="336" t="s">
        <v>433</v>
      </c>
      <c r="B58" s="299">
        <f>'9.budget_AS'!$P$39</f>
        <v>0</v>
      </c>
      <c r="C58" s="301">
        <f>'10.budget_SSD'!$J$39</f>
        <v>0</v>
      </c>
      <c r="D58" s="333">
        <f>SUM(B58:C58)</f>
        <v>0</v>
      </c>
      <c r="E58" s="312"/>
      <c r="F58" s="312"/>
      <c r="G58" s="312"/>
      <c r="H58" s="312"/>
    </row>
    <row r="59" spans="1:8" s="115" customFormat="1" x14ac:dyDescent="0.15">
      <c r="A59" s="279" t="s">
        <v>429</v>
      </c>
      <c r="B59" s="299">
        <f>SUM('9.budget_AS'!$E$39:$I$39,'9.budget_AS'!$L$39,'9.budget_AS'!$N$39)</f>
        <v>0</v>
      </c>
      <c r="C59" s="332"/>
      <c r="D59" s="333">
        <f t="shared" ref="D59:D65" si="1">SUM(B59:C59)</f>
        <v>0</v>
      </c>
      <c r="E59" s="312"/>
      <c r="F59" s="312"/>
      <c r="G59" s="312"/>
      <c r="H59" s="312"/>
    </row>
    <row r="60" spans="1:8" s="115" customFormat="1" x14ac:dyDescent="0.15">
      <c r="A60" s="279" t="s">
        <v>430</v>
      </c>
      <c r="B60" s="299">
        <f>'9.budget_AS'!$M$39</f>
        <v>0</v>
      </c>
      <c r="C60" s="332"/>
      <c r="D60" s="333">
        <f t="shared" si="1"/>
        <v>0</v>
      </c>
      <c r="E60" s="312"/>
      <c r="F60" s="312"/>
      <c r="G60" s="312"/>
      <c r="H60" s="312"/>
    </row>
    <row r="61" spans="1:8" s="115" customFormat="1" x14ac:dyDescent="0.15">
      <c r="A61" s="279" t="s">
        <v>431</v>
      </c>
      <c r="B61" s="299">
        <f>SUM('9.budget_AS'!$O$39,'9.budget_AS'!$Q$39:$S$39)</f>
        <v>0</v>
      </c>
      <c r="C61" s="301">
        <f>SUM('10.budget_SSD'!$K$39:$M$39)</f>
        <v>0</v>
      </c>
      <c r="D61" s="333">
        <f t="shared" si="1"/>
        <v>0</v>
      </c>
      <c r="E61" s="312"/>
      <c r="F61" s="312"/>
      <c r="G61" s="312"/>
      <c r="H61" s="312"/>
    </row>
    <row r="62" spans="1:8" s="115" customFormat="1" x14ac:dyDescent="0.15">
      <c r="A62" s="279" t="s">
        <v>432</v>
      </c>
      <c r="B62" s="331"/>
      <c r="C62" s="301">
        <f>SUM('10.budget_SSD'!$F$39:$I$39)</f>
        <v>0</v>
      </c>
      <c r="D62" s="333">
        <f t="shared" si="1"/>
        <v>0</v>
      </c>
      <c r="E62" s="312"/>
      <c r="F62" s="312"/>
      <c r="G62" s="312"/>
      <c r="H62" s="312"/>
    </row>
    <row r="63" spans="1:8" s="115" customFormat="1" x14ac:dyDescent="0.15">
      <c r="A63" s="279" t="s">
        <v>434</v>
      </c>
      <c r="B63" s="331"/>
      <c r="C63" s="301">
        <f>SUM('10.budget_SSD'!$N$39:$O$39)</f>
        <v>0</v>
      </c>
      <c r="D63" s="333">
        <f t="shared" si="1"/>
        <v>0</v>
      </c>
      <c r="E63" s="312"/>
      <c r="F63" s="312"/>
      <c r="G63" s="312"/>
      <c r="H63" s="312"/>
    </row>
    <row r="64" spans="1:8" s="115" customFormat="1" x14ac:dyDescent="0.15">
      <c r="A64" s="279" t="s">
        <v>435</v>
      </c>
      <c r="B64" s="331"/>
      <c r="C64" s="299">
        <f>'8.Transport_DS'!$E$42</f>
        <v>0</v>
      </c>
      <c r="D64" s="333">
        <f t="shared" si="1"/>
        <v>0</v>
      </c>
      <c r="E64" s="312"/>
      <c r="F64" s="312"/>
      <c r="G64" s="312"/>
      <c r="H64" s="312"/>
    </row>
    <row r="65" spans="1:8" s="115" customFormat="1" x14ac:dyDescent="0.15">
      <c r="A65" s="279" t="s">
        <v>445</v>
      </c>
      <c r="B65" s="331"/>
      <c r="C65" s="299">
        <f>IF('1.Stratégie'!$J$38=0,0,'14.MobSoc'!$C$24*'14.MobSoc'!$E$24)</f>
        <v>0</v>
      </c>
      <c r="D65" s="333">
        <f t="shared" si="1"/>
        <v>0</v>
      </c>
      <c r="E65" s="312"/>
      <c r="F65" s="312"/>
      <c r="G65" s="312"/>
      <c r="H65" s="312"/>
    </row>
    <row r="66" spans="1:8" s="115" customFormat="1" x14ac:dyDescent="0.15">
      <c r="A66" s="333" t="s">
        <v>94</v>
      </c>
      <c r="B66" s="300">
        <f>SUM(B57:B65)</f>
        <v>0</v>
      </c>
      <c r="C66" s="300">
        <f>SUM(C57:C65)</f>
        <v>0</v>
      </c>
      <c r="D66" s="302">
        <f>SUM(D57:D65)</f>
        <v>0</v>
      </c>
      <c r="E66" s="312"/>
      <c r="F66" s="312"/>
      <c r="G66" s="312"/>
      <c r="H66" s="312"/>
    </row>
    <row r="67" spans="1:8" s="6" customFormat="1" x14ac:dyDescent="0.15">
      <c r="A67" s="298"/>
      <c r="B67" s="298"/>
      <c r="C67" s="298"/>
      <c r="D67" s="298"/>
      <c r="E67" s="298"/>
      <c r="F67" s="298"/>
      <c r="G67" s="298"/>
      <c r="H67" s="298"/>
    </row>
    <row r="68" spans="1:8" s="6" customFormat="1" x14ac:dyDescent="0.15"/>
    <row r="69" spans="1:8" s="6" customFormat="1" x14ac:dyDescent="0.15"/>
    <row r="70" spans="1:8" s="6" customFormat="1" x14ac:dyDescent="0.15"/>
    <row r="71" spans="1:8" s="6" customFormat="1" x14ac:dyDescent="0.15"/>
    <row r="72" spans="1:8" s="6" customFormat="1" x14ac:dyDescent="0.15"/>
    <row r="73" spans="1:8" s="6" customFormat="1" x14ac:dyDescent="0.15"/>
    <row r="74" spans="1:8" s="6" customFormat="1" x14ac:dyDescent="0.15"/>
    <row r="75" spans="1:8" s="6" customFormat="1" x14ac:dyDescent="0.15"/>
    <row r="76" spans="1:8" s="6" customFormat="1" x14ac:dyDescent="0.15"/>
    <row r="77" spans="1:8" s="6" customFormat="1" x14ac:dyDescent="0.15"/>
    <row r="78" spans="1:8" s="6" customFormat="1" x14ac:dyDescent="0.15"/>
    <row r="79" spans="1:8" s="6" customFormat="1" x14ac:dyDescent="0.15"/>
    <row r="80" spans="1:8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  <row r="106" s="6" customFormat="1" x14ac:dyDescent="0.15"/>
    <row r="107" s="6" customFormat="1" x14ac:dyDescent="0.15"/>
    <row r="108" s="6" customFormat="1" x14ac:dyDescent="0.15"/>
    <row r="109" s="6" customFormat="1" x14ac:dyDescent="0.15"/>
    <row r="110" s="6" customFormat="1" x14ac:dyDescent="0.15"/>
    <row r="111" s="6" customFormat="1" x14ac:dyDescent="0.15"/>
    <row r="112" s="6" customFormat="1" x14ac:dyDescent="0.15"/>
    <row r="113" s="6" customFormat="1" x14ac:dyDescent="0.15"/>
    <row r="114" s="6" customFormat="1" x14ac:dyDescent="0.15"/>
    <row r="115" s="6" customFormat="1" x14ac:dyDescent="0.15"/>
    <row r="116" s="6" customFormat="1" x14ac:dyDescent="0.15"/>
    <row r="117" s="6" customFormat="1" x14ac:dyDescent="0.15"/>
    <row r="118" s="6" customFormat="1" x14ac:dyDescent="0.15"/>
  </sheetData>
  <sheetProtection password="CD7B" sheet="1" objects="1" scenarios="1"/>
  <phoneticPr fontId="16" type="noConversion"/>
  <dataValidations count="2">
    <dataValidation allowBlank="1" showInputMessage="1" showErrorMessage="1" promptTitle="Feauile Equipes" prompt="Ne saisir aucune donnée sur cette feuilles. Les  y sont faits automatiquement" sqref="F7 D7 D5 F5:G5" xr:uid="{00000000-0002-0000-0D00-000000000000}"/>
    <dataValidation allowBlank="1" showInputMessage="1" showErrorMessage="1" sqref="E5" xr:uid="{00000000-0002-0000-0D00-000001000000}"/>
  </dataValidations>
  <pageMargins left="0.27559055118110237" right="0.19685039370078741" top="0.27559055118110237" bottom="0.23622047244094491" header="0.19685039370078741" footer="0.19685039370078741"/>
  <pageSetup paperSize="9"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02"/>
  <sheetViews>
    <sheetView showGridLines="0" topLeftCell="A9" zoomScale="120" zoomScaleNormal="120" workbookViewId="0">
      <selection activeCell="C9" sqref="C9"/>
    </sheetView>
  </sheetViews>
  <sheetFormatPr defaultColWidth="11.4609375" defaultRowHeight="12.75" x14ac:dyDescent="0.15"/>
  <cols>
    <col min="1" max="1" width="34.38671875" customWidth="1"/>
    <col min="2" max="2" width="12.40625" customWidth="1"/>
    <col min="7" max="7" width="11.32421875" customWidth="1"/>
    <col min="11" max="11" width="1.6171875" customWidth="1"/>
  </cols>
  <sheetData>
    <row r="1" spans="1:10" ht="17.25" x14ac:dyDescent="0.2">
      <c r="A1" s="738" t="str">
        <f>'1.Stratégie'!B2</f>
        <v>Microplanification Campagne de vaccination préventive contre la Rougeole et la Rubeole (RR), 2023</v>
      </c>
    </row>
    <row r="3" spans="1:10" ht="18" x14ac:dyDescent="0.2">
      <c r="A3" s="337" t="s">
        <v>441</v>
      </c>
    </row>
    <row r="4" spans="1:10" x14ac:dyDescent="0.15">
      <c r="A4" s="298"/>
    </row>
    <row r="5" spans="1:10" ht="20.25" x14ac:dyDescent="0.25">
      <c r="A5" s="344" t="str">
        <f>'1.Stratégie'!B4</f>
        <v>PAYS :</v>
      </c>
      <c r="B5" s="345" t="str">
        <f>'1.Stratégie'!C4</f>
        <v>CAMEROUN</v>
      </c>
      <c r="C5" s="344"/>
      <c r="D5" s="21" t="str">
        <f>'1.Stratégie'!$D$4</f>
        <v>REGION :</v>
      </c>
      <c r="E5" s="826">
        <f>'1.Stratégie'!$E$4</f>
        <v>0</v>
      </c>
      <c r="F5" s="828"/>
      <c r="G5" s="21"/>
      <c r="H5" s="24" t="str">
        <f>IF(('1.Stratégie'!$F$4)="","",'1.Stratégie'!$F$4)</f>
        <v>DISTRICT :</v>
      </c>
      <c r="I5" s="826">
        <f>IF(('1.Stratégie'!$G$4)="","",'1.Stratégie'!$G$4)</f>
        <v>0</v>
      </c>
      <c r="J5" s="826"/>
    </row>
    <row r="6" spans="1:10" x14ac:dyDescent="0.15">
      <c r="A6" s="346"/>
      <c r="B6" s="346"/>
      <c r="C6" s="346"/>
      <c r="D6" s="346"/>
      <c r="E6" s="346"/>
      <c r="F6" s="346"/>
      <c r="G6" s="347"/>
      <c r="H6" s="346"/>
      <c r="I6" s="346"/>
      <c r="J6" s="346"/>
    </row>
    <row r="7" spans="1:10" x14ac:dyDescent="0.15">
      <c r="A7" s="348"/>
      <c r="B7" s="349" t="s">
        <v>446</v>
      </c>
      <c r="C7" s="350" t="s">
        <v>447</v>
      </c>
      <c r="D7" s="350"/>
      <c r="E7" s="350"/>
      <c r="F7" s="350"/>
      <c r="G7" s="350"/>
      <c r="H7" s="349" t="s">
        <v>448</v>
      </c>
      <c r="I7" s="926" t="s">
        <v>449</v>
      </c>
      <c r="J7" s="928" t="s">
        <v>450</v>
      </c>
    </row>
    <row r="8" spans="1:10" ht="35.25" x14ac:dyDescent="0.15">
      <c r="A8" s="351" t="s">
        <v>101</v>
      </c>
      <c r="B8" s="352" t="s">
        <v>457</v>
      </c>
      <c r="C8" s="352" t="s">
        <v>451</v>
      </c>
      <c r="D8" s="352" t="s">
        <v>452</v>
      </c>
      <c r="E8" s="352" t="s">
        <v>453</v>
      </c>
      <c r="F8" s="352" t="s">
        <v>454</v>
      </c>
      <c r="G8" s="353" t="s">
        <v>455</v>
      </c>
      <c r="H8" s="352" t="s">
        <v>456</v>
      </c>
      <c r="I8" s="927"/>
      <c r="J8" s="929"/>
    </row>
    <row r="9" spans="1:10" s="39" customFormat="1" ht="30" customHeight="1" x14ac:dyDescent="0.15">
      <c r="A9" s="336" t="s">
        <v>436</v>
      </c>
      <c r="B9" s="340">
        <f>'11.Recap'!D57</f>
        <v>0</v>
      </c>
      <c r="C9" s="133"/>
      <c r="D9" s="133"/>
      <c r="E9" s="133"/>
      <c r="F9" s="340">
        <f t="shared" ref="F9" si="0">SUM(C9:E9)</f>
        <v>0</v>
      </c>
      <c r="G9" s="354">
        <f>IF(B9=0,0,F9/B9)</f>
        <v>0</v>
      </c>
      <c r="H9" s="340">
        <f>B9-F9</f>
        <v>0</v>
      </c>
      <c r="I9" s="341"/>
      <c r="J9" s="341"/>
    </row>
    <row r="10" spans="1:10" s="39" customFormat="1" ht="30" customHeight="1" x14ac:dyDescent="0.15">
      <c r="A10" s="336" t="s">
        <v>433</v>
      </c>
      <c r="B10" s="340">
        <f>'11.Recap'!D58</f>
        <v>0</v>
      </c>
      <c r="C10" s="342"/>
      <c r="D10" s="342"/>
      <c r="E10" s="342"/>
      <c r="F10" s="355">
        <f t="shared" ref="F10" si="1">SUM(C10:E10)</f>
        <v>0</v>
      </c>
      <c r="G10" s="354">
        <f t="shared" ref="G10:G17" si="2">IF(B10=0,0,F10/B10)</f>
        <v>0</v>
      </c>
      <c r="H10" s="340">
        <f t="shared" ref="H10:H17" si="3">B10-F10</f>
        <v>0</v>
      </c>
      <c r="I10" s="343"/>
      <c r="J10" s="343"/>
    </row>
    <row r="11" spans="1:10" s="39" customFormat="1" ht="30" customHeight="1" x14ac:dyDescent="0.15">
      <c r="A11" s="336" t="s">
        <v>429</v>
      </c>
      <c r="B11" s="340">
        <f>'11.Recap'!D59</f>
        <v>0</v>
      </c>
      <c r="C11" s="342"/>
      <c r="D11" s="342"/>
      <c r="E11" s="342"/>
      <c r="F11" s="355">
        <f t="shared" ref="F11:F17" si="4">SUM(C11:E11)</f>
        <v>0</v>
      </c>
      <c r="G11" s="354">
        <f t="shared" si="2"/>
        <v>0</v>
      </c>
      <c r="H11" s="340">
        <f t="shared" si="3"/>
        <v>0</v>
      </c>
      <c r="I11" s="343"/>
      <c r="J11" s="343"/>
    </row>
    <row r="12" spans="1:10" s="39" customFormat="1" ht="30" customHeight="1" x14ac:dyDescent="0.15">
      <c r="A12" s="336" t="s">
        <v>430</v>
      </c>
      <c r="B12" s="340">
        <f>'11.Recap'!D60</f>
        <v>0</v>
      </c>
      <c r="C12" s="342"/>
      <c r="D12" s="342"/>
      <c r="E12" s="342"/>
      <c r="F12" s="355">
        <f t="shared" si="4"/>
        <v>0</v>
      </c>
      <c r="G12" s="354">
        <f t="shared" si="2"/>
        <v>0</v>
      </c>
      <c r="H12" s="340">
        <f t="shared" si="3"/>
        <v>0</v>
      </c>
      <c r="I12" s="343"/>
      <c r="J12" s="343"/>
    </row>
    <row r="13" spans="1:10" s="39" customFormat="1" ht="30" customHeight="1" x14ac:dyDescent="0.15">
      <c r="A13" s="336" t="s">
        <v>431</v>
      </c>
      <c r="B13" s="340">
        <f>'11.Recap'!D61</f>
        <v>0</v>
      </c>
      <c r="C13" s="342"/>
      <c r="D13" s="342"/>
      <c r="E13" s="342"/>
      <c r="F13" s="355">
        <f t="shared" si="4"/>
        <v>0</v>
      </c>
      <c r="G13" s="354">
        <f t="shared" si="2"/>
        <v>0</v>
      </c>
      <c r="H13" s="340">
        <f t="shared" si="3"/>
        <v>0</v>
      </c>
      <c r="I13" s="343"/>
      <c r="J13" s="343"/>
    </row>
    <row r="14" spans="1:10" s="39" customFormat="1" ht="30" customHeight="1" x14ac:dyDescent="0.15">
      <c r="A14" s="336" t="s">
        <v>432</v>
      </c>
      <c r="B14" s="340">
        <f>'11.Recap'!D62</f>
        <v>0</v>
      </c>
      <c r="C14" s="342"/>
      <c r="D14" s="342"/>
      <c r="E14" s="342"/>
      <c r="F14" s="355">
        <f t="shared" si="4"/>
        <v>0</v>
      </c>
      <c r="G14" s="354">
        <f t="shared" si="2"/>
        <v>0</v>
      </c>
      <c r="H14" s="340">
        <f t="shared" si="3"/>
        <v>0</v>
      </c>
      <c r="I14" s="343"/>
      <c r="J14" s="343"/>
    </row>
    <row r="15" spans="1:10" s="39" customFormat="1" ht="30" customHeight="1" x14ac:dyDescent="0.15">
      <c r="A15" s="336" t="s">
        <v>434</v>
      </c>
      <c r="B15" s="340">
        <f>'11.Recap'!D63</f>
        <v>0</v>
      </c>
      <c r="C15" s="342"/>
      <c r="D15" s="342"/>
      <c r="E15" s="342"/>
      <c r="F15" s="355">
        <f t="shared" si="4"/>
        <v>0</v>
      </c>
      <c r="G15" s="354">
        <f t="shared" si="2"/>
        <v>0</v>
      </c>
      <c r="H15" s="340">
        <f t="shared" si="3"/>
        <v>0</v>
      </c>
      <c r="I15" s="343"/>
      <c r="J15" s="343"/>
    </row>
    <row r="16" spans="1:10" s="39" customFormat="1" ht="30" customHeight="1" x14ac:dyDescent="0.15">
      <c r="A16" s="336" t="s">
        <v>435</v>
      </c>
      <c r="B16" s="340">
        <f>'11.Recap'!D64</f>
        <v>0</v>
      </c>
      <c r="C16" s="342"/>
      <c r="D16" s="342"/>
      <c r="E16" s="342"/>
      <c r="F16" s="355">
        <f t="shared" si="4"/>
        <v>0</v>
      </c>
      <c r="G16" s="354">
        <f t="shared" si="2"/>
        <v>0</v>
      </c>
      <c r="H16" s="340">
        <f t="shared" si="3"/>
        <v>0</v>
      </c>
      <c r="I16" s="343"/>
      <c r="J16" s="343"/>
    </row>
    <row r="17" spans="1:10" s="39" customFormat="1" ht="30" customHeight="1" x14ac:dyDescent="0.15">
      <c r="A17" s="336" t="s">
        <v>445</v>
      </c>
      <c r="B17" s="340">
        <f>'11.Recap'!D65</f>
        <v>0</v>
      </c>
      <c r="C17" s="342"/>
      <c r="D17" s="342"/>
      <c r="E17" s="342"/>
      <c r="F17" s="355">
        <f t="shared" si="4"/>
        <v>0</v>
      </c>
      <c r="G17" s="354">
        <f t="shared" si="2"/>
        <v>0</v>
      </c>
      <c r="H17" s="340">
        <f t="shared" si="3"/>
        <v>0</v>
      </c>
      <c r="I17" s="343"/>
      <c r="J17" s="343"/>
    </row>
    <row r="18" spans="1:10" s="39" customFormat="1" ht="30" customHeight="1" x14ac:dyDescent="0.15">
      <c r="A18" s="356" t="str">
        <f>"TOTAL  "&amp;I5</f>
        <v>TOTAL  0</v>
      </c>
      <c r="B18" s="358">
        <f>SUM(B9:B17)</f>
        <v>0</v>
      </c>
      <c r="C18" s="358">
        <f t="shared" ref="C18:F18" si="5">SUM(C9:C17)</f>
        <v>0</v>
      </c>
      <c r="D18" s="358">
        <f t="shared" si="5"/>
        <v>0</v>
      </c>
      <c r="E18" s="358">
        <f t="shared" si="5"/>
        <v>0</v>
      </c>
      <c r="F18" s="358">
        <f t="shared" si="5"/>
        <v>0</v>
      </c>
      <c r="G18" s="359">
        <f>IF(B18=0,0,F18/B18)</f>
        <v>0</v>
      </c>
      <c r="H18" s="358">
        <f>SUM(H9:H17)</f>
        <v>0</v>
      </c>
      <c r="I18" s="357"/>
      <c r="J18" s="357"/>
    </row>
    <row r="19" spans="1:10" s="39" customFormat="1" ht="30" customHeight="1" x14ac:dyDescent="0.15"/>
    <row r="20" spans="1:10" s="1" customFormat="1" x14ac:dyDescent="0.15"/>
    <row r="21" spans="1:10" s="1" customFormat="1" x14ac:dyDescent="0.15"/>
    <row r="22" spans="1:10" s="1" customFormat="1" x14ac:dyDescent="0.15"/>
    <row r="23" spans="1:10" s="1" customFormat="1" x14ac:dyDescent="0.15"/>
    <row r="24" spans="1:10" s="1" customFormat="1" x14ac:dyDescent="0.15"/>
    <row r="25" spans="1:10" s="1" customFormat="1" x14ac:dyDescent="0.15"/>
    <row r="26" spans="1:10" s="1" customFormat="1" x14ac:dyDescent="0.15"/>
    <row r="27" spans="1:10" s="1" customFormat="1" x14ac:dyDescent="0.15"/>
    <row r="28" spans="1:10" s="1" customFormat="1" x14ac:dyDescent="0.15"/>
    <row r="29" spans="1:10" s="1" customFormat="1" x14ac:dyDescent="0.15"/>
    <row r="30" spans="1:10" s="1" customFormat="1" x14ac:dyDescent="0.15"/>
    <row r="31" spans="1:10" s="1" customFormat="1" x14ac:dyDescent="0.15"/>
    <row r="32" spans="1:10" s="1" customFormat="1" x14ac:dyDescent="0.15"/>
    <row r="33" s="1" customFormat="1" x14ac:dyDescent="0.15"/>
    <row r="34" s="1" customFormat="1" x14ac:dyDescent="0.15"/>
    <row r="35" s="1" customFormat="1" x14ac:dyDescent="0.15"/>
    <row r="36" s="1" customFormat="1" x14ac:dyDescent="0.15"/>
    <row r="37" s="1" customFormat="1" x14ac:dyDescent="0.15"/>
    <row r="38" s="1" customFormat="1" x14ac:dyDescent="0.15"/>
    <row r="39" s="1" customFormat="1" x14ac:dyDescent="0.15"/>
    <row r="40" s="1" customFormat="1" x14ac:dyDescent="0.15"/>
    <row r="41" s="1" customFormat="1" x14ac:dyDescent="0.15"/>
    <row r="42" s="1" customFormat="1" x14ac:dyDescent="0.15"/>
    <row r="43" s="1" customFormat="1" x14ac:dyDescent="0.15"/>
    <row r="44" s="1" customFormat="1" x14ac:dyDescent="0.15"/>
    <row r="45" s="1" customFormat="1" x14ac:dyDescent="0.15"/>
    <row r="46" s="1" customFormat="1" x14ac:dyDescent="0.15"/>
    <row r="47" s="1" customFormat="1" x14ac:dyDescent="0.15"/>
    <row r="48" s="1" customFormat="1" x14ac:dyDescent="0.15"/>
    <row r="49" s="1" customFormat="1" x14ac:dyDescent="0.15"/>
    <row r="50" s="1" customFormat="1" x14ac:dyDescent="0.15"/>
    <row r="51" s="1" customFormat="1" x14ac:dyDescent="0.15"/>
    <row r="52" s="1" customFormat="1" x14ac:dyDescent="0.15"/>
    <row r="53" s="1" customFormat="1" x14ac:dyDescent="0.15"/>
    <row r="54" s="1" customFormat="1" x14ac:dyDescent="0.15"/>
    <row r="55" s="1" customFormat="1" x14ac:dyDescent="0.15"/>
    <row r="56" s="1" customFormat="1" x14ac:dyDescent="0.15"/>
    <row r="57" s="1" customFormat="1" x14ac:dyDescent="0.15"/>
    <row r="58" s="1" customFormat="1" x14ac:dyDescent="0.15"/>
    <row r="59" s="1" customFormat="1" x14ac:dyDescent="0.15"/>
    <row r="60" s="1" customFormat="1" x14ac:dyDescent="0.15"/>
    <row r="61" s="1" customFormat="1" x14ac:dyDescent="0.15"/>
    <row r="62" s="1" customFormat="1" x14ac:dyDescent="0.15"/>
    <row r="63" s="1" customFormat="1" x14ac:dyDescent="0.15"/>
    <row r="64" s="1" customFormat="1" x14ac:dyDescent="0.15"/>
    <row r="65" s="1" customFormat="1" x14ac:dyDescent="0.15"/>
    <row r="66" s="1" customFormat="1" x14ac:dyDescent="0.15"/>
    <row r="67" s="1" customFormat="1" x14ac:dyDescent="0.15"/>
    <row r="68" s="1" customFormat="1" x14ac:dyDescent="0.15"/>
    <row r="69" s="1" customFormat="1" x14ac:dyDescent="0.15"/>
    <row r="70" s="1" customFormat="1" x14ac:dyDescent="0.15"/>
    <row r="71" s="1" customFormat="1" x14ac:dyDescent="0.15"/>
    <row r="72" s="1" customFormat="1" x14ac:dyDescent="0.15"/>
    <row r="73" s="1" customFormat="1" x14ac:dyDescent="0.15"/>
    <row r="74" s="1" customFormat="1" x14ac:dyDescent="0.15"/>
    <row r="75" s="1" customFormat="1" x14ac:dyDescent="0.15"/>
    <row r="76" s="1" customFormat="1" x14ac:dyDescent="0.15"/>
    <row r="77" s="1" customFormat="1" x14ac:dyDescent="0.15"/>
    <row r="78" s="1" customFormat="1" x14ac:dyDescent="0.15"/>
    <row r="79" s="1" customFormat="1" x14ac:dyDescent="0.15"/>
    <row r="80" s="1" customFormat="1" x14ac:dyDescent="0.15"/>
    <row r="81" s="1" customFormat="1" x14ac:dyDescent="0.15"/>
    <row r="82" s="1" customFormat="1" x14ac:dyDescent="0.15"/>
    <row r="83" s="1" customFormat="1" x14ac:dyDescent="0.15"/>
    <row r="84" s="1" customFormat="1" x14ac:dyDescent="0.15"/>
    <row r="85" s="1" customFormat="1" x14ac:dyDescent="0.15"/>
    <row r="86" s="1" customFormat="1" x14ac:dyDescent="0.15"/>
    <row r="87" s="1" customFormat="1" x14ac:dyDescent="0.15"/>
    <row r="88" s="1" customFormat="1" x14ac:dyDescent="0.15"/>
    <row r="89" s="1" customFormat="1" x14ac:dyDescent="0.15"/>
    <row r="90" s="1" customFormat="1" x14ac:dyDescent="0.15"/>
    <row r="91" s="1" customFormat="1" x14ac:dyDescent="0.15"/>
    <row r="92" s="1" customFormat="1" x14ac:dyDescent="0.15"/>
    <row r="93" s="1" customFormat="1" x14ac:dyDescent="0.15"/>
    <row r="94" s="1" customFormat="1" x14ac:dyDescent="0.15"/>
    <row r="95" s="1" customFormat="1" x14ac:dyDescent="0.15"/>
    <row r="96" s="1" customFormat="1" x14ac:dyDescent="0.15"/>
    <row r="97" s="1" customFormat="1" x14ac:dyDescent="0.15"/>
    <row r="98" s="1" customFormat="1" x14ac:dyDescent="0.15"/>
    <row r="99" s="1" customFormat="1" x14ac:dyDescent="0.15"/>
    <row r="100" s="1" customFormat="1" x14ac:dyDescent="0.15"/>
    <row r="101" s="1" customFormat="1" x14ac:dyDescent="0.15"/>
    <row r="102" s="1" customFormat="1" x14ac:dyDescent="0.15"/>
    <row r="103" s="1" customFormat="1" x14ac:dyDescent="0.15"/>
    <row r="104" s="1" customFormat="1" x14ac:dyDescent="0.15"/>
    <row r="105" s="1" customFormat="1" x14ac:dyDescent="0.15"/>
    <row r="106" s="1" customFormat="1" x14ac:dyDescent="0.15"/>
    <row r="107" s="1" customFormat="1" x14ac:dyDescent="0.15"/>
    <row r="108" s="1" customFormat="1" x14ac:dyDescent="0.15"/>
    <row r="109" s="1" customFormat="1" x14ac:dyDescent="0.15"/>
    <row r="110" s="1" customFormat="1" x14ac:dyDescent="0.15"/>
    <row r="111" s="1" customFormat="1" x14ac:dyDescent="0.15"/>
    <row r="112" s="1" customFormat="1" x14ac:dyDescent="0.15"/>
    <row r="113" s="1" customFormat="1" x14ac:dyDescent="0.15"/>
    <row r="114" s="1" customFormat="1" x14ac:dyDescent="0.15"/>
    <row r="115" s="1" customFormat="1" x14ac:dyDescent="0.15"/>
    <row r="116" s="1" customFormat="1" x14ac:dyDescent="0.15"/>
    <row r="117" s="1" customFormat="1" x14ac:dyDescent="0.15"/>
    <row r="118" s="1" customFormat="1" x14ac:dyDescent="0.15"/>
    <row r="119" s="1" customFormat="1" x14ac:dyDescent="0.15"/>
    <row r="120" s="1" customFormat="1" x14ac:dyDescent="0.15"/>
    <row r="121" s="1" customFormat="1" x14ac:dyDescent="0.15"/>
    <row r="122" s="1" customFormat="1" x14ac:dyDescent="0.15"/>
    <row r="123" s="1" customFormat="1" x14ac:dyDescent="0.15"/>
    <row r="124" s="1" customFormat="1" x14ac:dyDescent="0.15"/>
    <row r="125" s="1" customFormat="1" x14ac:dyDescent="0.15"/>
    <row r="126" s="1" customFormat="1" x14ac:dyDescent="0.15"/>
    <row r="127" s="1" customFormat="1" x14ac:dyDescent="0.15"/>
    <row r="128" s="1" customFormat="1" x14ac:dyDescent="0.15"/>
    <row r="129" s="1" customFormat="1" x14ac:dyDescent="0.15"/>
    <row r="130" s="1" customFormat="1" x14ac:dyDescent="0.15"/>
    <row r="131" s="1" customFormat="1" x14ac:dyDescent="0.15"/>
    <row r="132" s="1" customFormat="1" x14ac:dyDescent="0.15"/>
    <row r="133" s="1" customFormat="1" x14ac:dyDescent="0.15"/>
    <row r="134" s="1" customFormat="1" x14ac:dyDescent="0.15"/>
    <row r="135" s="1" customFormat="1" x14ac:dyDescent="0.15"/>
    <row r="136" s="1" customFormat="1" x14ac:dyDescent="0.15"/>
    <row r="137" s="1" customFormat="1" x14ac:dyDescent="0.15"/>
    <row r="138" s="1" customFormat="1" x14ac:dyDescent="0.15"/>
    <row r="139" s="1" customFormat="1" x14ac:dyDescent="0.15"/>
    <row r="140" s="1" customFormat="1" x14ac:dyDescent="0.15"/>
    <row r="141" s="1" customFormat="1" x14ac:dyDescent="0.15"/>
    <row r="142" s="1" customFormat="1" x14ac:dyDescent="0.15"/>
    <row r="143" s="1" customFormat="1" x14ac:dyDescent="0.15"/>
    <row r="144" s="1" customFormat="1" x14ac:dyDescent="0.15"/>
    <row r="145" s="1" customFormat="1" x14ac:dyDescent="0.15"/>
    <row r="146" s="1" customFormat="1" x14ac:dyDescent="0.15"/>
    <row r="147" s="1" customFormat="1" x14ac:dyDescent="0.15"/>
    <row r="148" s="1" customFormat="1" x14ac:dyDescent="0.15"/>
    <row r="149" s="1" customFormat="1" x14ac:dyDescent="0.15"/>
    <row r="150" s="1" customFormat="1" x14ac:dyDescent="0.15"/>
    <row r="151" s="1" customFormat="1" x14ac:dyDescent="0.15"/>
    <row r="152" s="1" customFormat="1" x14ac:dyDescent="0.15"/>
    <row r="153" s="1" customFormat="1" x14ac:dyDescent="0.15"/>
    <row r="154" s="1" customFormat="1" x14ac:dyDescent="0.15"/>
    <row r="155" s="1" customFormat="1" x14ac:dyDescent="0.15"/>
    <row r="156" s="1" customFormat="1" x14ac:dyDescent="0.15"/>
    <row r="157" s="1" customFormat="1" x14ac:dyDescent="0.15"/>
    <row r="158" s="1" customFormat="1" x14ac:dyDescent="0.15"/>
    <row r="159" s="1" customFormat="1" x14ac:dyDescent="0.15"/>
    <row r="160" s="1" customFormat="1" x14ac:dyDescent="0.15"/>
    <row r="161" s="1" customFormat="1" x14ac:dyDescent="0.15"/>
    <row r="162" s="1" customFormat="1" x14ac:dyDescent="0.15"/>
    <row r="163" s="1" customFormat="1" x14ac:dyDescent="0.15"/>
    <row r="164" s="1" customFormat="1" x14ac:dyDescent="0.15"/>
    <row r="165" s="1" customFormat="1" x14ac:dyDescent="0.15"/>
    <row r="166" s="1" customFormat="1" x14ac:dyDescent="0.15"/>
    <row r="167" s="1" customFormat="1" x14ac:dyDescent="0.15"/>
    <row r="168" s="1" customFormat="1" x14ac:dyDescent="0.15"/>
    <row r="169" s="1" customFormat="1" x14ac:dyDescent="0.15"/>
    <row r="170" s="1" customFormat="1" x14ac:dyDescent="0.15"/>
    <row r="171" s="1" customFormat="1" x14ac:dyDescent="0.15"/>
    <row r="172" s="1" customFormat="1" x14ac:dyDescent="0.15"/>
    <row r="173" s="1" customFormat="1" x14ac:dyDescent="0.15"/>
    <row r="174" s="1" customFormat="1" x14ac:dyDescent="0.15"/>
    <row r="175" s="1" customFormat="1" x14ac:dyDescent="0.15"/>
    <row r="176" s="1" customFormat="1" x14ac:dyDescent="0.15"/>
    <row r="177" s="1" customFormat="1" x14ac:dyDescent="0.15"/>
    <row r="178" s="1" customFormat="1" x14ac:dyDescent="0.15"/>
    <row r="179" s="1" customFormat="1" x14ac:dyDescent="0.15"/>
    <row r="180" s="1" customFormat="1" x14ac:dyDescent="0.15"/>
    <row r="181" s="1" customFormat="1" x14ac:dyDescent="0.15"/>
    <row r="182" s="1" customFormat="1" x14ac:dyDescent="0.15"/>
    <row r="183" s="1" customFormat="1" x14ac:dyDescent="0.15"/>
    <row r="184" s="1" customFormat="1" x14ac:dyDescent="0.15"/>
    <row r="185" s="1" customFormat="1" x14ac:dyDescent="0.15"/>
    <row r="186" s="1" customFormat="1" x14ac:dyDescent="0.15"/>
    <row r="187" s="1" customFormat="1" x14ac:dyDescent="0.15"/>
    <row r="188" s="1" customFormat="1" x14ac:dyDescent="0.15"/>
    <row r="189" s="1" customFormat="1" x14ac:dyDescent="0.15"/>
    <row r="190" s="1" customFormat="1" x14ac:dyDescent="0.15"/>
    <row r="191" s="1" customFormat="1" x14ac:dyDescent="0.15"/>
    <row r="192" s="1" customFormat="1" x14ac:dyDescent="0.15"/>
    <row r="193" s="1" customFormat="1" x14ac:dyDescent="0.15"/>
    <row r="194" s="1" customFormat="1" x14ac:dyDescent="0.15"/>
    <row r="195" s="1" customFormat="1" x14ac:dyDescent="0.15"/>
    <row r="196" s="1" customFormat="1" x14ac:dyDescent="0.15"/>
    <row r="197" s="1" customFormat="1" x14ac:dyDescent="0.15"/>
    <row r="198" s="1" customFormat="1" x14ac:dyDescent="0.15"/>
    <row r="199" s="1" customFormat="1" x14ac:dyDescent="0.15"/>
    <row r="200" s="1" customFormat="1" x14ac:dyDescent="0.15"/>
    <row r="201" s="1" customFormat="1" x14ac:dyDescent="0.15"/>
    <row r="202" s="1" customFormat="1" x14ac:dyDescent="0.15"/>
    <row r="203" s="1" customFormat="1" x14ac:dyDescent="0.15"/>
    <row r="204" s="1" customFormat="1" x14ac:dyDescent="0.15"/>
    <row r="205" s="1" customFormat="1" x14ac:dyDescent="0.15"/>
    <row r="206" s="1" customFormat="1" x14ac:dyDescent="0.15"/>
    <row r="207" s="1" customFormat="1" x14ac:dyDescent="0.15"/>
    <row r="208" s="1" customFormat="1" x14ac:dyDescent="0.15"/>
    <row r="209" s="1" customFormat="1" x14ac:dyDescent="0.15"/>
    <row r="210" s="1" customFormat="1" x14ac:dyDescent="0.15"/>
    <row r="211" s="1" customFormat="1" x14ac:dyDescent="0.15"/>
    <row r="212" s="1" customFormat="1" x14ac:dyDescent="0.15"/>
    <row r="213" s="1" customFormat="1" x14ac:dyDescent="0.15"/>
    <row r="214" s="1" customFormat="1" x14ac:dyDescent="0.15"/>
    <row r="215" s="1" customFormat="1" x14ac:dyDescent="0.15"/>
    <row r="216" s="1" customFormat="1" x14ac:dyDescent="0.15"/>
    <row r="217" s="1" customFormat="1" x14ac:dyDescent="0.15"/>
    <row r="218" s="1" customFormat="1" x14ac:dyDescent="0.15"/>
    <row r="219" s="1" customFormat="1" x14ac:dyDescent="0.15"/>
    <row r="220" s="1" customFormat="1" x14ac:dyDescent="0.15"/>
    <row r="221" s="1" customFormat="1" x14ac:dyDescent="0.15"/>
    <row r="222" s="1" customFormat="1" x14ac:dyDescent="0.15"/>
    <row r="223" s="1" customFormat="1" x14ac:dyDescent="0.15"/>
    <row r="224" s="1" customFormat="1" x14ac:dyDescent="0.15"/>
    <row r="225" s="1" customFormat="1" x14ac:dyDescent="0.15"/>
    <row r="226" s="1" customFormat="1" x14ac:dyDescent="0.15"/>
    <row r="227" s="1" customFormat="1" x14ac:dyDescent="0.15"/>
    <row r="228" s="1" customFormat="1" x14ac:dyDescent="0.15"/>
    <row r="229" s="1" customFormat="1" x14ac:dyDescent="0.15"/>
    <row r="230" s="1" customFormat="1" x14ac:dyDescent="0.15"/>
    <row r="231" s="1" customFormat="1" x14ac:dyDescent="0.15"/>
    <row r="232" s="1" customFormat="1" x14ac:dyDescent="0.15"/>
    <row r="233" s="1" customFormat="1" x14ac:dyDescent="0.15"/>
    <row r="234" s="1" customFormat="1" x14ac:dyDescent="0.15"/>
    <row r="235" s="1" customFormat="1" x14ac:dyDescent="0.15"/>
    <row r="236" s="1" customFormat="1" x14ac:dyDescent="0.15"/>
    <row r="237" s="1" customFormat="1" x14ac:dyDescent="0.15"/>
    <row r="238" s="1" customFormat="1" x14ac:dyDescent="0.15"/>
    <row r="239" s="1" customFormat="1" x14ac:dyDescent="0.15"/>
    <row r="240" s="1" customFormat="1" x14ac:dyDescent="0.15"/>
    <row r="241" s="1" customFormat="1" x14ac:dyDescent="0.15"/>
    <row r="242" s="1" customFormat="1" x14ac:dyDescent="0.15"/>
    <row r="243" s="1" customFormat="1" x14ac:dyDescent="0.15"/>
    <row r="244" s="1" customFormat="1" x14ac:dyDescent="0.15"/>
    <row r="245" s="1" customFormat="1" x14ac:dyDescent="0.15"/>
    <row r="246" s="1" customFormat="1" x14ac:dyDescent="0.15"/>
    <row r="247" s="1" customFormat="1" x14ac:dyDescent="0.15"/>
    <row r="248" s="1" customFormat="1" x14ac:dyDescent="0.15"/>
    <row r="249" s="1" customFormat="1" x14ac:dyDescent="0.15"/>
    <row r="250" s="1" customFormat="1" x14ac:dyDescent="0.15"/>
    <row r="251" s="1" customFormat="1" x14ac:dyDescent="0.15"/>
    <row r="252" s="1" customFormat="1" x14ac:dyDescent="0.15"/>
    <row r="253" s="1" customFormat="1" x14ac:dyDescent="0.15"/>
    <row r="254" s="1" customFormat="1" x14ac:dyDescent="0.15"/>
    <row r="255" s="1" customFormat="1" x14ac:dyDescent="0.15"/>
    <row r="256" s="1" customFormat="1" x14ac:dyDescent="0.15"/>
    <row r="257" s="1" customFormat="1" x14ac:dyDescent="0.15"/>
    <row r="258" s="1" customFormat="1" x14ac:dyDescent="0.15"/>
    <row r="259" s="1" customFormat="1" x14ac:dyDescent="0.15"/>
    <row r="260" s="1" customFormat="1" x14ac:dyDescent="0.15"/>
    <row r="261" s="1" customFormat="1" x14ac:dyDescent="0.15"/>
    <row r="262" s="1" customFormat="1" x14ac:dyDescent="0.15"/>
    <row r="263" s="1" customFormat="1" x14ac:dyDescent="0.15"/>
    <row r="264" s="1" customFormat="1" x14ac:dyDescent="0.15"/>
    <row r="265" s="1" customFormat="1" x14ac:dyDescent="0.15"/>
    <row r="266" s="1" customFormat="1" x14ac:dyDescent="0.15"/>
    <row r="267" s="1" customFormat="1" x14ac:dyDescent="0.15"/>
    <row r="268" s="1" customFormat="1" x14ac:dyDescent="0.15"/>
    <row r="269" s="1" customFormat="1" x14ac:dyDescent="0.15"/>
    <row r="270" s="1" customFormat="1" x14ac:dyDescent="0.15"/>
    <row r="271" s="1" customFormat="1" x14ac:dyDescent="0.15"/>
    <row r="272" s="1" customFormat="1" x14ac:dyDescent="0.15"/>
    <row r="273" s="1" customFormat="1" x14ac:dyDescent="0.15"/>
    <row r="274" s="1" customFormat="1" x14ac:dyDescent="0.15"/>
    <row r="275" s="1" customFormat="1" x14ac:dyDescent="0.15"/>
    <row r="276" s="1" customFormat="1" x14ac:dyDescent="0.15"/>
    <row r="277" s="1" customFormat="1" x14ac:dyDescent="0.15"/>
    <row r="278" s="1" customFormat="1" x14ac:dyDescent="0.15"/>
    <row r="279" s="1" customFormat="1" x14ac:dyDescent="0.15"/>
    <row r="280" s="1" customFormat="1" x14ac:dyDescent="0.15"/>
    <row r="281" s="1" customFormat="1" x14ac:dyDescent="0.15"/>
    <row r="282" s="1" customFormat="1" x14ac:dyDescent="0.15"/>
    <row r="283" s="1" customFormat="1" x14ac:dyDescent="0.15"/>
    <row r="284" s="1" customFormat="1" x14ac:dyDescent="0.15"/>
    <row r="285" s="1" customFormat="1" x14ac:dyDescent="0.15"/>
    <row r="286" s="1" customFormat="1" x14ac:dyDescent="0.15"/>
    <row r="287" s="1" customFormat="1" x14ac:dyDescent="0.15"/>
    <row r="288" s="1" customFormat="1" x14ac:dyDescent="0.15"/>
    <row r="289" s="1" customFormat="1" x14ac:dyDescent="0.15"/>
    <row r="290" s="1" customFormat="1" x14ac:dyDescent="0.15"/>
    <row r="291" s="1" customFormat="1" x14ac:dyDescent="0.15"/>
    <row r="292" s="1" customFormat="1" x14ac:dyDescent="0.15"/>
    <row r="293" s="1" customFormat="1" x14ac:dyDescent="0.15"/>
    <row r="294" s="1" customFormat="1" x14ac:dyDescent="0.15"/>
    <row r="295" s="1" customFormat="1" x14ac:dyDescent="0.15"/>
    <row r="296" s="1" customFormat="1" x14ac:dyDescent="0.15"/>
    <row r="297" s="1" customFormat="1" x14ac:dyDescent="0.15"/>
    <row r="298" s="1" customFormat="1" x14ac:dyDescent="0.15"/>
    <row r="299" s="1" customFormat="1" x14ac:dyDescent="0.15"/>
    <row r="300" s="1" customFormat="1" x14ac:dyDescent="0.15"/>
    <row r="301" s="1" customFormat="1" x14ac:dyDescent="0.15"/>
    <row r="302" s="1" customFormat="1" x14ac:dyDescent="0.15"/>
  </sheetData>
  <sheetProtection password="CD7B" sheet="1" objects="1" scenarios="1"/>
  <mergeCells count="2">
    <mergeCell ref="I7:I8"/>
    <mergeCell ref="J7:J8"/>
  </mergeCells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D5:J5" xr:uid="{00000000-0002-0000-0E00-000000000000}"/>
  </dataValidations>
  <pageMargins left="0.59055118110236227" right="0.39370078740157483" top="0.98425196850393704" bottom="0.98425196850393704" header="0.51181102362204722" footer="0.51181102362204722"/>
  <pageSetup paperSize="9" scale="95" orientation="landscape" horizontalDpi="4294967293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L39"/>
  <sheetViews>
    <sheetView showGridLines="0" workbookViewId="0">
      <selection activeCell="V14" sqref="V14"/>
    </sheetView>
  </sheetViews>
  <sheetFormatPr defaultColWidth="11.4609375" defaultRowHeight="12.75" x14ac:dyDescent="0.15"/>
  <cols>
    <col min="1" max="1" width="0.94140625" customWidth="1"/>
    <col min="2" max="2" width="3.37109375" customWidth="1"/>
    <col min="3" max="3" width="34.38671875" style="39" customWidth="1"/>
    <col min="4" max="4" width="6.60546875" customWidth="1"/>
    <col min="5" max="5" width="8.4921875" customWidth="1"/>
    <col min="6" max="37" width="3.1015625" customWidth="1"/>
    <col min="38" max="38" width="17.93359375" customWidth="1"/>
    <col min="39" max="39" width="1.88671875" customWidth="1"/>
  </cols>
  <sheetData>
    <row r="1" spans="2:38" ht="18" x14ac:dyDescent="0.15">
      <c r="C1" s="739" t="str">
        <f>'1.Stratégie'!$B$2</f>
        <v>Microplanification Campagne de vaccination préventive contre la Rougeole et la Rubeole (RR), 2023</v>
      </c>
    </row>
    <row r="2" spans="2:38" ht="7.5" customHeight="1" x14ac:dyDescent="0.15">
      <c r="C2" s="31"/>
    </row>
    <row r="3" spans="2:38" s="39" customFormat="1" ht="18" x14ac:dyDescent="0.15">
      <c r="C3" s="338" t="s">
        <v>442</v>
      </c>
    </row>
    <row r="4" spans="2:38" s="39" customFormat="1" x14ac:dyDescent="0.15"/>
    <row r="5" spans="2:38" ht="20.25" x14ac:dyDescent="0.25">
      <c r="B5" s="77"/>
      <c r="C5" s="127" t="str">
        <f>'1.Stratégie'!B4</f>
        <v>PAYS :</v>
      </c>
      <c r="D5" s="875" t="str">
        <f>'1.Stratégie'!C4</f>
        <v>CAMEROUN</v>
      </c>
      <c r="E5" s="876"/>
      <c r="F5" s="876"/>
      <c r="J5" s="129" t="str">
        <f>'1.Stratégie'!$D$4</f>
        <v>REGION :</v>
      </c>
      <c r="K5" s="826">
        <f>'1.Stratégie'!$E$4</f>
        <v>0</v>
      </c>
      <c r="L5" s="828"/>
      <c r="M5" s="828"/>
      <c r="N5" s="876"/>
      <c r="O5" s="876"/>
      <c r="P5" s="876"/>
      <c r="Q5" s="876"/>
      <c r="U5" s="128" t="str">
        <f>IF(('1.Stratégie'!$F$4)="","",'1.Stratégie'!$F$4)</f>
        <v>DISTRICT :</v>
      </c>
      <c r="V5" s="826">
        <f>IF(('1.Stratégie'!$G$4)="","",'1.Stratégie'!$G$4)</f>
        <v>0</v>
      </c>
      <c r="W5" s="826"/>
      <c r="X5" s="826"/>
      <c r="Y5" s="876"/>
      <c r="Z5" s="876"/>
      <c r="AA5" s="876"/>
      <c r="AB5" s="876"/>
      <c r="AC5" s="876"/>
    </row>
    <row r="6" spans="2:38" ht="14.25" thickBot="1" x14ac:dyDescent="0.2">
      <c r="B6" s="78"/>
      <c r="C6" s="107"/>
      <c r="D6" s="78"/>
      <c r="E6" s="78"/>
      <c r="F6" s="78"/>
      <c r="G6" s="78"/>
      <c r="H6" s="78"/>
      <c r="I6" s="78"/>
      <c r="J6" s="78"/>
      <c r="K6" s="78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</row>
    <row r="7" spans="2:38" s="18" customFormat="1" ht="14.25" thickTop="1" x14ac:dyDescent="0.15">
      <c r="B7" s="87" t="s">
        <v>171</v>
      </c>
      <c r="C7" s="108" t="s">
        <v>172</v>
      </c>
      <c r="D7" s="88" t="s">
        <v>173</v>
      </c>
      <c r="E7" s="89" t="s">
        <v>239</v>
      </c>
      <c r="F7" s="91" t="s">
        <v>186</v>
      </c>
      <c r="G7" s="92"/>
      <c r="H7" s="92"/>
      <c r="I7" s="93"/>
      <c r="J7" s="91" t="s">
        <v>187</v>
      </c>
      <c r="K7" s="92"/>
      <c r="L7" s="92"/>
      <c r="M7" s="93"/>
      <c r="N7" s="91" t="s">
        <v>188</v>
      </c>
      <c r="O7" s="156"/>
      <c r="P7" s="156"/>
      <c r="Q7" s="157"/>
      <c r="R7" s="91" t="s">
        <v>189</v>
      </c>
      <c r="S7" s="156"/>
      <c r="T7" s="156"/>
      <c r="U7" s="157"/>
      <c r="V7" s="155" t="s">
        <v>511</v>
      </c>
      <c r="W7" s="156"/>
      <c r="X7" s="156"/>
      <c r="Y7" s="157"/>
      <c r="Z7" s="155" t="s">
        <v>512</v>
      </c>
      <c r="AA7" s="156"/>
      <c r="AB7" s="156"/>
      <c r="AC7" s="157"/>
      <c r="AD7" s="360" t="s">
        <v>513</v>
      </c>
      <c r="AE7" s="361"/>
      <c r="AF7" s="361"/>
      <c r="AG7" s="362"/>
      <c r="AH7" s="360" t="s">
        <v>514</v>
      </c>
      <c r="AI7" s="361"/>
      <c r="AJ7" s="361"/>
      <c r="AK7" s="362"/>
      <c r="AL7" s="106" t="s">
        <v>60</v>
      </c>
    </row>
    <row r="8" spans="2:38" ht="13.5" x14ac:dyDescent="0.15">
      <c r="B8" s="79"/>
      <c r="C8" s="109"/>
      <c r="D8" s="80"/>
      <c r="E8" s="81"/>
      <c r="F8" s="82" t="s">
        <v>174</v>
      </c>
      <c r="G8" s="83" t="s">
        <v>175</v>
      </c>
      <c r="H8" s="83" t="s">
        <v>176</v>
      </c>
      <c r="I8" s="84" t="s">
        <v>177</v>
      </c>
      <c r="J8" s="90" t="s">
        <v>174</v>
      </c>
      <c r="K8" s="83" t="s">
        <v>175</v>
      </c>
      <c r="L8" s="83" t="s">
        <v>176</v>
      </c>
      <c r="M8" s="85" t="s">
        <v>177</v>
      </c>
      <c r="N8" s="82" t="s">
        <v>174</v>
      </c>
      <c r="O8" s="83" t="s">
        <v>175</v>
      </c>
      <c r="P8" s="83" t="s">
        <v>176</v>
      </c>
      <c r="Q8" s="84" t="s">
        <v>177</v>
      </c>
      <c r="R8" s="82" t="s">
        <v>174</v>
      </c>
      <c r="S8" s="83" t="s">
        <v>175</v>
      </c>
      <c r="T8" s="83" t="s">
        <v>176</v>
      </c>
      <c r="U8" s="84" t="s">
        <v>177</v>
      </c>
      <c r="V8" s="82" t="s">
        <v>174</v>
      </c>
      <c r="W8" s="83" t="s">
        <v>175</v>
      </c>
      <c r="X8" s="83" t="s">
        <v>176</v>
      </c>
      <c r="Y8" s="84" t="s">
        <v>177</v>
      </c>
      <c r="Z8" s="82" t="s">
        <v>174</v>
      </c>
      <c r="AA8" s="83" t="s">
        <v>175</v>
      </c>
      <c r="AB8" s="83" t="s">
        <v>176</v>
      </c>
      <c r="AC8" s="84" t="s">
        <v>177</v>
      </c>
      <c r="AD8" s="82" t="s">
        <v>174</v>
      </c>
      <c r="AE8" s="83" t="s">
        <v>175</v>
      </c>
      <c r="AF8" s="83" t="s">
        <v>176</v>
      </c>
      <c r="AG8" s="84" t="s">
        <v>177</v>
      </c>
      <c r="AH8" s="82" t="s">
        <v>174</v>
      </c>
      <c r="AI8" s="83" t="s">
        <v>175</v>
      </c>
      <c r="AJ8" s="83" t="s">
        <v>176</v>
      </c>
      <c r="AK8" s="84" t="s">
        <v>177</v>
      </c>
      <c r="AL8" s="86"/>
    </row>
    <row r="9" spans="2:38" s="39" customFormat="1" ht="24" x14ac:dyDescent="0.15">
      <c r="B9" s="94">
        <v>1</v>
      </c>
      <c r="C9" s="95" t="s">
        <v>236</v>
      </c>
      <c r="D9" s="95" t="s">
        <v>178</v>
      </c>
      <c r="E9" s="96" t="s">
        <v>179</v>
      </c>
      <c r="F9" s="94"/>
      <c r="G9" s="95"/>
      <c r="H9" s="95"/>
      <c r="I9" s="96"/>
      <c r="J9" s="97"/>
      <c r="K9" s="95"/>
      <c r="L9" s="95"/>
      <c r="M9" s="881"/>
      <c r="N9" s="882"/>
      <c r="O9" s="95"/>
      <c r="P9" s="95"/>
      <c r="Q9" s="96"/>
      <c r="R9" s="94"/>
      <c r="S9" s="95"/>
      <c r="T9" s="95"/>
      <c r="U9" s="96"/>
      <c r="V9" s="94"/>
      <c r="W9" s="95"/>
      <c r="X9" s="95"/>
      <c r="Y9" s="96"/>
      <c r="Z9" s="94"/>
      <c r="AA9" s="95"/>
      <c r="AB9" s="95"/>
      <c r="AC9" s="96"/>
      <c r="AD9" s="94"/>
      <c r="AE9" s="95"/>
      <c r="AF9" s="95"/>
      <c r="AG9" s="96"/>
      <c r="AH9" s="94"/>
      <c r="AI9" s="95"/>
      <c r="AJ9" s="95"/>
      <c r="AK9" s="96"/>
      <c r="AL9" s="99"/>
    </row>
    <row r="10" spans="2:38" s="39" customFormat="1" ht="24" x14ac:dyDescent="0.15">
      <c r="B10" s="94">
        <v>2</v>
      </c>
      <c r="C10" s="95" t="s">
        <v>180</v>
      </c>
      <c r="D10" s="95"/>
      <c r="E10" s="96"/>
      <c r="F10" s="94"/>
      <c r="G10" s="95"/>
      <c r="H10" s="95"/>
      <c r="I10" s="96"/>
      <c r="J10" s="97"/>
      <c r="K10" s="95"/>
      <c r="L10" s="95"/>
      <c r="M10" s="98"/>
      <c r="N10" s="94"/>
      <c r="O10" s="883"/>
      <c r="P10" s="95"/>
      <c r="Q10" s="96"/>
      <c r="R10" s="94"/>
      <c r="S10" s="95"/>
      <c r="T10" s="95"/>
      <c r="U10" s="96"/>
      <c r="V10" s="94"/>
      <c r="W10" s="95"/>
      <c r="X10" s="95"/>
      <c r="Y10" s="96"/>
      <c r="Z10" s="94"/>
      <c r="AA10" s="95"/>
      <c r="AB10" s="95"/>
      <c r="AC10" s="96"/>
      <c r="AD10" s="94"/>
      <c r="AE10" s="95"/>
      <c r="AF10" s="95"/>
      <c r="AG10" s="96"/>
      <c r="AH10" s="94"/>
      <c r="AI10" s="95"/>
      <c r="AJ10" s="95"/>
      <c r="AK10" s="96"/>
      <c r="AL10" s="99"/>
    </row>
    <row r="11" spans="2:38" s="39" customFormat="1" ht="24" x14ac:dyDescent="0.15">
      <c r="B11" s="94">
        <v>3</v>
      </c>
      <c r="C11" s="95" t="s">
        <v>235</v>
      </c>
      <c r="D11" s="95"/>
      <c r="E11" s="96"/>
      <c r="F11" s="94"/>
      <c r="G11" s="95"/>
      <c r="H11" s="659"/>
      <c r="I11" s="96"/>
      <c r="J11" s="97"/>
      <c r="K11" s="95"/>
      <c r="L11" s="95"/>
      <c r="M11" s="98"/>
      <c r="N11" s="94"/>
      <c r="O11" s="95"/>
      <c r="P11" s="95"/>
      <c r="Q11" s="96"/>
      <c r="R11" s="94"/>
      <c r="S11" s="95"/>
      <c r="T11" s="95"/>
      <c r="U11" s="96"/>
      <c r="V11" s="94"/>
      <c r="W11" s="95"/>
      <c r="X11" s="95"/>
      <c r="Y11" s="96"/>
      <c r="Z11" s="94"/>
      <c r="AA11" s="95"/>
      <c r="AB11" s="95"/>
      <c r="AC11" s="96"/>
      <c r="AD11" s="94"/>
      <c r="AE11" s="95"/>
      <c r="AF11" s="95"/>
      <c r="AG11" s="96"/>
      <c r="AH11" s="94"/>
      <c r="AI11" s="95"/>
      <c r="AJ11" s="95"/>
      <c r="AK11" s="96"/>
      <c r="AL11" s="99"/>
    </row>
    <row r="12" spans="2:38" s="39" customFormat="1" ht="35.25" x14ac:dyDescent="0.15">
      <c r="B12" s="94">
        <v>4</v>
      </c>
      <c r="C12" s="95" t="s">
        <v>181</v>
      </c>
      <c r="D12" s="95"/>
      <c r="E12" s="96"/>
      <c r="F12" s="94"/>
      <c r="G12" s="95"/>
      <c r="H12" s="95"/>
      <c r="I12" s="96"/>
      <c r="J12" s="97"/>
      <c r="K12" s="95"/>
      <c r="L12" s="95"/>
      <c r="M12" s="98"/>
      <c r="N12" s="94"/>
      <c r="O12" s="95"/>
      <c r="P12" s="95"/>
      <c r="Q12" s="96"/>
      <c r="R12" s="94"/>
      <c r="S12" s="95"/>
      <c r="T12" s="95"/>
      <c r="U12" s="96"/>
      <c r="V12" s="94"/>
      <c r="W12" s="95"/>
      <c r="X12" s="95"/>
      <c r="Y12" s="96"/>
      <c r="Z12" s="94"/>
      <c r="AA12" s="95"/>
      <c r="AB12" s="95"/>
      <c r="AC12" s="96"/>
      <c r="AD12" s="94"/>
      <c r="AE12" s="95"/>
      <c r="AF12" s="95"/>
      <c r="AG12" s="96"/>
      <c r="AH12" s="94"/>
      <c r="AI12" s="95"/>
      <c r="AJ12" s="95"/>
      <c r="AK12" s="96"/>
      <c r="AL12" s="99"/>
    </row>
    <row r="13" spans="2:38" s="39" customFormat="1" ht="35.25" x14ac:dyDescent="0.15">
      <c r="B13" s="94">
        <v>5</v>
      </c>
      <c r="C13" s="95" t="s">
        <v>182</v>
      </c>
      <c r="D13" s="95"/>
      <c r="E13" s="96"/>
      <c r="F13" s="94"/>
      <c r="G13" s="95"/>
      <c r="H13" s="659"/>
      <c r="I13" s="660"/>
      <c r="J13" s="97"/>
      <c r="K13" s="95"/>
      <c r="L13" s="95"/>
      <c r="M13" s="98"/>
      <c r="N13" s="94"/>
      <c r="O13" s="95"/>
      <c r="P13" s="95"/>
      <c r="Q13" s="96"/>
      <c r="R13" s="94"/>
      <c r="S13" s="95"/>
      <c r="T13" s="95"/>
      <c r="U13" s="96"/>
      <c r="V13" s="94"/>
      <c r="W13" s="95"/>
      <c r="X13" s="95"/>
      <c r="Y13" s="96"/>
      <c r="Z13" s="94"/>
      <c r="AA13" s="95"/>
      <c r="AB13" s="95"/>
      <c r="AC13" s="96"/>
      <c r="AD13" s="94"/>
      <c r="AE13" s="95"/>
      <c r="AF13" s="95"/>
      <c r="AG13" s="96"/>
      <c r="AH13" s="94"/>
      <c r="AI13" s="95"/>
      <c r="AJ13" s="95"/>
      <c r="AK13" s="96"/>
      <c r="AL13" s="99"/>
    </row>
    <row r="14" spans="2:38" s="39" customFormat="1" ht="13.5" x14ac:dyDescent="0.15">
      <c r="B14" s="94">
        <v>6</v>
      </c>
      <c r="C14" s="95" t="s">
        <v>218</v>
      </c>
      <c r="D14" s="95"/>
      <c r="E14" s="96"/>
      <c r="F14" s="94"/>
      <c r="G14" s="95"/>
      <c r="H14" s="95"/>
      <c r="I14" s="96"/>
      <c r="J14" s="97"/>
      <c r="K14" s="95"/>
      <c r="L14" s="95"/>
      <c r="M14" s="98"/>
      <c r="N14" s="94"/>
      <c r="O14" s="95"/>
      <c r="P14" s="95"/>
      <c r="Q14" s="96"/>
      <c r="R14" s="94"/>
      <c r="S14" s="95"/>
      <c r="T14" s="95"/>
      <c r="U14" s="96"/>
      <c r="V14" s="94"/>
      <c r="W14" s="95"/>
      <c r="X14" s="95"/>
      <c r="Y14" s="96"/>
      <c r="Z14" s="94"/>
      <c r="AA14" s="95"/>
      <c r="AB14" s="95"/>
      <c r="AC14" s="96"/>
      <c r="AD14" s="94"/>
      <c r="AE14" s="95"/>
      <c r="AF14" s="95"/>
      <c r="AG14" s="96"/>
      <c r="AH14" s="94"/>
      <c r="AI14" s="95"/>
      <c r="AJ14" s="95"/>
      <c r="AK14" s="96"/>
      <c r="AL14" s="99"/>
    </row>
    <row r="15" spans="2:38" s="39" customFormat="1" ht="24" x14ac:dyDescent="0.15">
      <c r="B15" s="94">
        <v>7</v>
      </c>
      <c r="C15" s="95" t="s">
        <v>226</v>
      </c>
      <c r="D15" s="95"/>
      <c r="E15" s="96"/>
      <c r="F15" s="94"/>
      <c r="G15" s="95"/>
      <c r="H15" s="95"/>
      <c r="I15" s="96"/>
      <c r="J15" s="97"/>
      <c r="K15" s="95"/>
      <c r="L15" s="95"/>
      <c r="M15" s="98"/>
      <c r="N15" s="94"/>
      <c r="O15" s="95"/>
      <c r="P15" s="95"/>
      <c r="Q15" s="96"/>
      <c r="R15" s="94"/>
      <c r="S15" s="95"/>
      <c r="T15" s="95"/>
      <c r="U15" s="96"/>
      <c r="V15" s="94"/>
      <c r="W15" s="95"/>
      <c r="X15" s="95"/>
      <c r="Y15" s="96"/>
      <c r="Z15" s="94"/>
      <c r="AA15" s="95"/>
      <c r="AB15" s="95"/>
      <c r="AC15" s="96"/>
      <c r="AD15" s="94"/>
      <c r="AE15" s="95"/>
      <c r="AF15" s="95"/>
      <c r="AG15" s="96"/>
      <c r="AH15" s="94"/>
      <c r="AI15" s="95"/>
      <c r="AJ15" s="95"/>
      <c r="AK15" s="96"/>
      <c r="AL15" s="99"/>
    </row>
    <row r="16" spans="2:38" s="39" customFormat="1" ht="35.25" x14ac:dyDescent="0.15">
      <c r="B16" s="94">
        <v>8</v>
      </c>
      <c r="C16" s="95" t="s">
        <v>238</v>
      </c>
      <c r="D16" s="95"/>
      <c r="E16" s="96"/>
      <c r="F16" s="94"/>
      <c r="G16" s="95"/>
      <c r="H16" s="95"/>
      <c r="I16" s="96"/>
      <c r="J16" s="97"/>
      <c r="K16" s="95"/>
      <c r="L16" s="95"/>
      <c r="M16" s="98"/>
      <c r="N16" s="94"/>
      <c r="O16" s="95"/>
      <c r="P16" s="95"/>
      <c r="Q16" s="96"/>
      <c r="R16" s="94"/>
      <c r="S16" s="95"/>
      <c r="T16" s="95"/>
      <c r="U16" s="96"/>
      <c r="V16" s="94"/>
      <c r="W16" s="95"/>
      <c r="X16" s="95"/>
      <c r="Y16" s="96"/>
      <c r="Z16" s="94"/>
      <c r="AA16" s="95"/>
      <c r="AB16" s="95"/>
      <c r="AC16" s="96"/>
      <c r="AD16" s="94"/>
      <c r="AE16" s="95"/>
      <c r="AF16" s="95"/>
      <c r="AG16" s="96"/>
      <c r="AH16" s="94"/>
      <c r="AI16" s="95"/>
      <c r="AJ16" s="95"/>
      <c r="AK16" s="96"/>
      <c r="AL16" s="99"/>
    </row>
    <row r="17" spans="2:38" s="39" customFormat="1" ht="13.5" x14ac:dyDescent="0.15">
      <c r="B17" s="94">
        <v>9</v>
      </c>
      <c r="C17" s="95" t="s">
        <v>219</v>
      </c>
      <c r="D17" s="95"/>
      <c r="E17" s="96"/>
      <c r="F17" s="94"/>
      <c r="G17" s="95"/>
      <c r="H17" s="95"/>
      <c r="I17" s="96"/>
      <c r="J17" s="97"/>
      <c r="K17" s="95"/>
      <c r="L17" s="95"/>
      <c r="M17" s="98"/>
      <c r="N17" s="94"/>
      <c r="O17" s="95"/>
      <c r="P17" s="95"/>
      <c r="Q17" s="96"/>
      <c r="R17" s="94"/>
      <c r="S17" s="95"/>
      <c r="T17" s="95"/>
      <c r="U17" s="96"/>
      <c r="V17" s="94"/>
      <c r="W17" s="95"/>
      <c r="X17" s="95"/>
      <c r="Y17" s="96"/>
      <c r="Z17" s="94"/>
      <c r="AA17" s="95"/>
      <c r="AB17" s="95"/>
      <c r="AC17" s="96"/>
      <c r="AD17" s="94"/>
      <c r="AE17" s="95"/>
      <c r="AF17" s="95"/>
      <c r="AG17" s="96"/>
      <c r="AH17" s="94"/>
      <c r="AI17" s="95"/>
      <c r="AJ17" s="95"/>
      <c r="AK17" s="96"/>
      <c r="AL17" s="99"/>
    </row>
    <row r="18" spans="2:38" s="39" customFormat="1" ht="13.5" x14ac:dyDescent="0.15">
      <c r="B18" s="94">
        <v>10</v>
      </c>
      <c r="C18" s="95" t="s">
        <v>220</v>
      </c>
      <c r="D18" s="95"/>
      <c r="E18" s="96"/>
      <c r="F18" s="94"/>
      <c r="G18" s="95"/>
      <c r="H18" s="95"/>
      <c r="I18" s="96"/>
      <c r="J18" s="97"/>
      <c r="K18" s="95"/>
      <c r="L18" s="95"/>
      <c r="M18" s="98"/>
      <c r="N18" s="94"/>
      <c r="O18" s="95"/>
      <c r="P18" s="95"/>
      <c r="Q18" s="96"/>
      <c r="R18" s="94"/>
      <c r="S18" s="95"/>
      <c r="T18" s="95"/>
      <c r="U18" s="96"/>
      <c r="V18" s="94"/>
      <c r="W18" s="95"/>
      <c r="X18" s="95"/>
      <c r="Y18" s="96"/>
      <c r="Z18" s="94"/>
      <c r="AA18" s="95"/>
      <c r="AB18" s="95"/>
      <c r="AC18" s="96"/>
      <c r="AD18" s="94"/>
      <c r="AE18" s="95"/>
      <c r="AF18" s="95"/>
      <c r="AG18" s="96"/>
      <c r="AH18" s="94"/>
      <c r="AI18" s="95"/>
      <c r="AJ18" s="95"/>
      <c r="AK18" s="96"/>
      <c r="AL18" s="99"/>
    </row>
    <row r="19" spans="2:38" s="39" customFormat="1" ht="35.25" x14ac:dyDescent="0.15">
      <c r="B19" s="94">
        <v>11</v>
      </c>
      <c r="C19" s="95" t="s">
        <v>222</v>
      </c>
      <c r="D19" s="95"/>
      <c r="E19" s="96"/>
      <c r="F19" s="94"/>
      <c r="G19" s="95"/>
      <c r="H19" s="95"/>
      <c r="I19" s="96"/>
      <c r="J19" s="97"/>
      <c r="K19" s="95"/>
      <c r="L19" s="95"/>
      <c r="M19" s="98"/>
      <c r="N19" s="94"/>
      <c r="O19" s="95"/>
      <c r="P19" s="95"/>
      <c r="Q19" s="96"/>
      <c r="R19" s="94"/>
      <c r="S19" s="95"/>
      <c r="T19" s="95"/>
      <c r="U19" s="96"/>
      <c r="V19" s="94"/>
      <c r="W19" s="95"/>
      <c r="X19" s="95"/>
      <c r="Y19" s="96"/>
      <c r="Z19" s="94"/>
      <c r="AA19" s="95"/>
      <c r="AB19" s="95"/>
      <c r="AC19" s="96"/>
      <c r="AD19" s="94"/>
      <c r="AE19" s="95"/>
      <c r="AF19" s="95"/>
      <c r="AG19" s="96"/>
      <c r="AH19" s="94"/>
      <c r="AI19" s="95"/>
      <c r="AJ19" s="95"/>
      <c r="AK19" s="96"/>
      <c r="AL19" s="99"/>
    </row>
    <row r="20" spans="2:38" s="39" customFormat="1" ht="29.25" customHeight="1" x14ac:dyDescent="0.15">
      <c r="B20" s="94">
        <v>12</v>
      </c>
      <c r="C20" s="95" t="s">
        <v>237</v>
      </c>
      <c r="D20" s="95"/>
      <c r="E20" s="96"/>
      <c r="F20" s="94"/>
      <c r="G20" s="95"/>
      <c r="H20" s="95"/>
      <c r="I20" s="96"/>
      <c r="J20" s="97"/>
      <c r="K20" s="95"/>
      <c r="L20" s="95"/>
      <c r="M20" s="98"/>
      <c r="N20" s="94"/>
      <c r="O20" s="95"/>
      <c r="P20" s="95"/>
      <c r="Q20" s="96"/>
      <c r="R20" s="94"/>
      <c r="S20" s="95"/>
      <c r="T20" s="95"/>
      <c r="U20" s="96"/>
      <c r="V20" s="94"/>
      <c r="W20" s="95"/>
      <c r="X20" s="95"/>
      <c r="Y20" s="96"/>
      <c r="Z20" s="94"/>
      <c r="AA20" s="95"/>
      <c r="AB20" s="95"/>
      <c r="AC20" s="96"/>
      <c r="AD20" s="94"/>
      <c r="AE20" s="95"/>
      <c r="AF20" s="95"/>
      <c r="AG20" s="96"/>
      <c r="AH20" s="94"/>
      <c r="AI20" s="95"/>
      <c r="AJ20" s="95"/>
      <c r="AK20" s="96"/>
      <c r="AL20" s="99"/>
    </row>
    <row r="21" spans="2:38" s="39" customFormat="1" ht="24" x14ac:dyDescent="0.15">
      <c r="B21" s="94">
        <v>13</v>
      </c>
      <c r="C21" s="95" t="s">
        <v>221</v>
      </c>
      <c r="D21" s="95"/>
      <c r="E21" s="96"/>
      <c r="F21" s="94"/>
      <c r="G21" s="95"/>
      <c r="H21" s="95"/>
      <c r="I21" s="96"/>
      <c r="J21" s="97"/>
      <c r="K21" s="95"/>
      <c r="L21" s="95"/>
      <c r="M21" s="98"/>
      <c r="N21" s="94"/>
      <c r="O21" s="95"/>
      <c r="P21" s="95"/>
      <c r="Q21" s="96"/>
      <c r="R21" s="94"/>
      <c r="S21" s="95"/>
      <c r="T21" s="95"/>
      <c r="U21" s="96"/>
      <c r="V21" s="94"/>
      <c r="W21" s="95"/>
      <c r="X21" s="95"/>
      <c r="Y21" s="96"/>
      <c r="Z21" s="94"/>
      <c r="AA21" s="95"/>
      <c r="AB21" s="95"/>
      <c r="AC21" s="96"/>
      <c r="AD21" s="94"/>
      <c r="AE21" s="95"/>
      <c r="AF21" s="95"/>
      <c r="AG21" s="96"/>
      <c r="AH21" s="94"/>
      <c r="AI21" s="95"/>
      <c r="AJ21" s="95"/>
      <c r="AK21" s="96"/>
      <c r="AL21" s="99"/>
    </row>
    <row r="22" spans="2:38" s="39" customFormat="1" ht="29.25" customHeight="1" x14ac:dyDescent="0.15">
      <c r="B22" s="94">
        <v>14</v>
      </c>
      <c r="C22" s="95" t="s">
        <v>223</v>
      </c>
      <c r="D22" s="95"/>
      <c r="E22" s="96"/>
      <c r="F22" s="94"/>
      <c r="G22" s="95"/>
      <c r="H22" s="95"/>
      <c r="I22" s="96"/>
      <c r="J22" s="97"/>
      <c r="K22" s="95"/>
      <c r="L22" s="95"/>
      <c r="M22" s="98"/>
      <c r="N22" s="94"/>
      <c r="O22" s="95"/>
      <c r="P22" s="95"/>
      <c r="Q22" s="96"/>
      <c r="R22" s="94"/>
      <c r="S22" s="95"/>
      <c r="T22" s="95"/>
      <c r="U22" s="96"/>
      <c r="V22" s="94"/>
      <c r="W22" s="95"/>
      <c r="X22" s="95"/>
      <c r="Y22" s="96"/>
      <c r="Z22" s="94"/>
      <c r="AA22" s="95"/>
      <c r="AB22" s="95"/>
      <c r="AC22" s="96"/>
      <c r="AD22" s="94"/>
      <c r="AE22" s="95"/>
      <c r="AF22" s="95"/>
      <c r="AG22" s="96"/>
      <c r="AH22" s="94"/>
      <c r="AI22" s="95"/>
      <c r="AJ22" s="95"/>
      <c r="AK22" s="96"/>
      <c r="AL22" s="99"/>
    </row>
    <row r="23" spans="2:38" s="39" customFormat="1" ht="29.25" customHeight="1" x14ac:dyDescent="0.15">
      <c r="B23" s="94">
        <v>15</v>
      </c>
      <c r="C23" s="95" t="s">
        <v>227</v>
      </c>
      <c r="D23" s="95"/>
      <c r="E23" s="96"/>
      <c r="F23" s="94"/>
      <c r="G23" s="95"/>
      <c r="H23" s="95"/>
      <c r="I23" s="96"/>
      <c r="J23" s="97"/>
      <c r="K23" s="95"/>
      <c r="L23" s="95"/>
      <c r="M23" s="98"/>
      <c r="N23" s="94"/>
      <c r="O23" s="95"/>
      <c r="P23" s="95"/>
      <c r="Q23" s="96"/>
      <c r="R23" s="94"/>
      <c r="S23" s="95"/>
      <c r="T23" s="95"/>
      <c r="U23" s="96"/>
      <c r="V23" s="94"/>
      <c r="W23" s="95"/>
      <c r="X23" s="95"/>
      <c r="Y23" s="96"/>
      <c r="Z23" s="94"/>
      <c r="AA23" s="95"/>
      <c r="AB23" s="95"/>
      <c r="AC23" s="96"/>
      <c r="AD23" s="94"/>
      <c r="AE23" s="95"/>
      <c r="AF23" s="95"/>
      <c r="AG23" s="96"/>
      <c r="AH23" s="94"/>
      <c r="AI23" s="95"/>
      <c r="AJ23" s="95"/>
      <c r="AK23" s="96"/>
      <c r="AL23" s="99"/>
    </row>
    <row r="24" spans="2:38" s="39" customFormat="1" ht="29.25" customHeight="1" x14ac:dyDescent="0.15">
      <c r="B24" s="94">
        <v>16</v>
      </c>
      <c r="C24" s="95" t="s">
        <v>224</v>
      </c>
      <c r="D24" s="95"/>
      <c r="E24" s="96"/>
      <c r="F24" s="94"/>
      <c r="G24" s="95"/>
      <c r="H24" s="95"/>
      <c r="I24" s="96"/>
      <c r="J24" s="97"/>
      <c r="K24" s="95"/>
      <c r="L24" s="95"/>
      <c r="M24" s="98"/>
      <c r="N24" s="94"/>
      <c r="O24" s="95"/>
      <c r="P24" s="95"/>
      <c r="Q24" s="96"/>
      <c r="R24" s="94"/>
      <c r="S24" s="95"/>
      <c r="T24" s="95"/>
      <c r="U24" s="96"/>
      <c r="V24" s="94"/>
      <c r="W24" s="95"/>
      <c r="X24" s="95"/>
      <c r="Y24" s="96"/>
      <c r="Z24" s="94"/>
      <c r="AA24" s="95"/>
      <c r="AB24" s="95"/>
      <c r="AC24" s="96"/>
      <c r="AD24" s="94"/>
      <c r="AE24" s="95"/>
      <c r="AF24" s="95"/>
      <c r="AG24" s="96"/>
      <c r="AH24" s="94"/>
      <c r="AI24" s="95"/>
      <c r="AJ24" s="95"/>
      <c r="AK24" s="96"/>
      <c r="AL24" s="99"/>
    </row>
    <row r="25" spans="2:38" s="39" customFormat="1" ht="29.25" customHeight="1" x14ac:dyDescent="0.15">
      <c r="B25" s="94">
        <v>17</v>
      </c>
      <c r="C25" s="95" t="s">
        <v>225</v>
      </c>
      <c r="D25" s="95"/>
      <c r="E25" s="96"/>
      <c r="F25" s="94"/>
      <c r="G25" s="95"/>
      <c r="H25" s="95"/>
      <c r="I25" s="96"/>
      <c r="J25" s="97"/>
      <c r="K25" s="95"/>
      <c r="L25" s="95"/>
      <c r="M25" s="98"/>
      <c r="N25" s="94"/>
      <c r="O25" s="95"/>
      <c r="P25" s="95"/>
      <c r="Q25" s="96"/>
      <c r="R25" s="94"/>
      <c r="S25" s="95"/>
      <c r="T25" s="95"/>
      <c r="U25" s="96"/>
      <c r="V25" s="94"/>
      <c r="W25" s="95"/>
      <c r="X25" s="95"/>
      <c r="Y25" s="96"/>
      <c r="Z25" s="94"/>
      <c r="AA25" s="95"/>
      <c r="AB25" s="95"/>
      <c r="AC25" s="96"/>
      <c r="AD25" s="94"/>
      <c r="AE25" s="95"/>
      <c r="AF25" s="95"/>
      <c r="AG25" s="96"/>
      <c r="AH25" s="94"/>
      <c r="AI25" s="95"/>
      <c r="AJ25" s="95"/>
      <c r="AK25" s="96"/>
      <c r="AL25" s="99"/>
    </row>
    <row r="26" spans="2:38" s="39" customFormat="1" ht="29.25" customHeight="1" x14ac:dyDescent="0.15">
      <c r="B26" s="94">
        <v>18</v>
      </c>
      <c r="C26" s="95" t="s">
        <v>228</v>
      </c>
      <c r="D26" s="95"/>
      <c r="E26" s="96"/>
      <c r="F26" s="94"/>
      <c r="G26" s="95"/>
      <c r="H26" s="95"/>
      <c r="I26" s="96"/>
      <c r="J26" s="97"/>
      <c r="K26" s="95"/>
      <c r="L26" s="95"/>
      <c r="M26" s="98"/>
      <c r="N26" s="94"/>
      <c r="O26" s="95"/>
      <c r="P26" s="95"/>
      <c r="Q26" s="96"/>
      <c r="R26" s="94"/>
      <c r="S26" s="95"/>
      <c r="T26" s="95"/>
      <c r="U26" s="96"/>
      <c r="V26" s="94"/>
      <c r="W26" s="95"/>
      <c r="X26" s="95"/>
      <c r="Y26" s="96"/>
      <c r="Z26" s="94"/>
      <c r="AA26" s="95"/>
      <c r="AB26" s="95"/>
      <c r="AC26" s="96"/>
      <c r="AD26" s="94"/>
      <c r="AE26" s="95"/>
      <c r="AF26" s="95"/>
      <c r="AG26" s="96"/>
      <c r="AH26" s="94"/>
      <c r="AI26" s="95"/>
      <c r="AJ26" s="95"/>
      <c r="AK26" s="96"/>
      <c r="AL26" s="99"/>
    </row>
    <row r="27" spans="2:38" s="39" customFormat="1" ht="29.25" customHeight="1" x14ac:dyDescent="0.15">
      <c r="B27" s="94">
        <v>19</v>
      </c>
      <c r="C27" s="95" t="s">
        <v>229</v>
      </c>
      <c r="D27" s="95"/>
      <c r="E27" s="96"/>
      <c r="F27" s="94"/>
      <c r="G27" s="95"/>
      <c r="H27" s="95"/>
      <c r="I27" s="96"/>
      <c r="J27" s="97"/>
      <c r="K27" s="95"/>
      <c r="L27" s="95"/>
      <c r="M27" s="98"/>
      <c r="N27" s="94"/>
      <c r="O27" s="95"/>
      <c r="P27" s="95"/>
      <c r="Q27" s="96"/>
      <c r="R27" s="94"/>
      <c r="S27" s="95"/>
      <c r="T27" s="95"/>
      <c r="U27" s="96"/>
      <c r="V27" s="94"/>
      <c r="W27" s="95"/>
      <c r="X27" s="95"/>
      <c r="Y27" s="96"/>
      <c r="Z27" s="94"/>
      <c r="AA27" s="95"/>
      <c r="AB27" s="95"/>
      <c r="AC27" s="96"/>
      <c r="AD27" s="94"/>
      <c r="AE27" s="95"/>
      <c r="AF27" s="95"/>
      <c r="AG27" s="96"/>
      <c r="AH27" s="94"/>
      <c r="AI27" s="95"/>
      <c r="AJ27" s="95"/>
      <c r="AK27" s="96"/>
      <c r="AL27" s="99"/>
    </row>
    <row r="28" spans="2:38" s="39" customFormat="1" ht="29.25" customHeight="1" x14ac:dyDescent="0.15">
      <c r="B28" s="94">
        <v>20</v>
      </c>
      <c r="C28" s="95" t="s">
        <v>230</v>
      </c>
      <c r="D28" s="95"/>
      <c r="E28" s="96"/>
      <c r="F28" s="94"/>
      <c r="G28" s="95"/>
      <c r="H28" s="95"/>
      <c r="I28" s="96"/>
      <c r="J28" s="97"/>
      <c r="K28" s="95"/>
      <c r="L28" s="95"/>
      <c r="M28" s="98"/>
      <c r="N28" s="94"/>
      <c r="O28" s="95"/>
      <c r="P28" s="95"/>
      <c r="Q28" s="96"/>
      <c r="R28" s="94"/>
      <c r="S28" s="95"/>
      <c r="T28" s="95"/>
      <c r="U28" s="96"/>
      <c r="V28" s="94"/>
      <c r="W28" s="95"/>
      <c r="X28" s="95"/>
      <c r="Y28" s="96"/>
      <c r="Z28" s="94"/>
      <c r="AA28" s="95"/>
      <c r="AB28" s="95"/>
      <c r="AC28" s="96"/>
      <c r="AD28" s="94"/>
      <c r="AE28" s="95"/>
      <c r="AF28" s="95"/>
      <c r="AG28" s="96"/>
      <c r="AH28" s="94"/>
      <c r="AI28" s="95"/>
      <c r="AJ28" s="95"/>
      <c r="AK28" s="96"/>
      <c r="AL28" s="99"/>
    </row>
    <row r="29" spans="2:38" s="39" customFormat="1" ht="29.25" customHeight="1" x14ac:dyDescent="0.15">
      <c r="B29" s="94">
        <v>21</v>
      </c>
      <c r="C29" s="95" t="s">
        <v>231</v>
      </c>
      <c r="D29" s="95"/>
      <c r="E29" s="96"/>
      <c r="F29" s="94"/>
      <c r="G29" s="95"/>
      <c r="H29" s="95"/>
      <c r="I29" s="96"/>
      <c r="J29" s="97"/>
      <c r="K29" s="95"/>
      <c r="L29" s="95"/>
      <c r="M29" s="98"/>
      <c r="N29" s="94"/>
      <c r="O29" s="95"/>
      <c r="P29" s="95"/>
      <c r="Q29" s="96"/>
      <c r="R29" s="94"/>
      <c r="S29" s="95"/>
      <c r="T29" s="95"/>
      <c r="U29" s="96"/>
      <c r="V29" s="94"/>
      <c r="W29" s="95"/>
      <c r="X29" s="95"/>
      <c r="Y29" s="96"/>
      <c r="Z29" s="94"/>
      <c r="AA29" s="95"/>
      <c r="AB29" s="95"/>
      <c r="AC29" s="96"/>
      <c r="AD29" s="94"/>
      <c r="AE29" s="95"/>
      <c r="AF29" s="95"/>
      <c r="AG29" s="96"/>
      <c r="AH29" s="94"/>
      <c r="AI29" s="95"/>
      <c r="AJ29" s="95"/>
      <c r="AK29" s="96"/>
      <c r="AL29" s="99"/>
    </row>
    <row r="30" spans="2:38" s="39" customFormat="1" ht="29.25" customHeight="1" x14ac:dyDescent="0.15">
      <c r="B30" s="94">
        <v>22</v>
      </c>
      <c r="C30" s="95" t="s">
        <v>232</v>
      </c>
      <c r="D30" s="95"/>
      <c r="E30" s="96"/>
      <c r="F30" s="94"/>
      <c r="G30" s="95"/>
      <c r="H30" s="95"/>
      <c r="I30" s="96"/>
      <c r="J30" s="97"/>
      <c r="K30" s="95"/>
      <c r="L30" s="95"/>
      <c r="M30" s="98"/>
      <c r="N30" s="94"/>
      <c r="O30" s="95"/>
      <c r="P30" s="95"/>
      <c r="Q30" s="96"/>
      <c r="R30" s="94"/>
      <c r="S30" s="95"/>
      <c r="T30" s="95"/>
      <c r="U30" s="96"/>
      <c r="V30" s="94"/>
      <c r="W30" s="95"/>
      <c r="X30" s="95"/>
      <c r="Y30" s="96"/>
      <c r="Z30" s="94"/>
      <c r="AA30" s="95"/>
      <c r="AB30" s="95"/>
      <c r="AC30" s="96"/>
      <c r="AD30" s="94"/>
      <c r="AE30" s="95"/>
      <c r="AF30" s="95"/>
      <c r="AG30" s="96"/>
      <c r="AH30" s="94"/>
      <c r="AI30" s="95"/>
      <c r="AJ30" s="95"/>
      <c r="AK30" s="96"/>
      <c r="AL30" s="99"/>
    </row>
    <row r="31" spans="2:38" s="39" customFormat="1" ht="29.25" customHeight="1" x14ac:dyDescent="0.15">
      <c r="B31" s="94">
        <v>23</v>
      </c>
      <c r="C31" s="95" t="s">
        <v>233</v>
      </c>
      <c r="D31" s="95"/>
      <c r="E31" s="96"/>
      <c r="F31" s="94"/>
      <c r="G31" s="95"/>
      <c r="H31" s="95"/>
      <c r="I31" s="96"/>
      <c r="J31" s="97"/>
      <c r="K31" s="95"/>
      <c r="L31" s="95"/>
      <c r="M31" s="98"/>
      <c r="N31" s="94"/>
      <c r="O31" s="95"/>
      <c r="P31" s="95"/>
      <c r="Q31" s="96"/>
      <c r="R31" s="94"/>
      <c r="S31" s="95"/>
      <c r="T31" s="95"/>
      <c r="U31" s="96"/>
      <c r="V31" s="94"/>
      <c r="W31" s="95"/>
      <c r="X31" s="95"/>
      <c r="Y31" s="96"/>
      <c r="Z31" s="94"/>
      <c r="AA31" s="95"/>
      <c r="AB31" s="95"/>
      <c r="AC31" s="96"/>
      <c r="AD31" s="94"/>
      <c r="AE31" s="95"/>
      <c r="AF31" s="95"/>
      <c r="AG31" s="96"/>
      <c r="AH31" s="94"/>
      <c r="AI31" s="95"/>
      <c r="AJ31" s="95"/>
      <c r="AK31" s="96"/>
      <c r="AL31" s="99"/>
    </row>
    <row r="32" spans="2:38" s="39" customFormat="1" ht="29.25" customHeight="1" x14ac:dyDescent="0.15">
      <c r="B32" s="94">
        <v>24</v>
      </c>
      <c r="C32" s="95" t="s">
        <v>234</v>
      </c>
      <c r="D32" s="95"/>
      <c r="E32" s="96"/>
      <c r="F32" s="94"/>
      <c r="G32" s="95"/>
      <c r="H32" s="95"/>
      <c r="I32" s="96"/>
      <c r="J32" s="97"/>
      <c r="K32" s="95"/>
      <c r="L32" s="95"/>
      <c r="M32" s="98"/>
      <c r="N32" s="94"/>
      <c r="O32" s="95"/>
      <c r="P32" s="95"/>
      <c r="Q32" s="96"/>
      <c r="R32" s="94"/>
      <c r="S32" s="95"/>
      <c r="T32" s="95"/>
      <c r="U32" s="96"/>
      <c r="V32" s="94"/>
      <c r="W32" s="95"/>
      <c r="X32" s="95"/>
      <c r="Y32" s="96"/>
      <c r="Z32" s="94"/>
      <c r="AA32" s="95"/>
      <c r="AB32" s="95"/>
      <c r="AC32" s="96"/>
      <c r="AD32" s="94"/>
      <c r="AE32" s="95"/>
      <c r="AF32" s="95"/>
      <c r="AG32" s="96"/>
      <c r="AH32" s="94"/>
      <c r="AI32" s="95"/>
      <c r="AJ32" s="95"/>
      <c r="AK32" s="96"/>
      <c r="AL32" s="99"/>
    </row>
    <row r="33" spans="2:38" s="39" customFormat="1" ht="29.25" customHeight="1" x14ac:dyDescent="0.15">
      <c r="B33" s="94">
        <v>25</v>
      </c>
      <c r="C33" s="95"/>
      <c r="D33" s="95"/>
      <c r="E33" s="96"/>
      <c r="F33" s="94"/>
      <c r="G33" s="95"/>
      <c r="H33" s="95"/>
      <c r="I33" s="96"/>
      <c r="J33" s="97"/>
      <c r="K33" s="95"/>
      <c r="L33" s="95"/>
      <c r="M33" s="98"/>
      <c r="N33" s="94"/>
      <c r="O33" s="95"/>
      <c r="P33" s="95"/>
      <c r="Q33" s="96"/>
      <c r="R33" s="94"/>
      <c r="S33" s="95"/>
      <c r="T33" s="95"/>
      <c r="U33" s="96"/>
      <c r="V33" s="94"/>
      <c r="W33" s="95"/>
      <c r="X33" s="95"/>
      <c r="Y33" s="96"/>
      <c r="Z33" s="94"/>
      <c r="AA33" s="95"/>
      <c r="AB33" s="95"/>
      <c r="AC33" s="96"/>
      <c r="AD33" s="94"/>
      <c r="AE33" s="95"/>
      <c r="AF33" s="95"/>
      <c r="AG33" s="96"/>
      <c r="AH33" s="94"/>
      <c r="AI33" s="95"/>
      <c r="AJ33" s="95"/>
      <c r="AK33" s="96"/>
      <c r="AL33" s="99"/>
    </row>
    <row r="34" spans="2:38" s="39" customFormat="1" ht="29.25" customHeight="1" x14ac:dyDescent="0.15">
      <c r="B34" s="94">
        <v>26</v>
      </c>
      <c r="C34" s="95"/>
      <c r="D34" s="95"/>
      <c r="E34" s="96"/>
      <c r="F34" s="94"/>
      <c r="G34" s="95"/>
      <c r="H34" s="95"/>
      <c r="I34" s="96"/>
      <c r="J34" s="97"/>
      <c r="K34" s="95"/>
      <c r="L34" s="95"/>
      <c r="M34" s="98"/>
      <c r="N34" s="94"/>
      <c r="O34" s="95"/>
      <c r="P34" s="95"/>
      <c r="Q34" s="96"/>
      <c r="R34" s="94"/>
      <c r="S34" s="95"/>
      <c r="T34" s="95"/>
      <c r="U34" s="96"/>
      <c r="V34" s="94"/>
      <c r="W34" s="95"/>
      <c r="X34" s="95"/>
      <c r="Y34" s="96"/>
      <c r="Z34" s="94"/>
      <c r="AA34" s="95"/>
      <c r="AB34" s="95"/>
      <c r="AC34" s="96"/>
      <c r="AD34" s="94"/>
      <c r="AE34" s="95"/>
      <c r="AF34" s="95"/>
      <c r="AG34" s="96"/>
      <c r="AH34" s="94"/>
      <c r="AI34" s="95"/>
      <c r="AJ34" s="95"/>
      <c r="AK34" s="96"/>
      <c r="AL34" s="99"/>
    </row>
    <row r="35" spans="2:38" s="39" customFormat="1" ht="29.25" customHeight="1" x14ac:dyDescent="0.15">
      <c r="B35" s="94">
        <v>27</v>
      </c>
      <c r="C35" s="95"/>
      <c r="D35" s="95"/>
      <c r="E35" s="96"/>
      <c r="F35" s="94"/>
      <c r="G35" s="95"/>
      <c r="H35" s="95"/>
      <c r="I35" s="96"/>
      <c r="J35" s="97"/>
      <c r="K35" s="95"/>
      <c r="L35" s="95"/>
      <c r="M35" s="98"/>
      <c r="N35" s="94"/>
      <c r="O35" s="95"/>
      <c r="P35" s="95"/>
      <c r="Q35" s="96"/>
      <c r="R35" s="94"/>
      <c r="S35" s="95"/>
      <c r="T35" s="95"/>
      <c r="U35" s="96"/>
      <c r="V35" s="94"/>
      <c r="W35" s="95"/>
      <c r="X35" s="95"/>
      <c r="Y35" s="96"/>
      <c r="Z35" s="94"/>
      <c r="AA35" s="95"/>
      <c r="AB35" s="95"/>
      <c r="AC35" s="96"/>
      <c r="AD35" s="94"/>
      <c r="AE35" s="95"/>
      <c r="AF35" s="95"/>
      <c r="AG35" s="96"/>
      <c r="AH35" s="94"/>
      <c r="AI35" s="95"/>
      <c r="AJ35" s="95"/>
      <c r="AK35" s="96"/>
      <c r="AL35" s="99"/>
    </row>
    <row r="36" spans="2:38" s="39" customFormat="1" ht="29.25" customHeight="1" x14ac:dyDescent="0.15">
      <c r="B36" s="94">
        <v>28</v>
      </c>
      <c r="C36" s="95"/>
      <c r="D36" s="95"/>
      <c r="E36" s="96"/>
      <c r="F36" s="94"/>
      <c r="G36" s="95"/>
      <c r="H36" s="95"/>
      <c r="I36" s="96"/>
      <c r="J36" s="97"/>
      <c r="K36" s="95"/>
      <c r="L36" s="95"/>
      <c r="M36" s="98"/>
      <c r="N36" s="94"/>
      <c r="O36" s="95"/>
      <c r="P36" s="95"/>
      <c r="Q36" s="96"/>
      <c r="R36" s="94"/>
      <c r="S36" s="95"/>
      <c r="T36" s="95"/>
      <c r="U36" s="96"/>
      <c r="V36" s="94"/>
      <c r="W36" s="95"/>
      <c r="X36" s="95"/>
      <c r="Y36" s="96"/>
      <c r="Z36" s="94"/>
      <c r="AA36" s="95"/>
      <c r="AB36" s="95"/>
      <c r="AC36" s="96"/>
      <c r="AD36" s="94"/>
      <c r="AE36" s="95"/>
      <c r="AF36" s="95"/>
      <c r="AG36" s="96"/>
      <c r="AH36" s="94"/>
      <c r="AI36" s="95"/>
      <c r="AJ36" s="95"/>
      <c r="AK36" s="96"/>
      <c r="AL36" s="99"/>
    </row>
    <row r="37" spans="2:38" s="39" customFormat="1" ht="29.25" customHeight="1" x14ac:dyDescent="0.15">
      <c r="B37" s="94">
        <v>29</v>
      </c>
      <c r="C37" s="95"/>
      <c r="D37" s="95"/>
      <c r="E37" s="96"/>
      <c r="F37" s="94"/>
      <c r="G37" s="95"/>
      <c r="H37" s="95"/>
      <c r="I37" s="96"/>
      <c r="J37" s="97"/>
      <c r="K37" s="95"/>
      <c r="L37" s="95"/>
      <c r="M37" s="98"/>
      <c r="N37" s="94"/>
      <c r="O37" s="95"/>
      <c r="P37" s="95"/>
      <c r="Q37" s="96"/>
      <c r="R37" s="94"/>
      <c r="S37" s="95"/>
      <c r="T37" s="95"/>
      <c r="U37" s="96"/>
      <c r="V37" s="94"/>
      <c r="W37" s="95"/>
      <c r="X37" s="95"/>
      <c r="Y37" s="96"/>
      <c r="Z37" s="94"/>
      <c r="AA37" s="95"/>
      <c r="AB37" s="95"/>
      <c r="AC37" s="96"/>
      <c r="AD37" s="94"/>
      <c r="AE37" s="95"/>
      <c r="AF37" s="95"/>
      <c r="AG37" s="96"/>
      <c r="AH37" s="94"/>
      <c r="AI37" s="95"/>
      <c r="AJ37" s="95"/>
      <c r="AK37" s="96"/>
      <c r="AL37" s="99"/>
    </row>
    <row r="38" spans="2:38" s="39" customFormat="1" ht="29.25" customHeight="1" thickBot="1" x14ac:dyDescent="0.2">
      <c r="B38" s="100">
        <v>30</v>
      </c>
      <c r="C38" s="101"/>
      <c r="D38" s="101"/>
      <c r="E38" s="102"/>
      <c r="F38" s="100"/>
      <c r="G38" s="101"/>
      <c r="H38" s="101"/>
      <c r="I38" s="102"/>
      <c r="J38" s="103"/>
      <c r="K38" s="101"/>
      <c r="L38" s="101"/>
      <c r="M38" s="104"/>
      <c r="N38" s="100"/>
      <c r="O38" s="101"/>
      <c r="P38" s="101"/>
      <c r="Q38" s="102"/>
      <c r="R38" s="100"/>
      <c r="S38" s="101"/>
      <c r="T38" s="101"/>
      <c r="U38" s="102"/>
      <c r="V38" s="100"/>
      <c r="W38" s="101"/>
      <c r="X38" s="101"/>
      <c r="Y38" s="102"/>
      <c r="Z38" s="100"/>
      <c r="AA38" s="101"/>
      <c r="AB38" s="101"/>
      <c r="AC38" s="102"/>
      <c r="AD38" s="100"/>
      <c r="AE38" s="101"/>
      <c r="AF38" s="101"/>
      <c r="AG38" s="102"/>
      <c r="AH38" s="100"/>
      <c r="AI38" s="101"/>
      <c r="AJ38" s="101"/>
      <c r="AK38" s="102"/>
      <c r="AL38" s="105"/>
    </row>
    <row r="39" spans="2:38" ht="13.5" thickTop="1" x14ac:dyDescent="0.15"/>
  </sheetData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J5:M5 U5:X5 C1:C2" xr:uid="{00000000-0002-0000-0F00-000000000000}"/>
  </dataValidations>
  <pageMargins left="0.39370078740157483" right="0.39370078740157483" top="0.59055118110236227" bottom="0.59055118110236227" header="0.51181102362204722" footer="0.51181102362204722"/>
  <pageSetup paperSize="9" scale="80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30"/>
  <sheetViews>
    <sheetView showGridLines="0" workbookViewId="0">
      <selection activeCell="N20" sqref="N20"/>
    </sheetView>
  </sheetViews>
  <sheetFormatPr defaultColWidth="9.16796875" defaultRowHeight="15" x14ac:dyDescent="0.15"/>
  <cols>
    <col min="1" max="1" width="2.96484375" style="622" customWidth="1"/>
    <col min="2" max="2" width="51.91796875" style="622" customWidth="1"/>
    <col min="3" max="4" width="9.16796875" style="622"/>
    <col min="5" max="5" width="10.921875" style="622" customWidth="1"/>
    <col min="6" max="6" width="22.3828125" style="622" customWidth="1"/>
    <col min="7" max="7" width="1.34765625" style="622" customWidth="1"/>
    <col min="8" max="16384" width="9.16796875" style="622"/>
  </cols>
  <sheetData>
    <row r="1" spans="1:12" x14ac:dyDescent="0.15">
      <c r="A1" s="625"/>
      <c r="B1" s="799" t="str">
        <f>'1.Stratégie'!B2</f>
        <v>Microplanification Campagne de vaccination préventive contre la Rougeole et la Rubeole (RR), 2023</v>
      </c>
      <c r="C1" s="626"/>
      <c r="D1" s="626"/>
      <c r="E1" s="626"/>
      <c r="F1" s="626"/>
      <c r="G1" s="625"/>
      <c r="H1" s="625"/>
    </row>
    <row r="2" spans="1:12" ht="9" customHeight="1" x14ac:dyDescent="0.15">
      <c r="A2" s="625"/>
      <c r="B2" s="625"/>
      <c r="C2" s="625"/>
      <c r="D2" s="625"/>
      <c r="E2" s="625"/>
      <c r="F2" s="625"/>
      <c r="G2" s="625"/>
      <c r="H2" s="625"/>
      <c r="L2" s="623"/>
    </row>
    <row r="3" spans="1:12" s="624" customFormat="1" ht="18" x14ac:dyDescent="0.15">
      <c r="A3" s="627"/>
      <c r="B3" s="628" t="s">
        <v>443</v>
      </c>
      <c r="C3" s="629"/>
      <c r="D3" s="629"/>
      <c r="E3" s="629"/>
      <c r="F3" s="627"/>
      <c r="G3" s="627"/>
      <c r="H3" s="627"/>
    </row>
    <row r="4" spans="1:12" s="624" customFormat="1" ht="9" customHeight="1" x14ac:dyDescent="0.15">
      <c r="A4" s="627"/>
      <c r="B4" s="630"/>
      <c r="C4" s="627"/>
      <c r="D4" s="627"/>
      <c r="E4" s="627"/>
      <c r="F4" s="627"/>
      <c r="G4" s="627"/>
      <c r="H4" s="627"/>
    </row>
    <row r="5" spans="1:12" s="624" customFormat="1" ht="20.25" x14ac:dyDescent="0.25">
      <c r="A5" s="627"/>
      <c r="B5" s="130" t="str">
        <f>'1.Stratégie'!$B$4</f>
        <v>PAYS :</v>
      </c>
      <c r="C5" s="862" t="str">
        <f>'1.Stratégie'!C4</f>
        <v>CAMEROUN</v>
      </c>
      <c r="D5" s="863"/>
      <c r="E5" s="877"/>
      <c r="F5" s="627"/>
      <c r="G5" s="627"/>
      <c r="H5" s="627"/>
    </row>
    <row r="6" spans="1:12" s="624" customFormat="1" ht="11.25" customHeight="1" x14ac:dyDescent="0.25">
      <c r="A6" s="627"/>
      <c r="B6" s="130"/>
      <c r="C6" s="570"/>
      <c r="D6" s="571"/>
      <c r="E6" s="627"/>
      <c r="F6" s="627"/>
      <c r="G6" s="627"/>
      <c r="H6" s="627"/>
    </row>
    <row r="7" spans="1:12" s="624" customFormat="1" ht="20.25" x14ac:dyDescent="0.25">
      <c r="A7" s="627"/>
      <c r="B7" s="129" t="str">
        <f>'1.Stratégie'!$D$4</f>
        <v>REGION :</v>
      </c>
      <c r="C7" s="826">
        <f>'1.Stratégie'!$E$4</f>
        <v>0</v>
      </c>
      <c r="D7" s="863"/>
      <c r="E7" s="878"/>
      <c r="F7" s="627"/>
      <c r="G7" s="627"/>
      <c r="H7" s="627"/>
    </row>
    <row r="8" spans="1:12" s="624" customFormat="1" ht="10.5" customHeight="1" x14ac:dyDescent="0.25">
      <c r="A8" s="627"/>
      <c r="B8" s="130"/>
      <c r="C8" s="570"/>
      <c r="D8" s="571"/>
      <c r="E8" s="129"/>
      <c r="F8" s="627"/>
      <c r="G8" s="627"/>
      <c r="H8" s="627"/>
    </row>
    <row r="9" spans="1:12" s="624" customFormat="1" ht="18" x14ac:dyDescent="0.15">
      <c r="A9" s="627"/>
      <c r="B9" s="128" t="str">
        <f>IF(('1.Stratégie'!$F$4)="","",'1.Stratégie'!$F$4)</f>
        <v>DISTRICT :</v>
      </c>
      <c r="C9" s="826">
        <f>IF(('1.Stratégie'!$G$4)="","",'1.Stratégie'!$G$4)</f>
        <v>0</v>
      </c>
      <c r="D9" s="826"/>
      <c r="E9" s="878"/>
      <c r="F9" s="627"/>
      <c r="G9" s="627"/>
      <c r="H9" s="627"/>
    </row>
    <row r="10" spans="1:12" ht="11.25" customHeight="1" x14ac:dyDescent="0.15">
      <c r="A10" s="625"/>
      <c r="B10" s="567"/>
      <c r="C10" s="567"/>
      <c r="D10" s="625"/>
      <c r="E10" s="625"/>
      <c r="F10" s="625"/>
      <c r="G10" s="625"/>
      <c r="H10" s="625"/>
    </row>
    <row r="11" spans="1:12" x14ac:dyDescent="0.15">
      <c r="A11" s="625"/>
      <c r="B11" s="631" t="s">
        <v>262</v>
      </c>
      <c r="C11" s="631" t="s">
        <v>23</v>
      </c>
      <c r="D11" s="631" t="s">
        <v>58</v>
      </c>
      <c r="E11" s="631" t="s">
        <v>59</v>
      </c>
      <c r="F11" s="631" t="s">
        <v>60</v>
      </c>
      <c r="G11" s="625"/>
      <c r="H11" s="625"/>
    </row>
    <row r="12" spans="1:12" x14ac:dyDescent="0.15">
      <c r="A12" s="625"/>
      <c r="B12" s="632" t="s">
        <v>248</v>
      </c>
      <c r="C12" s="633"/>
      <c r="D12" s="633">
        <v>12</v>
      </c>
      <c r="E12" s="633">
        <v>2000</v>
      </c>
      <c r="F12" s="633"/>
      <c r="G12" s="625"/>
      <c r="H12" s="625"/>
    </row>
    <row r="13" spans="1:12" x14ac:dyDescent="0.15">
      <c r="A13" s="625"/>
      <c r="B13" s="632" t="s">
        <v>509</v>
      </c>
      <c r="C13" s="634"/>
      <c r="D13" s="634"/>
      <c r="E13" s="634"/>
      <c r="F13" s="634"/>
      <c r="G13" s="625"/>
      <c r="H13" s="625"/>
    </row>
    <row r="14" spans="1:12" x14ac:dyDescent="0.15">
      <c r="A14" s="625"/>
      <c r="B14" s="632" t="s">
        <v>249</v>
      </c>
      <c r="C14" s="633"/>
      <c r="D14" s="633">
        <v>1</v>
      </c>
      <c r="E14" s="633">
        <v>2000</v>
      </c>
      <c r="F14" s="633"/>
      <c r="G14" s="625"/>
      <c r="H14" s="625"/>
    </row>
    <row r="15" spans="1:12" x14ac:dyDescent="0.15">
      <c r="A15" s="625"/>
      <c r="B15" s="632" t="s">
        <v>250</v>
      </c>
      <c r="C15" s="633"/>
      <c r="D15" s="633">
        <v>1</v>
      </c>
      <c r="E15" s="633">
        <v>2000</v>
      </c>
      <c r="F15" s="633"/>
      <c r="G15" s="625"/>
      <c r="H15" s="625"/>
    </row>
    <row r="16" spans="1:12" x14ac:dyDescent="0.15">
      <c r="A16" s="625"/>
      <c r="B16" s="632" t="s">
        <v>251</v>
      </c>
      <c r="C16" s="633"/>
      <c r="D16" s="633">
        <v>12</v>
      </c>
      <c r="E16" s="633">
        <v>3000</v>
      </c>
      <c r="F16" s="633"/>
      <c r="G16" s="625"/>
      <c r="H16" s="625"/>
    </row>
    <row r="17" spans="1:8" x14ac:dyDescent="0.15">
      <c r="A17" s="625"/>
      <c r="B17" s="632" t="s">
        <v>252</v>
      </c>
      <c r="C17" s="633"/>
      <c r="D17" s="633">
        <v>11</v>
      </c>
      <c r="E17" s="633">
        <v>5000</v>
      </c>
      <c r="F17" s="633"/>
      <c r="G17" s="625"/>
      <c r="H17" s="625"/>
    </row>
    <row r="18" spans="1:8" x14ac:dyDescent="0.15">
      <c r="A18" s="625"/>
      <c r="B18" s="632" t="s">
        <v>253</v>
      </c>
      <c r="C18" s="633"/>
      <c r="D18" s="633">
        <v>1</v>
      </c>
      <c r="E18" s="633">
        <v>3000</v>
      </c>
      <c r="F18" s="633"/>
      <c r="G18" s="625"/>
      <c r="H18" s="625"/>
    </row>
    <row r="19" spans="1:8" x14ac:dyDescent="0.15">
      <c r="A19" s="625"/>
      <c r="B19" s="632" t="s">
        <v>254</v>
      </c>
      <c r="C19" s="633"/>
      <c r="D19" s="633">
        <v>1</v>
      </c>
      <c r="E19" s="633">
        <v>5000</v>
      </c>
      <c r="F19" s="633"/>
      <c r="G19" s="625"/>
      <c r="H19" s="625"/>
    </row>
    <row r="20" spans="1:8" x14ac:dyDescent="0.15">
      <c r="A20" s="625"/>
      <c r="B20" s="632" t="s">
        <v>255</v>
      </c>
      <c r="C20" s="633"/>
      <c r="D20" s="633">
        <v>12</v>
      </c>
      <c r="E20" s="633">
        <v>2000</v>
      </c>
      <c r="F20" s="633"/>
      <c r="G20" s="625"/>
      <c r="H20" s="625"/>
    </row>
    <row r="21" spans="1:8" x14ac:dyDescent="0.15">
      <c r="A21" s="625"/>
      <c r="B21" s="879" t="s">
        <v>256</v>
      </c>
      <c r="C21" s="633">
        <v>1</v>
      </c>
      <c r="D21" s="633">
        <v>12</v>
      </c>
      <c r="E21" s="633">
        <v>3000</v>
      </c>
      <c r="F21" s="633"/>
      <c r="G21" s="625"/>
      <c r="H21" s="625"/>
    </row>
    <row r="22" spans="1:8" x14ac:dyDescent="0.15">
      <c r="A22" s="625"/>
      <c r="B22" s="632" t="s">
        <v>257</v>
      </c>
      <c r="C22" s="633"/>
      <c r="D22" s="633">
        <v>12</v>
      </c>
      <c r="E22" s="633">
        <v>5000</v>
      </c>
      <c r="F22" s="633"/>
      <c r="G22" s="625"/>
      <c r="H22" s="625"/>
    </row>
    <row r="23" spans="1:8" x14ac:dyDescent="0.15">
      <c r="A23" s="625"/>
      <c r="B23" s="879" t="s">
        <v>258</v>
      </c>
      <c r="C23" s="633">
        <v>1</v>
      </c>
      <c r="D23" s="633">
        <v>12</v>
      </c>
      <c r="E23" s="633">
        <v>5000</v>
      </c>
      <c r="F23" s="633"/>
      <c r="G23" s="625"/>
      <c r="H23" s="625"/>
    </row>
    <row r="24" spans="1:8" ht="28.5" x14ac:dyDescent="0.15">
      <c r="A24" s="625"/>
      <c r="B24" s="879" t="s">
        <v>259</v>
      </c>
      <c r="C24" s="633">
        <v>3</v>
      </c>
      <c r="D24" s="633">
        <v>1</v>
      </c>
      <c r="E24" s="633">
        <v>50000</v>
      </c>
      <c r="F24" s="633"/>
      <c r="G24" s="625"/>
      <c r="H24" s="625"/>
    </row>
    <row r="25" spans="1:8" x14ac:dyDescent="0.15">
      <c r="A25" s="625"/>
      <c r="B25" s="879" t="s">
        <v>260</v>
      </c>
      <c r="C25" s="633">
        <v>1</v>
      </c>
      <c r="D25" s="633"/>
      <c r="E25" s="633">
        <v>20000</v>
      </c>
      <c r="F25" s="633"/>
      <c r="G25" s="625"/>
      <c r="H25" s="625"/>
    </row>
    <row r="26" spans="1:8" x14ac:dyDescent="0.15">
      <c r="A26" s="625"/>
      <c r="B26" s="633"/>
      <c r="C26" s="633"/>
      <c r="D26" s="633"/>
      <c r="E26" s="633"/>
      <c r="F26" s="633"/>
      <c r="G26" s="625"/>
      <c r="H26" s="625"/>
    </row>
    <row r="27" spans="1:8" x14ac:dyDescent="0.15">
      <c r="A27" s="625"/>
      <c r="B27" s="633" t="s">
        <v>261</v>
      </c>
      <c r="C27" s="633">
        <v>1</v>
      </c>
      <c r="D27" s="633">
        <v>1</v>
      </c>
      <c r="E27" s="633">
        <v>100000</v>
      </c>
      <c r="F27" s="633"/>
      <c r="G27" s="625"/>
      <c r="H27" s="625"/>
    </row>
    <row r="28" spans="1:8" x14ac:dyDescent="0.15">
      <c r="A28" s="625"/>
      <c r="B28" s="625"/>
      <c r="C28" s="625"/>
      <c r="D28" s="625"/>
      <c r="E28" s="625"/>
      <c r="F28" s="625"/>
      <c r="G28" s="625"/>
      <c r="H28" s="625"/>
    </row>
    <row r="29" spans="1:8" x14ac:dyDescent="0.15">
      <c r="A29" s="625"/>
      <c r="B29" s="880" t="s">
        <v>510</v>
      </c>
      <c r="C29" s="625"/>
      <c r="D29" s="625"/>
      <c r="E29" s="625"/>
      <c r="F29" s="625"/>
      <c r="G29" s="625"/>
      <c r="H29" s="625"/>
    </row>
    <row r="30" spans="1:8" x14ac:dyDescent="0.15">
      <c r="A30" s="625"/>
      <c r="B30" s="625"/>
      <c r="C30" s="625"/>
      <c r="D30" s="625"/>
      <c r="E30" s="625"/>
      <c r="F30" s="625"/>
      <c r="G30" s="625"/>
      <c r="H30" s="625"/>
    </row>
  </sheetData>
  <sheetProtection password="CD7B" sheet="1" objects="1" scenarios="1" selectLockedCells="1"/>
  <phoneticPr fontId="58" type="noConversion"/>
  <dataValidations count="1">
    <dataValidation allowBlank="1" showInputMessage="1" showErrorMessage="1" promptTitle="Feauile Equipes" prompt="Ne saisir aucune donnée sur cette feuilles. Les  y sont faits automatiquement" sqref="B7:C7 B8 E7:E9 B5:B6 B9:D9" xr:uid="{00000000-0002-0000-1000-000000000000}"/>
  </dataValidations>
  <pageMargins left="0.51181102362204722" right="0.51181102362204722" top="0.55118110236220474" bottom="0.55118110236220474" header="0.31496062992125984" footer="0.31496062992125984"/>
  <pageSetup scale="9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39"/>
  <sheetViews>
    <sheetView showGridLines="0" workbookViewId="0">
      <selection activeCell="J21" sqref="J21"/>
    </sheetView>
  </sheetViews>
  <sheetFormatPr defaultColWidth="11.4609375" defaultRowHeight="12.75" x14ac:dyDescent="0.15"/>
  <cols>
    <col min="1" max="1" width="15.37109375" style="1" customWidth="1"/>
    <col min="2" max="2" width="13.078125" style="1" customWidth="1"/>
    <col min="3" max="10" width="11.4609375" style="1"/>
    <col min="11" max="11" width="14.5625" style="1" customWidth="1"/>
    <col min="12" max="12" width="12.5390625" style="1" customWidth="1"/>
    <col min="13" max="13" width="11.4609375" style="1"/>
    <col min="14" max="14" width="14.83203125" style="1" customWidth="1"/>
    <col min="15" max="16384" width="11.4609375" style="1"/>
  </cols>
  <sheetData>
    <row r="1" spans="1:17" ht="14.25" x14ac:dyDescent="0.15">
      <c r="A1" s="800" t="str">
        <f>'1.Stratégie'!B2</f>
        <v>Microplanification Campagne de vaccination préventive contre la Rougeole et la Rubeole (RR), 2023</v>
      </c>
      <c r="B1" s="382"/>
      <c r="C1" s="382"/>
      <c r="D1" s="382"/>
      <c r="E1" s="382"/>
      <c r="F1" s="382"/>
      <c r="G1" s="382"/>
      <c r="H1" s="382"/>
      <c r="I1" s="382"/>
      <c r="J1" s="382"/>
      <c r="K1" s="382"/>
      <c r="L1" s="382"/>
      <c r="M1"/>
      <c r="N1"/>
    </row>
    <row r="2" spans="1:17" x14ac:dyDescent="0.15">
      <c r="A2" s="383"/>
      <c r="B2" s="383"/>
      <c r="C2" s="383"/>
      <c r="D2" s="383"/>
      <c r="E2" s="383"/>
      <c r="F2" s="383"/>
      <c r="G2" s="383"/>
      <c r="H2" s="383"/>
      <c r="I2" s="383"/>
      <c r="J2" s="383"/>
      <c r="K2" s="383"/>
      <c r="L2" s="383"/>
      <c r="M2"/>
      <c r="N2"/>
    </row>
    <row r="3" spans="1:17" ht="18" x14ac:dyDescent="0.2">
      <c r="A3"/>
      <c r="B3" s="384" t="s">
        <v>444</v>
      </c>
      <c r="C3" s="383"/>
      <c r="D3" s="383"/>
      <c r="E3" s="383"/>
      <c r="F3" s="383"/>
      <c r="G3" s="383"/>
      <c r="H3" s="383"/>
      <c r="I3" s="383"/>
      <c r="J3" s="383"/>
      <c r="K3" s="383"/>
      <c r="L3" s="383"/>
      <c r="M3"/>
      <c r="N3"/>
    </row>
    <row r="4" spans="1:17" ht="7.5" customHeight="1" x14ac:dyDescent="0.15">
      <c r="A4" s="383"/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/>
      <c r="N4"/>
    </row>
    <row r="5" spans="1:17" ht="18" x14ac:dyDescent="0.15">
      <c r="A5" s="130" t="str">
        <f>'1.Stratégie'!$B$4</f>
        <v>PAYS :</v>
      </c>
      <c r="B5" s="826" t="str">
        <f>'1.Stratégie'!$C$4</f>
        <v>CAMEROUN</v>
      </c>
      <c r="C5" s="827"/>
      <c r="D5" s="827"/>
      <c r="E5" s="240"/>
      <c r="F5" s="129" t="str">
        <f>'1.Stratégie'!$D$4</f>
        <v>REGION :</v>
      </c>
      <c r="G5" s="826">
        <f>'1.Stratégie'!$E$4</f>
        <v>0</v>
      </c>
      <c r="H5" s="828"/>
      <c r="I5" s="828"/>
      <c r="J5" s="128" t="str">
        <f>IF(('1.Stratégie'!$F$4)="","",'1.Stratégie'!$F$4)</f>
        <v>DISTRICT :</v>
      </c>
      <c r="K5" s="826">
        <f>IF(('1.Stratégie'!$G$4)="","",'1.Stratégie'!$G$4)</f>
        <v>0</v>
      </c>
      <c r="L5" s="826"/>
      <c r="M5" s="826"/>
      <c r="N5" s="385"/>
      <c r="O5" s="368"/>
    </row>
    <row r="6" spans="1:17" x14ac:dyDescent="0.15">
      <c r="A6" s="367"/>
      <c r="B6" s="367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367"/>
    </row>
    <row r="7" spans="1:17" x14ac:dyDescent="0.15">
      <c r="A7" s="369" t="s">
        <v>101</v>
      </c>
      <c r="B7" s="370"/>
      <c r="C7" s="386" t="s">
        <v>103</v>
      </c>
      <c r="D7" s="387"/>
      <c r="E7" s="387"/>
      <c r="F7" s="387"/>
      <c r="G7" s="387"/>
      <c r="H7" s="387"/>
      <c r="I7" s="387"/>
      <c r="J7" s="387"/>
      <c r="K7" s="387"/>
      <c r="L7" s="387"/>
      <c r="M7" s="388"/>
      <c r="N7" s="371" t="s">
        <v>104</v>
      </c>
      <c r="O7" s="367"/>
      <c r="P7" s="367"/>
      <c r="Q7" s="367"/>
    </row>
    <row r="8" spans="1:17" ht="31.5" x14ac:dyDescent="0.15">
      <c r="A8" s="372" t="s">
        <v>105</v>
      </c>
      <c r="B8" s="373" t="s">
        <v>106</v>
      </c>
      <c r="C8" s="374" t="s">
        <v>285</v>
      </c>
      <c r="D8" s="373" t="s">
        <v>107</v>
      </c>
      <c r="E8" s="375" t="s">
        <v>108</v>
      </c>
      <c r="F8" s="373" t="s">
        <v>109</v>
      </c>
      <c r="G8" s="373" t="s">
        <v>110</v>
      </c>
      <c r="H8" s="373" t="s">
        <v>111</v>
      </c>
      <c r="I8" s="373" t="s">
        <v>192</v>
      </c>
      <c r="J8" s="373" t="s">
        <v>193</v>
      </c>
      <c r="K8" s="373"/>
      <c r="L8" s="373"/>
      <c r="M8" s="373"/>
      <c r="N8" s="376"/>
      <c r="O8" s="367"/>
      <c r="P8" s="367"/>
      <c r="Q8" s="367"/>
    </row>
    <row r="9" spans="1:17" x14ac:dyDescent="0.15">
      <c r="A9" s="377" t="s">
        <v>112</v>
      </c>
      <c r="B9" s="378"/>
      <c r="C9" s="378"/>
      <c r="D9" s="378"/>
      <c r="E9" s="378"/>
      <c r="F9" s="378"/>
      <c r="G9" s="378"/>
      <c r="H9" s="378"/>
      <c r="I9" s="378"/>
      <c r="J9" s="378"/>
      <c r="K9" s="378"/>
      <c r="L9" s="378"/>
      <c r="M9" s="378"/>
      <c r="N9" s="378"/>
      <c r="O9" s="367"/>
      <c r="P9" s="367"/>
      <c r="Q9" s="367"/>
    </row>
    <row r="10" spans="1:17" x14ac:dyDescent="0.15">
      <c r="A10" s="380" t="s">
        <v>113</v>
      </c>
      <c r="B10" s="769"/>
      <c r="C10" s="769"/>
      <c r="D10" s="769"/>
      <c r="E10" s="769"/>
      <c r="F10" s="769"/>
      <c r="G10" s="769"/>
      <c r="H10" s="769"/>
      <c r="I10" s="769"/>
      <c r="J10" s="769"/>
      <c r="K10" s="769"/>
      <c r="L10" s="769"/>
      <c r="M10" s="769"/>
      <c r="N10" s="769"/>
      <c r="O10" s="367"/>
      <c r="P10" s="367"/>
      <c r="Q10" s="367"/>
    </row>
    <row r="11" spans="1:17" x14ac:dyDescent="0.15">
      <c r="A11" s="380"/>
      <c r="B11" s="381"/>
      <c r="C11" s="381"/>
      <c r="D11" s="381"/>
      <c r="E11" s="381"/>
      <c r="F11" s="381"/>
      <c r="G11" s="381"/>
      <c r="H11" s="381"/>
      <c r="I11" s="381"/>
      <c r="J11" s="381"/>
      <c r="K11" s="381"/>
      <c r="L11" s="381"/>
      <c r="M11" s="381"/>
      <c r="N11" s="381"/>
      <c r="O11" s="367"/>
      <c r="P11" s="367"/>
      <c r="Q11" s="367"/>
    </row>
    <row r="12" spans="1:17" x14ac:dyDescent="0.15">
      <c r="A12" s="380"/>
      <c r="B12" s="381"/>
      <c r="C12" s="381"/>
      <c r="D12" s="381"/>
      <c r="E12" s="381"/>
      <c r="F12" s="381"/>
      <c r="G12" s="381"/>
      <c r="H12" s="381"/>
      <c r="I12" s="381"/>
      <c r="J12" s="381"/>
      <c r="K12" s="381"/>
      <c r="L12" s="381"/>
      <c r="M12" s="381"/>
      <c r="N12" s="381"/>
      <c r="O12" s="367"/>
      <c r="P12" s="367"/>
      <c r="Q12" s="367"/>
    </row>
    <row r="13" spans="1:17" x14ac:dyDescent="0.15">
      <c r="A13" s="380" t="s">
        <v>114</v>
      </c>
      <c r="B13" s="381"/>
      <c r="C13" s="381"/>
      <c r="D13" s="381"/>
      <c r="E13" s="381"/>
      <c r="F13" s="381"/>
      <c r="G13" s="381"/>
      <c r="H13" s="381"/>
      <c r="I13" s="381"/>
      <c r="J13" s="381"/>
      <c r="K13" s="381"/>
      <c r="L13" s="381"/>
      <c r="M13" s="381"/>
      <c r="N13" s="381"/>
      <c r="O13" s="367"/>
      <c r="P13" s="367"/>
      <c r="Q13" s="367"/>
    </row>
    <row r="14" spans="1:17" x14ac:dyDescent="0.15">
      <c r="A14" s="380"/>
      <c r="B14" s="381"/>
      <c r="C14" s="381"/>
      <c r="D14" s="381"/>
      <c r="E14" s="381"/>
      <c r="F14" s="381"/>
      <c r="G14" s="381"/>
      <c r="H14" s="381"/>
      <c r="I14" s="381"/>
      <c r="J14" s="381"/>
      <c r="K14" s="381"/>
      <c r="L14" s="381"/>
      <c r="M14" s="381"/>
      <c r="N14" s="381"/>
      <c r="O14" s="367"/>
      <c r="P14" s="367"/>
      <c r="Q14" s="367"/>
    </row>
    <row r="15" spans="1:17" x14ac:dyDescent="0.15">
      <c r="A15" s="770"/>
      <c r="B15" s="381"/>
      <c r="C15" s="381"/>
      <c r="D15" s="381"/>
      <c r="E15" s="381"/>
      <c r="F15" s="381"/>
      <c r="G15" s="381"/>
      <c r="H15" s="381"/>
      <c r="I15" s="381"/>
      <c r="J15" s="381"/>
      <c r="K15" s="381"/>
      <c r="L15" s="381"/>
      <c r="M15" s="381"/>
      <c r="N15" s="381"/>
      <c r="O15" s="367"/>
      <c r="P15" s="367"/>
      <c r="Q15" s="367"/>
    </row>
    <row r="16" spans="1:17" x14ac:dyDescent="0.15">
      <c r="A16" s="379" t="s">
        <v>115</v>
      </c>
      <c r="B16" s="381"/>
      <c r="C16" s="381"/>
      <c r="D16" s="381"/>
      <c r="E16" s="381"/>
      <c r="F16" s="381"/>
      <c r="G16" s="381"/>
      <c r="H16" s="381"/>
      <c r="I16" s="381"/>
      <c r="J16" s="381"/>
      <c r="K16" s="381"/>
      <c r="L16" s="381"/>
      <c r="M16" s="381"/>
      <c r="N16" s="381"/>
      <c r="O16" s="367"/>
      <c r="P16" s="367"/>
      <c r="Q16" s="367"/>
    </row>
    <row r="17" spans="1:17" x14ac:dyDescent="0.15">
      <c r="A17" s="380"/>
      <c r="B17" s="381"/>
      <c r="C17" s="381"/>
      <c r="D17" s="381"/>
      <c r="E17" s="381"/>
      <c r="F17" s="381"/>
      <c r="G17" s="381"/>
      <c r="H17" s="381"/>
      <c r="I17" s="381"/>
      <c r="J17" s="381"/>
      <c r="K17" s="381"/>
      <c r="L17" s="381"/>
      <c r="M17" s="381"/>
      <c r="N17" s="381"/>
      <c r="O17" s="367"/>
      <c r="P17" s="367"/>
      <c r="Q17" s="367"/>
    </row>
    <row r="18" spans="1:17" x14ac:dyDescent="0.15">
      <c r="A18" s="380"/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67"/>
      <c r="P18" s="367"/>
      <c r="Q18" s="367"/>
    </row>
    <row r="19" spans="1:17" x14ac:dyDescent="0.15">
      <c r="A19" s="380" t="s">
        <v>116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67"/>
      <c r="P19" s="367"/>
      <c r="Q19" s="367"/>
    </row>
    <row r="20" spans="1:17" x14ac:dyDescent="0.15">
      <c r="A20" s="380"/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67"/>
      <c r="P20" s="367"/>
      <c r="Q20" s="367"/>
    </row>
    <row r="21" spans="1:17" x14ac:dyDescent="0.15">
      <c r="A21" s="380"/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67"/>
      <c r="P21" s="367"/>
      <c r="Q21" s="367"/>
    </row>
    <row r="22" spans="1:17" x14ac:dyDescent="0.15">
      <c r="A22" s="379" t="s">
        <v>117</v>
      </c>
      <c r="B22" s="381"/>
      <c r="C22" s="381"/>
      <c r="D22" s="381"/>
      <c r="E22" s="381"/>
      <c r="F22" s="381"/>
      <c r="G22" s="381"/>
      <c r="H22" s="381"/>
      <c r="I22" s="381"/>
      <c r="J22" s="381"/>
      <c r="K22" s="381"/>
      <c r="L22" s="381"/>
      <c r="M22" s="381"/>
      <c r="N22" s="381"/>
      <c r="O22" s="367"/>
      <c r="P22" s="367"/>
      <c r="Q22" s="367"/>
    </row>
    <row r="23" spans="1:17" x14ac:dyDescent="0.15">
      <c r="A23" s="77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67"/>
      <c r="P23" s="367"/>
      <c r="Q23" s="367"/>
    </row>
    <row r="24" spans="1:17" x14ac:dyDescent="0.15">
      <c r="A24" s="380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67"/>
      <c r="P24" s="367"/>
      <c r="Q24" s="367"/>
    </row>
    <row r="25" spans="1:17" x14ac:dyDescent="0.15">
      <c r="A25" s="380" t="s">
        <v>118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67"/>
      <c r="P25" s="367"/>
      <c r="Q25" s="367"/>
    </row>
    <row r="26" spans="1:17" x14ac:dyDescent="0.15">
      <c r="A26" s="380"/>
      <c r="B26" s="381"/>
      <c r="C26" s="381"/>
      <c r="D26" s="381"/>
      <c r="E26" s="381"/>
      <c r="F26" s="381"/>
      <c r="G26" s="381"/>
      <c r="H26" s="381"/>
      <c r="I26" s="381"/>
      <c r="J26" s="381"/>
      <c r="K26" s="381"/>
      <c r="L26" s="381"/>
      <c r="M26" s="381"/>
      <c r="N26" s="381"/>
      <c r="O26" s="367"/>
      <c r="P26" s="367"/>
      <c r="Q26" s="367"/>
    </row>
    <row r="27" spans="1:17" x14ac:dyDescent="0.15">
      <c r="A27" s="380"/>
      <c r="B27" s="381"/>
      <c r="C27" s="381"/>
      <c r="D27" s="381"/>
      <c r="E27" s="381"/>
      <c r="F27" s="381"/>
      <c r="G27" s="381"/>
      <c r="H27" s="381"/>
      <c r="I27" s="381"/>
      <c r="J27" s="381"/>
      <c r="K27" s="381"/>
      <c r="L27" s="381"/>
      <c r="M27" s="381"/>
      <c r="N27" s="381"/>
      <c r="O27" s="367"/>
      <c r="P27" s="367"/>
      <c r="Q27" s="367"/>
    </row>
    <row r="28" spans="1:17" x14ac:dyDescent="0.15">
      <c r="A28" s="380" t="s">
        <v>119</v>
      </c>
      <c r="B28" s="381"/>
      <c r="C28" s="381"/>
      <c r="D28" s="381"/>
      <c r="E28" s="381"/>
      <c r="F28" s="381"/>
      <c r="G28" s="381"/>
      <c r="H28" s="381"/>
      <c r="I28" s="381"/>
      <c r="J28" s="381"/>
      <c r="K28" s="381"/>
      <c r="L28" s="381"/>
      <c r="M28" s="381"/>
      <c r="N28" s="381"/>
      <c r="O28" s="367"/>
      <c r="P28" s="367"/>
      <c r="Q28" s="367"/>
    </row>
    <row r="29" spans="1:17" x14ac:dyDescent="0.15">
      <c r="A29" s="380"/>
      <c r="B29" s="381"/>
      <c r="C29" s="381"/>
      <c r="D29" s="381"/>
      <c r="E29" s="381"/>
      <c r="F29" s="381"/>
      <c r="G29" s="381"/>
      <c r="H29" s="381"/>
      <c r="I29" s="381"/>
      <c r="J29" s="381"/>
      <c r="K29" s="381"/>
      <c r="L29" s="381"/>
      <c r="M29" s="381"/>
      <c r="N29" s="381"/>
      <c r="O29" s="367"/>
      <c r="P29" s="367"/>
      <c r="Q29" s="367"/>
    </row>
    <row r="30" spans="1:17" x14ac:dyDescent="0.15">
      <c r="A30" s="770"/>
      <c r="B30" s="381"/>
      <c r="C30" s="381"/>
      <c r="D30" s="381"/>
      <c r="E30" s="381"/>
      <c r="F30" s="381"/>
      <c r="G30" s="381"/>
      <c r="H30" s="381"/>
      <c r="I30" s="381"/>
      <c r="J30" s="381"/>
      <c r="K30" s="381"/>
      <c r="L30" s="381"/>
      <c r="M30" s="381"/>
      <c r="N30" s="381"/>
      <c r="O30" s="367"/>
      <c r="P30" s="367"/>
      <c r="Q30" s="367"/>
    </row>
    <row r="31" spans="1:17" x14ac:dyDescent="0.15">
      <c r="A31" s="379" t="s">
        <v>120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/>
      <c r="L31" s="381"/>
      <c r="M31" s="381"/>
      <c r="N31" s="381"/>
      <c r="O31" s="367"/>
      <c r="P31" s="367"/>
      <c r="Q31" s="367"/>
    </row>
    <row r="32" spans="1:17" x14ac:dyDescent="0.15">
      <c r="A32" s="380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1"/>
      <c r="M32" s="381"/>
      <c r="N32" s="381"/>
      <c r="O32" s="367"/>
      <c r="P32" s="367"/>
      <c r="Q32" s="367"/>
    </row>
    <row r="33" spans="1:17" x14ac:dyDescent="0.15">
      <c r="A33" s="380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1"/>
      <c r="M33" s="381"/>
      <c r="N33" s="381"/>
      <c r="O33" s="367"/>
      <c r="P33" s="367"/>
      <c r="Q33" s="367"/>
    </row>
    <row r="34" spans="1:17" x14ac:dyDescent="0.15">
      <c r="A34" s="380" t="s">
        <v>121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67"/>
      <c r="P34" s="367"/>
      <c r="Q34" s="367"/>
    </row>
    <row r="35" spans="1:17" x14ac:dyDescent="0.15">
      <c r="A35" s="770"/>
      <c r="B35" s="381"/>
      <c r="C35" s="381"/>
      <c r="D35" s="381"/>
      <c r="E35" s="381"/>
      <c r="F35" s="381"/>
      <c r="G35" s="381"/>
      <c r="H35" s="381"/>
      <c r="I35" s="381"/>
      <c r="J35" s="381"/>
      <c r="K35" s="381"/>
      <c r="L35" s="381"/>
      <c r="M35" s="381"/>
      <c r="N35" s="381"/>
      <c r="O35" s="367"/>
      <c r="P35" s="367"/>
      <c r="Q35" s="367"/>
    </row>
    <row r="36" spans="1:17" x14ac:dyDescent="0.15">
      <c r="A36" s="380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67"/>
      <c r="P36" s="367"/>
      <c r="Q36" s="367"/>
    </row>
    <row r="37" spans="1:17" x14ac:dyDescent="0.15">
      <c r="A37" s="379" t="s">
        <v>122</v>
      </c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67"/>
      <c r="P37" s="367"/>
      <c r="Q37" s="367"/>
    </row>
    <row r="38" spans="1:17" x14ac:dyDescent="0.15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67"/>
      <c r="P38" s="367"/>
      <c r="Q38" s="367"/>
    </row>
    <row r="39" spans="1:17" x14ac:dyDescent="0.15">
      <c r="A39" s="367"/>
      <c r="B39" s="367"/>
      <c r="C39" s="367"/>
      <c r="D39" s="367"/>
      <c r="E39" s="367"/>
      <c r="F39" s="367"/>
      <c r="G39" s="367"/>
      <c r="H39" s="367"/>
      <c r="I39" s="367"/>
      <c r="J39" s="367"/>
      <c r="K39" s="367"/>
      <c r="L39" s="367"/>
      <c r="M39" s="367"/>
      <c r="N39" s="367"/>
      <c r="O39" s="367"/>
      <c r="P39" s="367"/>
      <c r="Q39" s="367"/>
    </row>
  </sheetData>
  <phoneticPr fontId="16" type="noConversion"/>
  <dataValidations count="2">
    <dataValidation allowBlank="1" showInputMessage="1" showErrorMessage="1" sqref="G5 K5" xr:uid="{00000000-0002-0000-1100-000000000000}"/>
    <dataValidation allowBlank="1" showInputMessage="1" showErrorMessage="1" promptTitle="Feauile Equipes" prompt="Ne saisir aucune donnée sur cette feuilles. Les  y sont faits automatiquement" sqref="F5 H5:J5" xr:uid="{00000000-0002-0000-1100-000001000000}"/>
  </dataValidations>
  <pageMargins left="0.59055118110236227" right="0.39370078740157483" top="0.59055118110236227" bottom="0.59055118110236227" header="0.51181102362204722" footer="0.51181102362204722"/>
  <pageSetup paperSize="9" scale="9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1" workbookViewId="0">
      <selection activeCell="I20" sqref="I20"/>
    </sheetView>
  </sheetViews>
  <sheetFormatPr defaultColWidth="11.4609375" defaultRowHeight="12.75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5"/>
  <sheetViews>
    <sheetView showGridLines="0" zoomScale="126" workbookViewId="0">
      <selection sqref="A1:M5"/>
    </sheetView>
  </sheetViews>
  <sheetFormatPr defaultColWidth="11.4609375" defaultRowHeight="12.75" x14ac:dyDescent="0.15"/>
  <cols>
    <col min="1" max="1" width="2.55859375" customWidth="1"/>
    <col min="11" max="11" width="2.15625" customWidth="1"/>
  </cols>
  <sheetData>
    <row r="1" spans="1:13" x14ac:dyDescent="0.1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3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1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</sheetData>
  <pageMargins left="0.31496062992125984" right="0.31496062992125984" top="0.35433070866141736" bottom="0.35433070866141736" header="0.11811023622047245" footer="0.31496062992125984"/>
  <pageSetup paperSize="9" scale="90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2529" r:id="rId4">
          <objectPr defaultSize="0" r:id="rId5">
            <anchor moveWithCells="1">
              <from>
                <xdr:col>1</xdr:col>
                <xdr:colOff>426720</xdr:colOff>
                <xdr:row>0</xdr:row>
                <xdr:rowOff>45720</xdr:rowOff>
              </from>
              <to>
                <xdr:col>12</xdr:col>
                <xdr:colOff>274320</xdr:colOff>
                <xdr:row>70</xdr:row>
                <xdr:rowOff>60960</xdr:rowOff>
              </to>
            </anchor>
          </objectPr>
        </oleObject>
      </mc:Choice>
      <mc:Fallback>
        <oleObject progId="Word.Document.12" shapeId="22529" r:id="rId4"/>
      </mc:Fallback>
    </mc:AlternateContent>
    <mc:AlternateContent xmlns:mc="http://schemas.openxmlformats.org/markup-compatibility/2006">
      <mc:Choice Requires="x14">
        <oleObject progId="Word.Document.12" shapeId="22530" r:id="rId6">
          <objectPr defaultSize="0" r:id="rId7">
            <anchor moveWithCells="1">
              <from>
                <xdr:col>2</xdr:col>
                <xdr:colOff>0</xdr:colOff>
                <xdr:row>77</xdr:row>
                <xdr:rowOff>30480</xdr:rowOff>
              </from>
              <to>
                <xdr:col>12</xdr:col>
                <xdr:colOff>83820</xdr:colOff>
                <xdr:row>140</xdr:row>
                <xdr:rowOff>114300</xdr:rowOff>
              </to>
            </anchor>
          </objectPr>
        </oleObject>
      </mc:Choice>
      <mc:Fallback>
        <oleObject progId="Word.Document.12" shapeId="22530" r:id="rId6"/>
      </mc:Fallback>
    </mc:AlternateContent>
    <mc:AlternateContent xmlns:mc="http://schemas.openxmlformats.org/markup-compatibility/2006">
      <mc:Choice Requires="x14">
        <oleObject progId="Word.Document.12" shapeId="22531" r:id="rId8">
          <objectPr defaultSize="0" r:id="rId9">
            <anchor moveWithCells="1">
              <from>
                <xdr:col>1</xdr:col>
                <xdr:colOff>1173480</xdr:colOff>
                <xdr:row>142</xdr:row>
                <xdr:rowOff>312420</xdr:rowOff>
              </from>
              <to>
                <xdr:col>11</xdr:col>
                <xdr:colOff>1173480</xdr:colOff>
                <xdr:row>186</xdr:row>
                <xdr:rowOff>289560</xdr:rowOff>
              </to>
            </anchor>
          </objectPr>
        </oleObject>
      </mc:Choice>
      <mc:Fallback>
        <oleObject progId="Word.Document.12" shapeId="22531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4"/>
  </sheetPr>
  <dimension ref="A1:U92"/>
  <sheetViews>
    <sheetView showGridLines="0" workbookViewId="0">
      <selection activeCell="T23" sqref="T23"/>
    </sheetView>
  </sheetViews>
  <sheetFormatPr defaultColWidth="11.4609375" defaultRowHeight="12.75" x14ac:dyDescent="0.15"/>
  <cols>
    <col min="1" max="1" width="31.5546875" style="1" customWidth="1"/>
    <col min="2" max="2" width="14.96875" style="1" customWidth="1"/>
    <col min="3" max="3" width="13.6171875" style="389" customWidth="1"/>
    <col min="4" max="4" width="9.16796875" style="1" customWidth="1"/>
    <col min="5" max="5" width="3.91015625" style="1" hidden="1" customWidth="1"/>
    <col min="6" max="6" width="16.85546875" style="1" customWidth="1"/>
    <col min="7" max="7" width="12.13671875" style="1" customWidth="1"/>
    <col min="8" max="8" width="11.0546875" style="1" bestFit="1" customWidth="1"/>
    <col min="9" max="9" width="2.2890625" style="1" customWidth="1"/>
    <col min="10" max="12" width="5.12109375" style="1" hidden="1" customWidth="1"/>
    <col min="13" max="19" width="0" style="1" hidden="1" customWidth="1"/>
    <col min="20" max="20" width="2.42578125" style="1" customWidth="1"/>
    <col min="21" max="16384" width="11.4609375" style="1"/>
  </cols>
  <sheetData>
    <row r="1" spans="1:21" ht="20.25" x14ac:dyDescent="0.15">
      <c r="A1" s="390" t="str">
        <f>'Page de garde'!D7</f>
        <v>CAMEROUN</v>
      </c>
      <c r="B1" s="390"/>
      <c r="C1" s="390"/>
      <c r="D1" s="390"/>
      <c r="E1" s="390"/>
      <c r="F1" s="390"/>
      <c r="G1" s="390"/>
      <c r="H1" s="390"/>
      <c r="I1" s="390"/>
    </row>
    <row r="2" spans="1:21" ht="13.5" x14ac:dyDescent="0.15">
      <c r="A2" s="391" t="s">
        <v>290</v>
      </c>
      <c r="B2" s="391"/>
      <c r="C2" s="391"/>
      <c r="D2" s="391"/>
      <c r="E2" s="391"/>
      <c r="F2" s="391"/>
      <c r="G2" s="391"/>
      <c r="H2" s="391"/>
      <c r="I2" s="391"/>
    </row>
    <row r="3" spans="1:21" ht="13.5" x14ac:dyDescent="0.15">
      <c r="A3" s="392" t="str">
        <f>'Page de garde'!C9</f>
        <v>Région :</v>
      </c>
      <c r="B3" s="728">
        <f>'Page de garde'!D9</f>
        <v>0</v>
      </c>
      <c r="C3" s="729"/>
      <c r="D3" s="729"/>
      <c r="E3" s="729"/>
      <c r="F3" s="730"/>
      <c r="G3" s="393"/>
      <c r="H3" s="393"/>
      <c r="I3" s="393"/>
    </row>
    <row r="4" spans="1:21" ht="14.25" thickBot="1" x14ac:dyDescent="0.2">
      <c r="A4" s="392" t="str">
        <f>'Page de garde'!C11</f>
        <v>District :</v>
      </c>
      <c r="B4" s="731">
        <f>'Page de garde'!D11</f>
        <v>0</v>
      </c>
      <c r="C4" s="732"/>
      <c r="D4" s="732"/>
      <c r="E4" s="732"/>
      <c r="F4" s="730"/>
      <c r="G4" s="393"/>
      <c r="H4" s="393"/>
      <c r="I4" s="393"/>
      <c r="J4" s="1" t="s">
        <v>291</v>
      </c>
    </row>
    <row r="5" spans="1:21" x14ac:dyDescent="0.15">
      <c r="A5" s="394" t="s">
        <v>24</v>
      </c>
      <c r="B5" s="395"/>
      <c r="C5" s="395"/>
      <c r="D5" s="395"/>
      <c r="E5" s="395"/>
      <c r="F5" s="395"/>
      <c r="G5" s="395"/>
      <c r="H5" s="396"/>
      <c r="I5" s="393"/>
    </row>
    <row r="6" spans="1:21" ht="20.25" customHeight="1" x14ac:dyDescent="0.15">
      <c r="A6" s="397" t="s">
        <v>462</v>
      </c>
      <c r="B6" s="398" t="s">
        <v>463</v>
      </c>
      <c r="C6" s="398" t="s">
        <v>464</v>
      </c>
      <c r="D6" s="806" t="s">
        <v>486</v>
      </c>
      <c r="E6" s="398" t="s">
        <v>356</v>
      </c>
      <c r="F6" s="398" t="s">
        <v>377</v>
      </c>
      <c r="G6" s="398" t="s">
        <v>378</v>
      </c>
      <c r="H6" s="637" t="s">
        <v>461</v>
      </c>
      <c r="I6" s="393"/>
    </row>
    <row r="7" spans="1:21" x14ac:dyDescent="0.15">
      <c r="A7" s="399"/>
      <c r="B7" s="400"/>
      <c r="C7" s="400"/>
      <c r="D7" s="400"/>
      <c r="E7" s="400">
        <v>0.7</v>
      </c>
      <c r="F7" s="636" t="str">
        <f>'Page de garde'!$D$16</f>
        <v>RR</v>
      </c>
      <c r="G7" s="401">
        <f>'Page de garde'!$D$18</f>
        <v>10</v>
      </c>
      <c r="H7" s="638">
        <f>'Page de garde'!$F$16</f>
        <v>0.115</v>
      </c>
      <c r="I7" s="393"/>
    </row>
    <row r="8" spans="1:21" ht="13.5" thickBot="1" x14ac:dyDescent="0.2">
      <c r="A8" s="642"/>
      <c r="B8" s="643"/>
      <c r="C8" s="644"/>
      <c r="D8" s="644"/>
      <c r="E8" s="645">
        <v>0.7</v>
      </c>
      <c r="F8" s="402"/>
      <c r="G8" s="402"/>
      <c r="H8" s="403"/>
      <c r="I8" s="393"/>
    </row>
    <row r="9" spans="1:21" ht="13.5" thickBot="1" x14ac:dyDescent="0.2">
      <c r="A9" s="393"/>
      <c r="B9" s="404"/>
      <c r="C9" s="404"/>
      <c r="D9" s="404"/>
      <c r="E9" s="404"/>
      <c r="F9" s="393"/>
      <c r="G9" s="393"/>
      <c r="H9" s="393"/>
      <c r="I9" s="393"/>
    </row>
    <row r="10" spans="1:21" ht="13.5" thickBot="1" x14ac:dyDescent="0.2">
      <c r="A10" s="405"/>
      <c r="B10" s="406"/>
      <c r="C10" s="406"/>
      <c r="D10" s="406"/>
      <c r="E10" s="406"/>
      <c r="F10" s="407"/>
      <c r="G10" s="407"/>
      <c r="H10" s="407"/>
      <c r="I10" s="408"/>
    </row>
    <row r="11" spans="1:21" ht="14.45" customHeight="1" thickBot="1" x14ac:dyDescent="0.2">
      <c r="A11" s="409" t="s">
        <v>292</v>
      </c>
      <c r="B11" s="410"/>
      <c r="C11" s="411"/>
      <c r="D11" s="393"/>
      <c r="E11" s="393"/>
      <c r="F11" s="412" t="s">
        <v>293</v>
      </c>
      <c r="G11" s="413"/>
      <c r="H11" s="414"/>
      <c r="I11" s="415"/>
      <c r="M11" s="50" t="s">
        <v>294</v>
      </c>
      <c r="N11" s="49"/>
      <c r="O11" s="49"/>
      <c r="P11" s="49"/>
      <c r="Q11" s="49"/>
      <c r="R11" s="49"/>
      <c r="S11" s="49"/>
    </row>
    <row r="12" spans="1:21" ht="14.45" customHeight="1" thickBot="1" x14ac:dyDescent="0.2">
      <c r="A12" s="416" t="s">
        <v>295</v>
      </c>
      <c r="B12" s="417" t="s">
        <v>296</v>
      </c>
      <c r="C12" s="418" t="s">
        <v>297</v>
      </c>
      <c r="D12" s="393"/>
      <c r="E12" s="393"/>
      <c r="F12" s="419" t="s">
        <v>357</v>
      </c>
      <c r="G12" s="420" t="s">
        <v>298</v>
      </c>
      <c r="H12" s="421" t="s">
        <v>385</v>
      </c>
      <c r="I12" s="415"/>
      <c r="M12" s="708" t="s">
        <v>299</v>
      </c>
      <c r="N12" s="709"/>
      <c r="O12" s="709"/>
      <c r="P12" s="710"/>
      <c r="Q12" s="711" t="s">
        <v>300</v>
      </c>
      <c r="R12" s="710"/>
      <c r="S12" s="49" t="s">
        <v>301</v>
      </c>
    </row>
    <row r="13" spans="1:21" ht="14.45" customHeight="1" thickBot="1" x14ac:dyDescent="0.2">
      <c r="A13" s="422" t="s">
        <v>302</v>
      </c>
      <c r="B13" s="423">
        <v>1</v>
      </c>
      <c r="C13" s="807">
        <v>4000</v>
      </c>
      <c r="D13" s="393"/>
      <c r="E13" s="393"/>
      <c r="F13" s="425" t="s">
        <v>288</v>
      </c>
      <c r="G13" s="426">
        <v>300</v>
      </c>
      <c r="H13" s="427">
        <f>'Page de garde'!$F$18</f>
        <v>5</v>
      </c>
      <c r="I13" s="415"/>
      <c r="M13" s="712" t="s">
        <v>303</v>
      </c>
      <c r="N13" s="709"/>
      <c r="O13" s="709"/>
      <c r="P13" s="710"/>
      <c r="Q13" s="713">
        <v>4000</v>
      </c>
      <c r="R13" s="711" t="s">
        <v>304</v>
      </c>
      <c r="S13" s="714">
        <f>Q13/2000</f>
        <v>2</v>
      </c>
      <c r="U13" s="1" t="s">
        <v>487</v>
      </c>
    </row>
    <row r="14" spans="1:21" ht="14.45" customHeight="1" thickBot="1" x14ac:dyDescent="0.2">
      <c r="A14" s="425" t="s">
        <v>307</v>
      </c>
      <c r="B14" s="426">
        <v>1</v>
      </c>
      <c r="C14" s="808">
        <v>4000</v>
      </c>
      <c r="D14" s="393"/>
      <c r="E14" s="393"/>
      <c r="F14" s="425" t="s">
        <v>246</v>
      </c>
      <c r="G14" s="426">
        <v>200</v>
      </c>
      <c r="H14" s="427">
        <f>'Page de garde'!$F$18</f>
        <v>5</v>
      </c>
      <c r="I14" s="415"/>
      <c r="M14" s="712" t="s">
        <v>305</v>
      </c>
      <c r="N14" s="709"/>
      <c r="O14" s="709"/>
      <c r="P14" s="710"/>
      <c r="Q14" s="715">
        <v>7000</v>
      </c>
      <c r="R14" s="716" t="s">
        <v>304</v>
      </c>
      <c r="S14" s="714">
        <f>Q14/2000</f>
        <v>3.5</v>
      </c>
      <c r="U14" s="1" t="s">
        <v>487</v>
      </c>
    </row>
    <row r="15" spans="1:21" ht="14.45" customHeight="1" thickBot="1" x14ac:dyDescent="0.2">
      <c r="A15" s="425" t="s">
        <v>354</v>
      </c>
      <c r="B15" s="426">
        <v>1</v>
      </c>
      <c r="C15" s="808">
        <v>2000</v>
      </c>
      <c r="D15" s="393"/>
      <c r="E15" s="393"/>
      <c r="F15" s="425" t="s">
        <v>247</v>
      </c>
      <c r="G15" s="426">
        <v>100</v>
      </c>
      <c r="H15" s="427">
        <f>'Page de garde'!$F$18</f>
        <v>5</v>
      </c>
      <c r="I15" s="415"/>
      <c r="M15" s="712" t="s">
        <v>306</v>
      </c>
      <c r="N15" s="709"/>
      <c r="O15" s="709"/>
      <c r="P15" s="710"/>
      <c r="Q15" s="715">
        <v>2000</v>
      </c>
      <c r="R15" s="716" t="s">
        <v>304</v>
      </c>
      <c r="S15" s="714">
        <f>Q15/2000</f>
        <v>1</v>
      </c>
      <c r="U15" s="1" t="s">
        <v>487</v>
      </c>
    </row>
    <row r="16" spans="1:21" ht="14.45" customHeight="1" thickBot="1" x14ac:dyDescent="0.2">
      <c r="A16" s="425" t="s">
        <v>354</v>
      </c>
      <c r="B16" s="426">
        <v>1</v>
      </c>
      <c r="C16" s="808">
        <v>2000</v>
      </c>
      <c r="D16" s="393"/>
      <c r="E16" s="393"/>
      <c r="F16" s="429" t="s">
        <v>289</v>
      </c>
      <c r="G16" s="430">
        <v>50</v>
      </c>
      <c r="H16" s="450">
        <f>'Page de garde'!$F$18</f>
        <v>5</v>
      </c>
      <c r="I16" s="415"/>
      <c r="J16" s="717"/>
      <c r="K16" s="718"/>
      <c r="M16" s="712" t="s">
        <v>308</v>
      </c>
      <c r="N16" s="709"/>
      <c r="O16" s="709"/>
      <c r="P16" s="710"/>
      <c r="Q16" s="715">
        <v>3000</v>
      </c>
      <c r="R16" s="716" t="s">
        <v>304</v>
      </c>
      <c r="S16" s="714">
        <f>Q16/2000</f>
        <v>1.5</v>
      </c>
      <c r="U16" s="1" t="s">
        <v>487</v>
      </c>
    </row>
    <row r="17" spans="1:21" ht="14.45" customHeight="1" thickBot="1" x14ac:dyDescent="0.2">
      <c r="A17" s="425"/>
      <c r="B17" s="426"/>
      <c r="C17" s="428"/>
      <c r="D17" s="393"/>
      <c r="E17" s="393"/>
      <c r="F17" s="393"/>
      <c r="G17" s="393"/>
      <c r="H17" s="393"/>
      <c r="I17" s="415"/>
      <c r="J17" s="717"/>
      <c r="K17" s="718"/>
      <c r="M17" s="712" t="s">
        <v>310</v>
      </c>
      <c r="N17" s="709"/>
      <c r="O17" s="709"/>
      <c r="P17" s="710"/>
      <c r="Q17" s="715">
        <v>10500</v>
      </c>
      <c r="R17" s="716" t="s">
        <v>311</v>
      </c>
      <c r="S17" s="714">
        <f>Q17/2000</f>
        <v>5.25</v>
      </c>
    </row>
    <row r="18" spans="1:21" ht="14.45" customHeight="1" thickBot="1" x14ac:dyDescent="0.2">
      <c r="A18" s="431"/>
      <c r="B18" s="432"/>
      <c r="C18" s="433"/>
      <c r="D18" s="393"/>
      <c r="E18" s="393"/>
      <c r="F18" s="393"/>
      <c r="G18" s="393"/>
      <c r="H18" s="393"/>
      <c r="I18" s="415"/>
      <c r="J18" s="717"/>
      <c r="K18" s="718"/>
      <c r="M18" s="712"/>
      <c r="N18" s="709"/>
      <c r="O18" s="709"/>
      <c r="P18" s="710"/>
      <c r="Q18" s="715"/>
      <c r="R18" s="716"/>
      <c r="S18" s="714"/>
    </row>
    <row r="19" spans="1:21" ht="14.45" customHeight="1" thickBot="1" x14ac:dyDescent="0.2">
      <c r="A19" s="429"/>
      <c r="B19" s="430"/>
      <c r="C19" s="434"/>
      <c r="D19" s="393"/>
      <c r="E19" s="393"/>
      <c r="F19" s="393"/>
      <c r="G19" s="393"/>
      <c r="H19" s="393"/>
      <c r="I19" s="415"/>
      <c r="J19" s="717"/>
      <c r="K19" s="718"/>
      <c r="M19" s="712" t="s">
        <v>312</v>
      </c>
      <c r="N19" s="709"/>
      <c r="O19" s="709"/>
      <c r="P19" s="710"/>
      <c r="Q19" s="715">
        <v>10000</v>
      </c>
      <c r="R19" s="716" t="s">
        <v>313</v>
      </c>
      <c r="S19" s="714">
        <f t="shared" ref="S19:S31" si="0">Q19/2000</f>
        <v>5</v>
      </c>
    </row>
    <row r="20" spans="1:21" ht="14.45" customHeight="1" thickBot="1" x14ac:dyDescent="0.2">
      <c r="A20" s="435"/>
      <c r="B20" s="404"/>
      <c r="C20" s="436"/>
      <c r="D20" s="393"/>
      <c r="E20" s="393"/>
      <c r="F20" s="393"/>
      <c r="G20" s="393"/>
      <c r="H20" s="393"/>
      <c r="I20" s="415"/>
      <c r="J20" s="717"/>
      <c r="K20" s="718"/>
      <c r="M20" s="712" t="s">
        <v>314</v>
      </c>
      <c r="N20" s="709"/>
      <c r="O20" s="709"/>
      <c r="P20" s="710"/>
      <c r="Q20" s="715">
        <v>5000</v>
      </c>
      <c r="R20" s="716" t="s">
        <v>311</v>
      </c>
      <c r="S20" s="714">
        <f t="shared" si="0"/>
        <v>2.5</v>
      </c>
    </row>
    <row r="21" spans="1:21" ht="14.45" customHeight="1" thickBot="1" x14ac:dyDescent="0.2">
      <c r="A21" s="437" t="s">
        <v>355</v>
      </c>
      <c r="B21" s="438" t="s">
        <v>296</v>
      </c>
      <c r="C21" s="439" t="s">
        <v>297</v>
      </c>
      <c r="D21" s="393"/>
      <c r="E21" s="393"/>
      <c r="F21" s="393"/>
      <c r="G21" s="393"/>
      <c r="H21" s="393"/>
      <c r="I21" s="415"/>
      <c r="J21" s="717"/>
      <c r="K21" s="718"/>
      <c r="M21" s="712" t="s">
        <v>315</v>
      </c>
      <c r="N21" s="709"/>
      <c r="O21" s="709"/>
      <c r="P21" s="710"/>
      <c r="Q21" s="715">
        <v>5</v>
      </c>
      <c r="R21" s="716" t="s">
        <v>286</v>
      </c>
      <c r="S21" s="714">
        <f t="shared" si="0"/>
        <v>2.5000000000000001E-3</v>
      </c>
    </row>
    <row r="22" spans="1:21" ht="14.45" customHeight="1" thickBot="1" x14ac:dyDescent="0.2">
      <c r="A22" s="422" t="s">
        <v>302</v>
      </c>
      <c r="B22" s="423">
        <v>1</v>
      </c>
      <c r="C22" s="424">
        <v>5000</v>
      </c>
      <c r="D22" s="393"/>
      <c r="E22" s="393"/>
      <c r="F22" s="440" t="s">
        <v>90</v>
      </c>
      <c r="G22" s="441"/>
      <c r="H22" s="442" t="s">
        <v>407</v>
      </c>
      <c r="I22" s="415"/>
      <c r="J22" s="719"/>
      <c r="K22" s="718"/>
      <c r="M22" s="712" t="s">
        <v>316</v>
      </c>
      <c r="N22" s="709"/>
      <c r="O22" s="709"/>
      <c r="P22" s="710"/>
      <c r="Q22" s="715">
        <v>6</v>
      </c>
      <c r="R22" s="716" t="s">
        <v>286</v>
      </c>
      <c r="S22" s="714">
        <f t="shared" si="0"/>
        <v>3.0000000000000001E-3</v>
      </c>
    </row>
    <row r="23" spans="1:21" ht="14.45" customHeight="1" thickBot="1" x14ac:dyDescent="0.2">
      <c r="A23" s="425" t="s">
        <v>307</v>
      </c>
      <c r="B23" s="426">
        <v>1</v>
      </c>
      <c r="C23" s="428">
        <v>5000</v>
      </c>
      <c r="D23" s="393"/>
      <c r="E23" s="393"/>
      <c r="F23" s="443"/>
      <c r="G23" s="444" t="s">
        <v>372</v>
      </c>
      <c r="H23" s="445">
        <v>2000</v>
      </c>
      <c r="I23" s="415"/>
      <c r="J23" s="717"/>
      <c r="K23" s="718"/>
      <c r="M23" s="712" t="s">
        <v>317</v>
      </c>
      <c r="N23" s="709"/>
      <c r="O23" s="709"/>
      <c r="P23" s="710"/>
      <c r="Q23" s="715">
        <v>2000</v>
      </c>
      <c r="R23" s="716" t="s">
        <v>318</v>
      </c>
      <c r="S23" s="714">
        <f t="shared" si="0"/>
        <v>1</v>
      </c>
    </row>
    <row r="24" spans="1:21" ht="14.45" customHeight="1" thickBot="1" x14ac:dyDescent="0.2">
      <c r="A24" s="425" t="s">
        <v>354</v>
      </c>
      <c r="B24" s="426">
        <v>1</v>
      </c>
      <c r="C24" s="428">
        <v>2000</v>
      </c>
      <c r="D24" s="393"/>
      <c r="E24" s="393"/>
      <c r="F24" s="446"/>
      <c r="G24" s="447" t="s">
        <v>373</v>
      </c>
      <c r="H24" s="427">
        <v>2000</v>
      </c>
      <c r="I24" s="415"/>
      <c r="J24" s="719"/>
      <c r="K24" s="718"/>
      <c r="M24" s="712" t="s">
        <v>319</v>
      </c>
      <c r="N24" s="709"/>
      <c r="O24" s="709"/>
      <c r="P24" s="710"/>
      <c r="Q24" s="715">
        <v>2600</v>
      </c>
      <c r="R24" s="716" t="s">
        <v>318</v>
      </c>
      <c r="S24" s="714">
        <f t="shared" si="0"/>
        <v>1.3</v>
      </c>
    </row>
    <row r="25" spans="1:21" ht="14.45" customHeight="1" thickBot="1" x14ac:dyDescent="0.2">
      <c r="A25" s="429"/>
      <c r="B25" s="430"/>
      <c r="C25" s="434"/>
      <c r="D25" s="393"/>
      <c r="E25" s="393"/>
      <c r="F25" s="446"/>
      <c r="G25" s="447"/>
      <c r="H25" s="427"/>
      <c r="I25" s="415"/>
      <c r="J25" s="717"/>
      <c r="K25" s="718"/>
      <c r="M25" s="712" t="s">
        <v>320</v>
      </c>
      <c r="N25" s="709"/>
      <c r="O25" s="709"/>
      <c r="P25" s="710"/>
      <c r="Q25" s="715">
        <v>5000</v>
      </c>
      <c r="R25" s="716" t="s">
        <v>298</v>
      </c>
      <c r="S25" s="714">
        <f t="shared" si="0"/>
        <v>2.5</v>
      </c>
    </row>
    <row r="26" spans="1:21" ht="14.45" customHeight="1" thickBot="1" x14ac:dyDescent="0.2">
      <c r="A26" s="435"/>
      <c r="B26" s="404"/>
      <c r="C26" s="436"/>
      <c r="D26" s="393"/>
      <c r="E26" s="393"/>
      <c r="F26" s="446"/>
      <c r="G26" s="447" t="s">
        <v>400</v>
      </c>
      <c r="H26" s="427">
        <v>3000</v>
      </c>
      <c r="I26" s="415"/>
      <c r="J26" s="717"/>
      <c r="K26" s="718"/>
      <c r="M26" s="712" t="s">
        <v>321</v>
      </c>
      <c r="N26" s="709"/>
      <c r="O26" s="709"/>
      <c r="P26" s="710"/>
      <c r="Q26" s="715">
        <v>3000</v>
      </c>
      <c r="R26" s="716" t="s">
        <v>298</v>
      </c>
      <c r="S26" s="714">
        <f t="shared" si="0"/>
        <v>1.5</v>
      </c>
    </row>
    <row r="27" spans="1:21" ht="14.45" customHeight="1" thickBot="1" x14ac:dyDescent="0.2">
      <c r="A27" s="437" t="s">
        <v>502</v>
      </c>
      <c r="B27" s="438" t="s">
        <v>296</v>
      </c>
      <c r="C27" s="439" t="s">
        <v>297</v>
      </c>
      <c r="D27" s="393"/>
      <c r="E27" s="393"/>
      <c r="F27" s="446"/>
      <c r="G27" s="447"/>
      <c r="H27" s="427"/>
      <c r="I27" s="415"/>
      <c r="J27" s="719"/>
      <c r="K27" s="718"/>
      <c r="M27" s="712" t="s">
        <v>322</v>
      </c>
      <c r="N27" s="709"/>
      <c r="O27" s="709"/>
      <c r="P27" s="710"/>
      <c r="Q27" s="715">
        <v>1</v>
      </c>
      <c r="R27" s="716" t="s">
        <v>323</v>
      </c>
      <c r="S27" s="714">
        <f t="shared" si="0"/>
        <v>5.0000000000000001E-4</v>
      </c>
    </row>
    <row r="28" spans="1:21" ht="14.45" customHeight="1" thickBot="1" x14ac:dyDescent="0.2">
      <c r="A28" s="422" t="s">
        <v>483</v>
      </c>
      <c r="B28" s="423"/>
      <c r="C28" s="807">
        <v>10000</v>
      </c>
      <c r="D28" s="393"/>
      <c r="E28" s="393"/>
      <c r="F28" s="446"/>
      <c r="G28" s="447"/>
      <c r="H28" s="427"/>
      <c r="I28" s="415"/>
      <c r="J28" s="717"/>
      <c r="K28" s="718"/>
      <c r="M28" s="712" t="s">
        <v>324</v>
      </c>
      <c r="N28" s="709"/>
      <c r="O28" s="709"/>
      <c r="P28" s="709"/>
      <c r="Q28" s="715">
        <v>2000</v>
      </c>
      <c r="R28" s="716" t="s">
        <v>313</v>
      </c>
      <c r="S28" s="714">
        <f t="shared" si="0"/>
        <v>1</v>
      </c>
      <c r="U28" s="1" t="s">
        <v>487</v>
      </c>
    </row>
    <row r="29" spans="1:21" ht="14.45" customHeight="1" thickBot="1" x14ac:dyDescent="0.2">
      <c r="A29" s="815" t="s">
        <v>484</v>
      </c>
      <c r="B29" s="816"/>
      <c r="C29" s="817">
        <v>5000</v>
      </c>
      <c r="D29" s="393"/>
      <c r="E29" s="393"/>
      <c r="F29" s="446"/>
      <c r="G29" s="447"/>
      <c r="H29" s="427"/>
      <c r="I29" s="415"/>
      <c r="J29" s="717"/>
      <c r="K29" s="718"/>
      <c r="M29" s="712"/>
      <c r="N29" s="709"/>
      <c r="O29" s="709"/>
      <c r="P29" s="709"/>
      <c r="Q29" s="715"/>
      <c r="R29" s="716"/>
      <c r="S29" s="714"/>
      <c r="U29" s="1" t="s">
        <v>487</v>
      </c>
    </row>
    <row r="30" spans="1:21" ht="14.45" customHeight="1" thickBot="1" x14ac:dyDescent="0.2">
      <c r="A30" s="425" t="s">
        <v>364</v>
      </c>
      <c r="B30" s="426"/>
      <c r="C30" s="808">
        <v>5000</v>
      </c>
      <c r="D30" s="393"/>
      <c r="E30" s="393"/>
      <c r="F30" s="446"/>
      <c r="G30" s="447"/>
      <c r="H30" s="427"/>
      <c r="I30" s="415"/>
      <c r="J30" s="717"/>
      <c r="K30" s="718"/>
      <c r="M30" s="712" t="s">
        <v>325</v>
      </c>
      <c r="N30" s="709"/>
      <c r="O30" s="709"/>
      <c r="P30" s="709"/>
      <c r="Q30" s="715">
        <v>10000</v>
      </c>
      <c r="R30" s="716" t="s">
        <v>313</v>
      </c>
      <c r="S30" s="714">
        <f t="shared" si="0"/>
        <v>5</v>
      </c>
      <c r="U30" s="1" t="s">
        <v>487</v>
      </c>
    </row>
    <row r="31" spans="1:21" ht="14.45" customHeight="1" thickBot="1" x14ac:dyDescent="0.2">
      <c r="A31" s="425" t="s">
        <v>365</v>
      </c>
      <c r="B31" s="426">
        <v>4</v>
      </c>
      <c r="C31" s="808">
        <v>3000</v>
      </c>
      <c r="D31" s="393"/>
      <c r="E31" s="393"/>
      <c r="F31" s="446"/>
      <c r="G31" s="447"/>
      <c r="H31" s="427"/>
      <c r="I31" s="415"/>
      <c r="J31" s="720"/>
      <c r="K31" s="718"/>
      <c r="M31" s="712" t="s">
        <v>91</v>
      </c>
      <c r="N31" s="709"/>
      <c r="O31" s="709"/>
      <c r="P31" s="710"/>
      <c r="Q31" s="715">
        <v>200000</v>
      </c>
      <c r="R31" s="716" t="s">
        <v>313</v>
      </c>
      <c r="S31" s="714">
        <f t="shared" si="0"/>
        <v>100</v>
      </c>
      <c r="U31" s="1" t="s">
        <v>487</v>
      </c>
    </row>
    <row r="32" spans="1:21" ht="14.45" customHeight="1" thickBot="1" x14ac:dyDescent="0.2">
      <c r="A32" s="425" t="s">
        <v>485</v>
      </c>
      <c r="B32" s="426"/>
      <c r="C32" s="808">
        <v>10000</v>
      </c>
      <c r="D32" s="393"/>
      <c r="E32" s="393"/>
      <c r="F32" s="448"/>
      <c r="G32" s="449"/>
      <c r="H32" s="450"/>
      <c r="I32" s="415"/>
      <c r="J32" s="721"/>
      <c r="K32" s="718"/>
    </row>
    <row r="33" spans="1:21" ht="14.45" customHeight="1" x14ac:dyDescent="0.15">
      <c r="A33" s="425"/>
      <c r="B33" s="426"/>
      <c r="C33" s="428"/>
      <c r="D33" s="393"/>
      <c r="E33" s="393"/>
      <c r="F33" s="393"/>
      <c r="G33" s="393"/>
      <c r="H33" s="393"/>
      <c r="I33" s="415"/>
      <c r="J33" s="720"/>
      <c r="K33" s="718"/>
    </row>
    <row r="34" spans="1:21" ht="14.45" customHeight="1" thickBot="1" x14ac:dyDescent="0.2">
      <c r="A34" s="435"/>
      <c r="B34" s="404"/>
      <c r="C34" s="436"/>
      <c r="D34" s="393"/>
      <c r="E34" s="393"/>
      <c r="F34" s="393"/>
      <c r="G34" s="393"/>
      <c r="H34" s="393"/>
      <c r="I34" s="415"/>
      <c r="J34" s="720"/>
      <c r="K34" s="718"/>
    </row>
    <row r="35" spans="1:21" ht="14.45" customHeight="1" thickBot="1" x14ac:dyDescent="0.2">
      <c r="A35" s="451" t="s">
        <v>326</v>
      </c>
      <c r="B35" s="452" t="s">
        <v>327</v>
      </c>
      <c r="C35" s="453"/>
      <c r="D35" s="393"/>
      <c r="E35" s="393"/>
      <c r="F35" s="454" t="s">
        <v>406</v>
      </c>
      <c r="G35" s="455"/>
      <c r="H35" s="442" t="s">
        <v>407</v>
      </c>
      <c r="I35" s="415"/>
      <c r="J35" s="720"/>
      <c r="K35" s="718"/>
    </row>
    <row r="36" spans="1:21" ht="14.45" customHeight="1" x14ac:dyDescent="0.15">
      <c r="A36" s="422" t="s">
        <v>328</v>
      </c>
      <c r="B36" s="456">
        <v>0.35</v>
      </c>
      <c r="C36" s="436"/>
      <c r="D36" s="393"/>
      <c r="E36" s="393"/>
      <c r="F36" s="899" t="s">
        <v>408</v>
      </c>
      <c r="G36" s="892"/>
      <c r="H36" s="457">
        <v>7000</v>
      </c>
      <c r="I36" s="415"/>
      <c r="J36" s="717"/>
      <c r="K36" s="718"/>
    </row>
    <row r="37" spans="1:21" ht="14.45" customHeight="1" x14ac:dyDescent="0.15">
      <c r="A37" s="425" t="s">
        <v>329</v>
      </c>
      <c r="B37" s="458">
        <v>0.15</v>
      </c>
      <c r="C37" s="436"/>
      <c r="D37" s="393"/>
      <c r="E37" s="393"/>
      <c r="F37" s="900"/>
      <c r="G37" s="892"/>
      <c r="H37" s="457"/>
      <c r="I37" s="415"/>
      <c r="J37" s="720"/>
      <c r="K37" s="718"/>
    </row>
    <row r="38" spans="1:21" ht="14.45" customHeight="1" x14ac:dyDescent="0.15">
      <c r="A38" s="425" t="s">
        <v>330</v>
      </c>
      <c r="B38" s="459">
        <v>0.1</v>
      </c>
      <c r="C38" s="436"/>
      <c r="D38" s="393"/>
      <c r="E38" s="393"/>
      <c r="F38" s="891"/>
      <c r="G38" s="892"/>
      <c r="H38" s="457"/>
      <c r="I38" s="415"/>
      <c r="J38" s="720"/>
      <c r="K38" s="718"/>
    </row>
    <row r="39" spans="1:21" ht="14.45" customHeight="1" x14ac:dyDescent="0.15">
      <c r="A39" s="425" t="s">
        <v>272</v>
      </c>
      <c r="B39" s="460">
        <v>0.06</v>
      </c>
      <c r="C39" s="436"/>
      <c r="D39" s="393"/>
      <c r="E39" s="393"/>
      <c r="F39" s="891"/>
      <c r="G39" s="892"/>
      <c r="H39" s="457"/>
      <c r="I39" s="415"/>
      <c r="J39" s="720"/>
      <c r="K39" s="718"/>
    </row>
    <row r="40" spans="1:21" ht="14.45" customHeight="1" x14ac:dyDescent="0.15">
      <c r="A40" s="461" t="s">
        <v>331</v>
      </c>
      <c r="B40" s="428"/>
      <c r="C40" s="462"/>
      <c r="D40" s="393"/>
      <c r="E40" s="393"/>
      <c r="F40" s="891"/>
      <c r="G40" s="892"/>
      <c r="H40" s="457"/>
      <c r="I40" s="415"/>
      <c r="J40" s="720"/>
      <c r="K40" s="718"/>
    </row>
    <row r="41" spans="1:21" ht="14.45" customHeight="1" x14ac:dyDescent="0.15">
      <c r="A41" s="461" t="s">
        <v>332</v>
      </c>
      <c r="B41" s="428"/>
      <c r="C41" s="436"/>
      <c r="D41" s="393"/>
      <c r="E41" s="393"/>
      <c r="F41" s="891"/>
      <c r="G41" s="892"/>
      <c r="H41" s="457"/>
      <c r="I41" s="415"/>
      <c r="J41" s="720"/>
      <c r="K41" s="718"/>
    </row>
    <row r="42" spans="1:21" ht="14.45" customHeight="1" x14ac:dyDescent="0.15">
      <c r="A42" s="461" t="s">
        <v>480</v>
      </c>
      <c r="B42" s="428"/>
      <c r="C42" s="436"/>
      <c r="D42" s="393"/>
      <c r="E42" s="393"/>
      <c r="F42" s="695"/>
      <c r="G42" s="696"/>
      <c r="H42" s="457"/>
      <c r="I42" s="415"/>
      <c r="J42" s="720"/>
      <c r="K42" s="718"/>
    </row>
    <row r="43" spans="1:21" ht="14.45" customHeight="1" x14ac:dyDescent="0.15">
      <c r="A43" s="463" t="s">
        <v>333</v>
      </c>
      <c r="B43" s="428"/>
      <c r="C43" s="436"/>
      <c r="D43" s="393"/>
      <c r="E43" s="393"/>
      <c r="F43" s="695"/>
      <c r="G43" s="696"/>
      <c r="H43" s="457"/>
      <c r="I43" s="415"/>
      <c r="J43" s="720"/>
      <c r="K43" s="718"/>
    </row>
    <row r="44" spans="1:21" ht="14.45" customHeight="1" x14ac:dyDescent="0.15">
      <c r="A44" s="461"/>
      <c r="B44" s="428"/>
      <c r="C44" s="436"/>
      <c r="D44" s="393"/>
      <c r="E44" s="393"/>
      <c r="F44" s="891"/>
      <c r="G44" s="892"/>
      <c r="H44" s="457"/>
      <c r="I44" s="415"/>
      <c r="J44" s="720"/>
      <c r="K44" s="718"/>
    </row>
    <row r="45" spans="1:21" ht="14.45" customHeight="1" thickBot="1" x14ac:dyDescent="0.2">
      <c r="A45" s="464" t="s">
        <v>367</v>
      </c>
      <c r="B45" s="434">
        <v>750</v>
      </c>
      <c r="C45" s="436"/>
      <c r="D45" s="393"/>
      <c r="E45" s="393"/>
      <c r="F45" s="891"/>
      <c r="G45" s="892"/>
      <c r="H45" s="457"/>
      <c r="I45" s="415"/>
      <c r="J45" s="720"/>
      <c r="K45" s="718"/>
    </row>
    <row r="46" spans="1:21" ht="14.45" customHeight="1" thickBot="1" x14ac:dyDescent="0.2">
      <c r="A46" s="465"/>
      <c r="B46" s="466"/>
      <c r="C46" s="453"/>
      <c r="D46" s="393"/>
      <c r="E46" s="393"/>
      <c r="F46" s="891"/>
      <c r="G46" s="892"/>
      <c r="H46" s="457"/>
      <c r="I46" s="415"/>
      <c r="J46" s="720"/>
      <c r="K46" s="718"/>
    </row>
    <row r="47" spans="1:21" ht="14.45" customHeight="1" x14ac:dyDescent="0.15">
      <c r="A47" s="467" t="s">
        <v>380</v>
      </c>
      <c r="B47" s="468" t="s">
        <v>296</v>
      </c>
      <c r="C47" s="469" t="s">
        <v>381</v>
      </c>
      <c r="D47" s="393"/>
      <c r="E47" s="393"/>
      <c r="F47" s="891"/>
      <c r="G47" s="892"/>
      <c r="H47" s="457"/>
      <c r="I47" s="415"/>
      <c r="J47" s="720"/>
      <c r="K47" s="718"/>
    </row>
    <row r="48" spans="1:21" ht="14.45" customHeight="1" x14ac:dyDescent="0.15">
      <c r="A48" s="425" t="s">
        <v>288</v>
      </c>
      <c r="B48" s="470">
        <v>1</v>
      </c>
      <c r="C48" s="808">
        <v>500</v>
      </c>
      <c r="D48" s="393"/>
      <c r="E48" s="393"/>
      <c r="F48" s="891"/>
      <c r="G48" s="892"/>
      <c r="H48" s="457"/>
      <c r="I48" s="415"/>
      <c r="J48" s="717"/>
      <c r="K48" s="718"/>
      <c r="U48" s="49" t="s">
        <v>487</v>
      </c>
    </row>
    <row r="49" spans="1:21" ht="14.45" customHeight="1" x14ac:dyDescent="0.15">
      <c r="A49" s="431" t="s">
        <v>246</v>
      </c>
      <c r="B49" s="470">
        <v>1</v>
      </c>
      <c r="C49" s="811">
        <v>1000</v>
      </c>
      <c r="D49" s="393"/>
      <c r="E49" s="393"/>
      <c r="F49" s="695"/>
      <c r="G49" s="696"/>
      <c r="H49" s="457"/>
      <c r="I49" s="415"/>
      <c r="J49" s="717"/>
      <c r="K49" s="718"/>
      <c r="U49" s="49" t="s">
        <v>487</v>
      </c>
    </row>
    <row r="50" spans="1:21" ht="14.45" customHeight="1" thickBot="1" x14ac:dyDescent="0.2">
      <c r="A50" s="431" t="s">
        <v>379</v>
      </c>
      <c r="B50" s="470"/>
      <c r="C50" s="433">
        <v>2000</v>
      </c>
      <c r="D50" s="393"/>
      <c r="E50" s="393"/>
      <c r="F50" s="695"/>
      <c r="G50" s="696"/>
      <c r="H50" s="457"/>
      <c r="I50" s="415"/>
      <c r="J50" s="717"/>
      <c r="K50" s="718"/>
    </row>
    <row r="51" spans="1:21" ht="14.45" customHeight="1" thickBot="1" x14ac:dyDescent="0.2">
      <c r="A51" s="431" t="s">
        <v>384</v>
      </c>
      <c r="B51" s="470"/>
      <c r="C51" s="433">
        <v>3000</v>
      </c>
      <c r="D51" s="393"/>
      <c r="E51" s="393"/>
      <c r="F51" s="412" t="s">
        <v>492</v>
      </c>
      <c r="G51" s="413"/>
      <c r="H51" s="414"/>
      <c r="I51" s="415"/>
      <c r="J51" s="717"/>
      <c r="K51" s="718"/>
    </row>
    <row r="52" spans="1:21" ht="27" customHeight="1" thickBot="1" x14ac:dyDescent="0.2">
      <c r="A52" s="429"/>
      <c r="B52" s="434"/>
      <c r="C52" s="434"/>
      <c r="D52" s="393"/>
      <c r="E52" s="393"/>
      <c r="F52" s="893" t="s">
        <v>493</v>
      </c>
      <c r="G52" s="894"/>
      <c r="H52" s="809">
        <v>2</v>
      </c>
      <c r="I52" s="471"/>
      <c r="J52" s="722"/>
      <c r="K52" s="723"/>
    </row>
    <row r="53" spans="1:21" ht="27" customHeight="1" thickBot="1" x14ac:dyDescent="0.2">
      <c r="A53" s="435"/>
      <c r="B53" s="466"/>
      <c r="C53" s="453"/>
      <c r="D53" s="393"/>
      <c r="E53" s="393"/>
      <c r="F53" s="893" t="s">
        <v>494</v>
      </c>
      <c r="G53" s="894"/>
      <c r="H53" s="810">
        <v>3</v>
      </c>
      <c r="I53" s="471"/>
      <c r="J53" s="724"/>
      <c r="K53" s="725"/>
    </row>
    <row r="54" spans="1:21" ht="26.25" customHeight="1" thickBot="1" x14ac:dyDescent="0.2">
      <c r="A54" s="472" t="s">
        <v>90</v>
      </c>
      <c r="B54" s="441" t="s">
        <v>309</v>
      </c>
      <c r="C54" s="439" t="s">
        <v>297</v>
      </c>
      <c r="D54" s="393"/>
      <c r="E54" s="393"/>
      <c r="F54" s="893" t="s">
        <v>495</v>
      </c>
      <c r="G54" s="894"/>
      <c r="H54" s="427">
        <v>1</v>
      </c>
      <c r="I54" s="471"/>
      <c r="J54" s="725"/>
      <c r="K54" s="724"/>
    </row>
    <row r="55" spans="1:21" ht="13.5" x14ac:dyDescent="0.15">
      <c r="A55" s="422" t="s">
        <v>334</v>
      </c>
      <c r="B55" s="423">
        <v>1</v>
      </c>
      <c r="C55" s="424"/>
      <c r="D55" s="393"/>
      <c r="E55" s="393"/>
      <c r="F55" s="896"/>
      <c r="G55" s="894"/>
      <c r="H55" s="427"/>
      <c r="I55" s="471"/>
      <c r="J55" s="725"/>
      <c r="K55" s="724"/>
    </row>
    <row r="56" spans="1:21" ht="14.45" customHeight="1" thickBot="1" x14ac:dyDescent="0.2">
      <c r="A56" s="425" t="s">
        <v>335</v>
      </c>
      <c r="B56" s="426">
        <v>1</v>
      </c>
      <c r="C56" s="428"/>
      <c r="D56" s="393"/>
      <c r="E56" s="393"/>
      <c r="F56" s="891"/>
      <c r="G56" s="892"/>
      <c r="H56" s="450"/>
      <c r="I56" s="471"/>
      <c r="J56" s="724"/>
      <c r="K56" s="724"/>
    </row>
    <row r="57" spans="1:21" ht="14.45" customHeight="1" x14ac:dyDescent="0.15">
      <c r="A57" s="425" t="s">
        <v>336</v>
      </c>
      <c r="B57" s="426">
        <v>1</v>
      </c>
      <c r="C57" s="428"/>
      <c r="D57" s="393"/>
      <c r="E57" s="393"/>
      <c r="F57" s="473"/>
      <c r="G57" s="474"/>
      <c r="H57" s="457"/>
      <c r="I57" s="471"/>
      <c r="J57" s="49"/>
      <c r="K57" s="49"/>
    </row>
    <row r="58" spans="1:21" ht="14.45" customHeight="1" thickBot="1" x14ac:dyDescent="0.2">
      <c r="A58" s="429" t="s">
        <v>87</v>
      </c>
      <c r="B58" s="430">
        <v>1</v>
      </c>
      <c r="C58" s="434"/>
      <c r="D58" s="393"/>
      <c r="E58" s="393"/>
      <c r="F58" s="891"/>
      <c r="G58" s="892"/>
      <c r="H58" s="457"/>
      <c r="I58" s="475"/>
      <c r="J58" s="726"/>
      <c r="K58" s="726"/>
    </row>
    <row r="59" spans="1:21" ht="14.45" customHeight="1" thickBot="1" x14ac:dyDescent="0.2">
      <c r="A59" s="435"/>
      <c r="B59" s="404"/>
      <c r="C59" s="436"/>
      <c r="D59" s="393"/>
      <c r="E59" s="393"/>
      <c r="F59" s="897"/>
      <c r="G59" s="898"/>
      <c r="H59" s="476"/>
      <c r="I59" s="471"/>
      <c r="J59" s="727"/>
      <c r="K59" s="723"/>
    </row>
    <row r="60" spans="1:21" ht="14.45" customHeight="1" x14ac:dyDescent="0.15">
      <c r="A60" s="435"/>
      <c r="B60" s="404"/>
      <c r="C60" s="436"/>
      <c r="D60" s="393"/>
      <c r="E60" s="393"/>
      <c r="F60" s="895"/>
      <c r="G60" s="895"/>
      <c r="H60" s="477"/>
      <c r="I60" s="471"/>
      <c r="J60" s="727"/>
      <c r="K60" s="723"/>
    </row>
    <row r="61" spans="1:21" ht="14.45" hidden="1" customHeight="1" x14ac:dyDescent="0.15">
      <c r="A61" s="435"/>
      <c r="B61" s="393"/>
      <c r="C61" s="436"/>
      <c r="D61" s="393"/>
      <c r="E61" s="393"/>
      <c r="F61" s="895"/>
      <c r="G61" s="895"/>
      <c r="H61" s="477"/>
      <c r="I61" s="415"/>
    </row>
    <row r="62" spans="1:21" ht="14.45" hidden="1" customHeight="1" x14ac:dyDescent="0.15">
      <c r="A62" s="435"/>
      <c r="B62" s="393"/>
      <c r="C62" s="436"/>
      <c r="D62" s="393"/>
      <c r="E62" s="393"/>
      <c r="F62" s="895"/>
      <c r="G62" s="895"/>
      <c r="H62" s="477"/>
      <c r="I62" s="415"/>
    </row>
    <row r="63" spans="1:21" ht="14.45" hidden="1" customHeight="1" x14ac:dyDescent="0.15">
      <c r="A63" s="435"/>
      <c r="B63" s="393"/>
      <c r="C63" s="436"/>
      <c r="D63" s="393"/>
      <c r="E63" s="393"/>
      <c r="F63" s="895"/>
      <c r="G63" s="895"/>
      <c r="H63" s="477"/>
      <c r="I63" s="415"/>
    </row>
    <row r="64" spans="1:21" ht="14.45" hidden="1" customHeight="1" x14ac:dyDescent="0.15">
      <c r="A64" s="478" t="s">
        <v>326</v>
      </c>
      <c r="B64" s="479" t="s">
        <v>337</v>
      </c>
      <c r="C64" s="436"/>
      <c r="D64" s="393"/>
      <c r="E64" s="393"/>
      <c r="F64" s="393"/>
      <c r="G64" s="393"/>
      <c r="H64" s="393"/>
      <c r="I64" s="415"/>
    </row>
    <row r="65" spans="1:9" ht="14.45" hidden="1" customHeight="1" x14ac:dyDescent="0.15">
      <c r="A65" s="425" t="s">
        <v>328</v>
      </c>
      <c r="B65" s="480">
        <v>100</v>
      </c>
      <c r="C65" s="436"/>
      <c r="D65" s="393"/>
      <c r="E65" s="393"/>
      <c r="F65" s="393"/>
      <c r="G65" s="393"/>
      <c r="H65" s="393"/>
      <c r="I65" s="415"/>
    </row>
    <row r="66" spans="1:9" ht="14.45" hidden="1" customHeight="1" x14ac:dyDescent="0.15">
      <c r="A66" s="425" t="s">
        <v>338</v>
      </c>
      <c r="B66" s="480">
        <v>75</v>
      </c>
      <c r="C66" s="436"/>
      <c r="D66" s="393"/>
      <c r="E66" s="393"/>
      <c r="F66" s="393"/>
      <c r="G66" s="393"/>
      <c r="H66" s="393"/>
      <c r="I66" s="415"/>
    </row>
    <row r="67" spans="1:9" ht="14.45" hidden="1" customHeight="1" x14ac:dyDescent="0.15">
      <c r="A67" s="425" t="s">
        <v>339</v>
      </c>
      <c r="B67" s="480"/>
      <c r="C67" s="436"/>
      <c r="D67" s="393"/>
      <c r="E67" s="393"/>
      <c r="F67" s="393"/>
      <c r="G67" s="393"/>
      <c r="H67" s="393"/>
      <c r="I67" s="415"/>
    </row>
    <row r="68" spans="1:9" ht="14.45" hidden="1" customHeight="1" x14ac:dyDescent="0.15">
      <c r="A68" s="425" t="s">
        <v>272</v>
      </c>
      <c r="B68" s="480"/>
      <c r="C68" s="436"/>
      <c r="D68" s="393"/>
      <c r="E68" s="393"/>
      <c r="F68" s="393"/>
      <c r="G68" s="393"/>
      <c r="H68" s="393"/>
      <c r="I68" s="415"/>
    </row>
    <row r="69" spans="1:9" ht="14.45" hidden="1" customHeight="1" x14ac:dyDescent="0.15">
      <c r="A69" s="481"/>
      <c r="B69" s="393"/>
      <c r="C69" s="436"/>
      <c r="D69" s="393"/>
      <c r="E69" s="393"/>
      <c r="F69" s="393"/>
      <c r="G69" s="393"/>
      <c r="H69" s="393"/>
      <c r="I69" s="415"/>
    </row>
    <row r="70" spans="1:9" ht="14.45" hidden="1" customHeight="1" x14ac:dyDescent="0.15">
      <c r="A70" s="435"/>
      <c r="B70"/>
      <c r="C70" s="482"/>
      <c r="D70"/>
      <c r="E70"/>
      <c r="F70"/>
      <c r="G70"/>
      <c r="H70"/>
      <c r="I70" s="483"/>
    </row>
    <row r="71" spans="1:9" hidden="1" x14ac:dyDescent="0.15">
      <c r="A71" s="484" t="s">
        <v>340</v>
      </c>
      <c r="B71"/>
      <c r="C71" s="482"/>
      <c r="D71"/>
      <c r="E71"/>
      <c r="F71"/>
      <c r="G71"/>
      <c r="H71"/>
      <c r="I71" s="483"/>
    </row>
    <row r="72" spans="1:9" hidden="1" x14ac:dyDescent="0.15">
      <c r="A72" s="485" t="s">
        <v>341</v>
      </c>
      <c r="B72"/>
      <c r="C72" s="482"/>
      <c r="D72"/>
      <c r="E72"/>
      <c r="F72"/>
      <c r="G72"/>
      <c r="H72"/>
      <c r="I72" s="483"/>
    </row>
    <row r="73" spans="1:9" hidden="1" x14ac:dyDescent="0.15">
      <c r="A73" s="485" t="s">
        <v>342</v>
      </c>
      <c r="B73"/>
      <c r="C73" s="482"/>
      <c r="D73"/>
      <c r="E73"/>
      <c r="F73"/>
      <c r="G73"/>
      <c r="H73"/>
      <c r="I73" s="483"/>
    </row>
    <row r="74" spans="1:9" hidden="1" x14ac:dyDescent="0.15">
      <c r="A74" s="485" t="s">
        <v>343</v>
      </c>
      <c r="B74"/>
      <c r="C74" s="482"/>
      <c r="D74"/>
      <c r="E74"/>
      <c r="F74"/>
      <c r="G74"/>
      <c r="H74"/>
      <c r="I74" s="483"/>
    </row>
    <row r="75" spans="1:9" hidden="1" x14ac:dyDescent="0.15">
      <c r="A75" s="485" t="s">
        <v>344</v>
      </c>
      <c r="B75"/>
      <c r="C75" s="482"/>
      <c r="D75"/>
      <c r="E75"/>
      <c r="F75"/>
      <c r="G75"/>
      <c r="H75"/>
      <c r="I75" s="483"/>
    </row>
    <row r="76" spans="1:9" hidden="1" x14ac:dyDescent="0.15">
      <c r="A76" s="485" t="s">
        <v>345</v>
      </c>
      <c r="B76"/>
      <c r="C76" s="482"/>
      <c r="D76"/>
      <c r="E76"/>
      <c r="F76"/>
      <c r="G76"/>
      <c r="H76"/>
      <c r="I76" s="483"/>
    </row>
    <row r="77" spans="1:9" hidden="1" x14ac:dyDescent="0.15">
      <c r="A77" s="485" t="s">
        <v>346</v>
      </c>
      <c r="B77"/>
      <c r="C77" s="482"/>
      <c r="D77"/>
      <c r="E77"/>
      <c r="F77"/>
      <c r="G77"/>
      <c r="H77"/>
      <c r="I77" s="483"/>
    </row>
    <row r="78" spans="1:9" hidden="1" x14ac:dyDescent="0.15">
      <c r="A78" s="485" t="s">
        <v>347</v>
      </c>
      <c r="B78"/>
      <c r="C78" s="482"/>
      <c r="D78"/>
      <c r="E78"/>
      <c r="F78"/>
      <c r="G78"/>
      <c r="H78"/>
      <c r="I78" s="483"/>
    </row>
    <row r="79" spans="1:9" hidden="1" x14ac:dyDescent="0.15">
      <c r="A79" s="481"/>
      <c r="B79"/>
      <c r="C79" s="482"/>
      <c r="D79"/>
      <c r="E79"/>
      <c r="F79"/>
      <c r="G79"/>
      <c r="H79"/>
      <c r="I79" s="483"/>
    </row>
    <row r="80" spans="1:9" ht="13.5" thickBot="1" x14ac:dyDescent="0.2">
      <c r="A80" s="486"/>
      <c r="B80" s="487"/>
      <c r="C80" s="488"/>
      <c r="D80" s="487"/>
      <c r="E80" s="487"/>
      <c r="F80" s="487"/>
      <c r="G80" s="487"/>
      <c r="H80" s="487"/>
      <c r="I80" s="489"/>
    </row>
    <row r="81" spans="1:21" ht="13.5" thickBot="1" x14ac:dyDescent="0.2">
      <c r="A81" s="490"/>
      <c r="B81" s="491"/>
      <c r="C81" s="492"/>
      <c r="D81" s="491"/>
      <c r="E81"/>
      <c r="F81" s="491"/>
      <c r="G81" s="491"/>
      <c r="H81" s="491"/>
      <c r="I81" s="493"/>
      <c r="U81" s="2"/>
    </row>
    <row r="82" spans="1:21" s="2" customFormat="1" x14ac:dyDescent="0.15">
      <c r="A82" s="494" t="s">
        <v>326</v>
      </c>
      <c r="B82" s="495"/>
      <c r="C82" s="492"/>
      <c r="D82" s="491"/>
      <c r="E82" s="491"/>
      <c r="F82" s="886" t="s">
        <v>411</v>
      </c>
      <c r="G82" s="887"/>
      <c r="H82" s="496"/>
      <c r="I82" s="497"/>
      <c r="U82" s="1"/>
    </row>
    <row r="83" spans="1:21" x14ac:dyDescent="0.15">
      <c r="A83" s="498" t="s">
        <v>102</v>
      </c>
      <c r="B83" s="499" t="s">
        <v>348</v>
      </c>
      <c r="C83" s="492"/>
      <c r="D83" s="491"/>
      <c r="E83" s="491"/>
      <c r="F83" s="888" t="s">
        <v>412</v>
      </c>
      <c r="G83" s="889"/>
      <c r="H83" s="500">
        <v>20000</v>
      </c>
      <c r="I83" s="493"/>
    </row>
    <row r="84" spans="1:21" x14ac:dyDescent="0.15">
      <c r="A84" s="501" t="s">
        <v>328</v>
      </c>
      <c r="B84" s="470">
        <v>200000</v>
      </c>
      <c r="C84" s="492"/>
      <c r="D84" s="491"/>
      <c r="E84" s="491"/>
      <c r="F84" s="888" t="s">
        <v>413</v>
      </c>
      <c r="G84" s="889"/>
      <c r="H84" s="500">
        <v>25</v>
      </c>
      <c r="I84" s="493"/>
    </row>
    <row r="85" spans="1:21" x14ac:dyDescent="0.15">
      <c r="A85" s="501" t="s">
        <v>330</v>
      </c>
      <c r="B85" s="470">
        <v>50000</v>
      </c>
      <c r="C85" s="492"/>
      <c r="D85" s="491"/>
      <c r="E85" s="491"/>
      <c r="F85" s="890"/>
      <c r="G85" s="889"/>
      <c r="H85" s="500"/>
      <c r="I85" s="493"/>
    </row>
    <row r="86" spans="1:21" x14ac:dyDescent="0.15">
      <c r="A86" s="501" t="s">
        <v>272</v>
      </c>
      <c r="B86" s="470">
        <v>10000</v>
      </c>
      <c r="C86" s="492"/>
      <c r="D86" s="491"/>
      <c r="E86" s="491"/>
      <c r="F86" s="890"/>
      <c r="G86" s="889"/>
      <c r="H86" s="500"/>
      <c r="I86" s="493"/>
    </row>
    <row r="87" spans="1:21" ht="13.5" thickBot="1" x14ac:dyDescent="0.2">
      <c r="A87" s="501" t="s">
        <v>371</v>
      </c>
      <c r="B87" s="470">
        <v>80000</v>
      </c>
      <c r="C87" s="492"/>
      <c r="D87" s="491"/>
      <c r="E87" s="491"/>
      <c r="F87" s="884"/>
      <c r="G87" s="885"/>
      <c r="H87" s="502"/>
      <c r="I87" s="493"/>
    </row>
    <row r="88" spans="1:21" x14ac:dyDescent="0.15">
      <c r="A88" s="503" t="s">
        <v>349</v>
      </c>
      <c r="B88" s="504" t="s">
        <v>350</v>
      </c>
      <c r="C88" s="492"/>
      <c r="D88" s="491"/>
      <c r="E88"/>
      <c r="F88" s="491"/>
      <c r="G88" s="491"/>
      <c r="H88" s="491"/>
      <c r="I88" s="493"/>
    </row>
    <row r="89" spans="1:21" x14ac:dyDescent="0.15">
      <c r="A89" s="501" t="s">
        <v>332</v>
      </c>
      <c r="B89" s="426">
        <v>200</v>
      </c>
      <c r="C89" s="492"/>
      <c r="D89" s="491"/>
      <c r="E89"/>
      <c r="F89" s="491"/>
      <c r="G89" s="491"/>
      <c r="H89" s="491"/>
      <c r="I89" s="493"/>
    </row>
    <row r="90" spans="1:21" x14ac:dyDescent="0.15">
      <c r="A90" s="501" t="s">
        <v>480</v>
      </c>
      <c r="B90" s="426">
        <v>200</v>
      </c>
      <c r="C90" s="492"/>
      <c r="D90" s="491"/>
      <c r="E90"/>
      <c r="F90" s="491"/>
      <c r="G90" s="491"/>
      <c r="H90" s="491"/>
      <c r="I90" s="493"/>
    </row>
    <row r="91" spans="1:21" x14ac:dyDescent="0.15">
      <c r="A91" s="501" t="s">
        <v>328</v>
      </c>
      <c r="B91" s="426">
        <v>150</v>
      </c>
      <c r="C91" s="492"/>
      <c r="D91" s="491"/>
      <c r="E91"/>
      <c r="F91" s="491"/>
      <c r="G91" s="491"/>
      <c r="H91" s="491"/>
      <c r="I91" s="493"/>
    </row>
    <row r="92" spans="1:21" ht="13.5" thickBot="1" x14ac:dyDescent="0.2">
      <c r="A92" s="486"/>
      <c r="B92" s="487"/>
      <c r="C92" s="488"/>
      <c r="D92" s="487"/>
      <c r="E92" s="505"/>
      <c r="F92" s="487"/>
      <c r="G92" s="487"/>
      <c r="H92" s="487"/>
      <c r="I92" s="489"/>
    </row>
  </sheetData>
  <sheetProtection algorithmName="SHA-512" hashValue="9VBMivoP6eqpLVNF0ePSbTlZqVyDJXXI6IJI3KPfPaj0npVcAVXHUILZfKqY58uQvlRlkAlGWjAxM+JunL7GcA==" saltValue="nnrX0EFjMNwrU10I9IP8+A==" spinCount="100000" sheet="1" objects="1" scenarios="1" selectLockedCells="1"/>
  <mergeCells count="28">
    <mergeCell ref="F36:G36"/>
    <mergeCell ref="F37:G37"/>
    <mergeCell ref="F45:G45"/>
    <mergeCell ref="F47:G47"/>
    <mergeCell ref="F46:G46"/>
    <mergeCell ref="F38:G38"/>
    <mergeCell ref="F39:G39"/>
    <mergeCell ref="F44:G44"/>
    <mergeCell ref="F40:G40"/>
    <mergeCell ref="F41:G41"/>
    <mergeCell ref="F63:G63"/>
    <mergeCell ref="F58:G58"/>
    <mergeCell ref="F59:G59"/>
    <mergeCell ref="F60:G60"/>
    <mergeCell ref="F61:G61"/>
    <mergeCell ref="F48:G48"/>
    <mergeCell ref="F52:G52"/>
    <mergeCell ref="F54:G54"/>
    <mergeCell ref="F53:G53"/>
    <mergeCell ref="F62:G62"/>
    <mergeCell ref="F55:G55"/>
    <mergeCell ref="F56:G56"/>
    <mergeCell ref="F87:G87"/>
    <mergeCell ref="F82:G82"/>
    <mergeCell ref="F83:G83"/>
    <mergeCell ref="F84:G84"/>
    <mergeCell ref="F85:G85"/>
    <mergeCell ref="F86:G86"/>
  </mergeCells>
  <phoneticPr fontId="0" type="noConversion"/>
  <dataValidations count="1">
    <dataValidation type="list" allowBlank="1" showInputMessage="1" showErrorMessage="1" sqref="B9:B10" xr:uid="{00000000-0002-0000-0200-000000000000}">
      <formula1>$J$5:$J$11</formula1>
    </dataValidation>
  </dataValidations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48"/>
  <sheetViews>
    <sheetView showGridLines="0" zoomScaleSheetLayoutView="75" workbookViewId="0">
      <pane xSplit="3" ySplit="7" topLeftCell="D8" activePane="bottomRight" state="frozen"/>
      <selection activeCell="H14" sqref="H14"/>
      <selection pane="bottomLeft" activeCell="H14" sqref="H14"/>
      <selection pane="topRight" activeCell="H14" sqref="H14"/>
      <selection pane="bottomRight" activeCell="E8" sqref="E8"/>
    </sheetView>
  </sheetViews>
  <sheetFormatPr defaultColWidth="11.4609375" defaultRowHeight="12.75" x14ac:dyDescent="0.15"/>
  <cols>
    <col min="1" max="1" width="4.98828125" style="1" customWidth="1"/>
    <col min="2" max="2" width="31.6875" style="1" customWidth="1"/>
    <col min="3" max="3" width="17.52734375" style="1" customWidth="1"/>
    <col min="4" max="4" width="16.046875" style="1" customWidth="1"/>
    <col min="5" max="5" width="15.91015625" style="1" customWidth="1"/>
    <col min="6" max="6" width="14.83203125" style="1" customWidth="1"/>
    <col min="7" max="7" width="12.5390625" style="1" customWidth="1"/>
    <col min="8" max="8" width="13.34765625" style="1" customWidth="1"/>
    <col min="9" max="9" width="12" style="1" customWidth="1"/>
    <col min="10" max="10" width="17.39453125" style="1" customWidth="1"/>
    <col min="11" max="11" width="2.2890625" style="1" customWidth="1"/>
    <col min="12" max="16384" width="11.4609375" style="1"/>
  </cols>
  <sheetData>
    <row r="1" spans="1:27" ht="20.25" customHeight="1" thickBot="1" x14ac:dyDescent="0.2">
      <c r="A1"/>
      <c r="B1" s="296" t="s">
        <v>0</v>
      </c>
      <c r="C1"/>
      <c r="D1"/>
      <c r="E1"/>
      <c r="F1"/>
      <c r="G1"/>
      <c r="H1" s="296" t="s">
        <v>1</v>
      </c>
      <c r="I1" s="59"/>
      <c r="J1"/>
      <c r="K1"/>
    </row>
    <row r="2" spans="1:27" ht="18.75" customHeight="1" thickBot="1" x14ac:dyDescent="0.2">
      <c r="A2" s="164"/>
      <c r="B2" s="737" t="str">
        <f>"Microplanification "&amp; 'Page de garde'!C14</f>
        <v>Microplanification Campagne de vaccination préventive contre la Rougeole et la Rubeole (RR), 2023</v>
      </c>
      <c r="C2" s="740"/>
      <c r="D2" s="740"/>
      <c r="E2" s="740"/>
      <c r="F2" s="740"/>
      <c r="G2" s="740"/>
      <c r="H2" s="740"/>
      <c r="I2" s="741"/>
      <c r="J2" s="741"/>
      <c r="K2"/>
    </row>
    <row r="3" spans="1:27" ht="21" customHeight="1" x14ac:dyDescent="0.2">
      <c r="A3"/>
      <c r="B3" s="742" t="s">
        <v>92</v>
      </c>
      <c r="C3" s="743"/>
      <c r="D3" s="743"/>
      <c r="E3" s="744"/>
      <c r="F3" s="744"/>
      <c r="G3" s="744"/>
      <c r="H3" s="744"/>
      <c r="I3" s="744"/>
      <c r="J3" s="164"/>
      <c r="K3" s="164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7" ht="16.5" customHeight="1" thickBot="1" x14ac:dyDescent="0.25">
      <c r="A4"/>
      <c r="B4" s="309" t="s">
        <v>240</v>
      </c>
      <c r="C4" s="818" t="str">
        <f>Data!A1</f>
        <v>CAMEROUN</v>
      </c>
      <c r="D4" s="745" t="s">
        <v>100</v>
      </c>
      <c r="E4" s="819">
        <f>Data!B3</f>
        <v>0</v>
      </c>
      <c r="F4" s="745" t="s">
        <v>184</v>
      </c>
      <c r="G4" s="819">
        <f>Data!B4</f>
        <v>0</v>
      </c>
      <c r="H4" s="820"/>
      <c r="I4" s="821"/>
      <c r="J4" s="164"/>
      <c r="K4" s="164"/>
      <c r="L4" s="5"/>
      <c r="M4" s="5"/>
      <c r="N4" s="5"/>
      <c r="O4" s="5"/>
      <c r="P4" s="5"/>
      <c r="Q4" s="5"/>
      <c r="R4" s="5"/>
      <c r="S4" s="5"/>
      <c r="T4" s="5"/>
      <c r="Z4" s="4"/>
    </row>
    <row r="5" spans="1:27" ht="8.25" customHeight="1" thickBot="1" x14ac:dyDescent="0.2">
      <c r="A5"/>
      <c r="B5"/>
      <c r="C5"/>
      <c r="D5" s="164"/>
      <c r="E5" s="164"/>
      <c r="F5" s="164"/>
      <c r="G5" s="164"/>
      <c r="H5" s="164"/>
      <c r="I5" s="164"/>
      <c r="J5"/>
      <c r="K5" s="164"/>
      <c r="L5" s="5"/>
      <c r="M5" s="5"/>
      <c r="N5" s="5"/>
      <c r="O5" s="5"/>
      <c r="P5" s="5"/>
      <c r="Q5" s="5"/>
      <c r="R5" s="5"/>
      <c r="S5" s="5"/>
      <c r="T5" s="5"/>
      <c r="U5" s="5"/>
      <c r="AA5" s="4"/>
    </row>
    <row r="6" spans="1:27" s="7" customFormat="1" ht="59.25" thickBot="1" x14ac:dyDescent="0.2">
      <c r="A6" s="746" t="s">
        <v>2</v>
      </c>
      <c r="B6" s="798" t="s">
        <v>245</v>
      </c>
      <c r="C6" s="747" t="s">
        <v>465</v>
      </c>
      <c r="D6" s="747" t="s">
        <v>517</v>
      </c>
      <c r="E6" s="747" t="s">
        <v>505</v>
      </c>
      <c r="F6" s="747" t="s">
        <v>3</v>
      </c>
      <c r="G6" s="747" t="s">
        <v>4</v>
      </c>
      <c r="H6" s="748" t="s">
        <v>5</v>
      </c>
      <c r="I6" s="749" t="s">
        <v>99</v>
      </c>
      <c r="J6" s="822" t="s">
        <v>516</v>
      </c>
      <c r="K6" s="19"/>
    </row>
    <row r="7" spans="1:27" s="9" customFormat="1" x14ac:dyDescent="0.15">
      <c r="A7" s="804" t="s">
        <v>6</v>
      </c>
      <c r="B7" s="805" t="s">
        <v>7</v>
      </c>
      <c r="C7" s="112" t="s">
        <v>8</v>
      </c>
      <c r="D7" s="112" t="s">
        <v>9</v>
      </c>
      <c r="E7" s="112" t="s">
        <v>10</v>
      </c>
      <c r="F7" s="112" t="s">
        <v>11</v>
      </c>
      <c r="G7" s="112" t="s">
        <v>12</v>
      </c>
      <c r="H7" s="112" t="s">
        <v>13</v>
      </c>
      <c r="I7" s="159" t="s">
        <v>14</v>
      </c>
      <c r="J7" s="823" t="s">
        <v>15</v>
      </c>
      <c r="K7" s="23"/>
    </row>
    <row r="8" spans="1:27" s="11" customFormat="1" ht="13.5" customHeight="1" x14ac:dyDescent="0.15">
      <c r="A8" s="757">
        <v>1</v>
      </c>
      <c r="B8" s="772"/>
      <c r="C8" s="755"/>
      <c r="D8" s="692"/>
      <c r="E8" s="126"/>
      <c r="F8" s="136"/>
      <c r="G8" s="136"/>
      <c r="H8" s="137"/>
      <c r="I8" s="138"/>
      <c r="J8" s="824">
        <f t="shared" ref="J8:J37" si="0">SUM(F8:I8)</f>
        <v>0</v>
      </c>
      <c r="K8" s="750"/>
      <c r="L8" s="10"/>
    </row>
    <row r="9" spans="1:27" s="9" customFormat="1" ht="13.5" customHeight="1" x14ac:dyDescent="0.15">
      <c r="A9" s="757">
        <v>2</v>
      </c>
      <c r="B9" s="772"/>
      <c r="C9" s="755"/>
      <c r="D9" s="692"/>
      <c r="E9" s="139"/>
      <c r="F9" s="140"/>
      <c r="G9" s="140"/>
      <c r="H9" s="137"/>
      <c r="I9" s="110"/>
      <c r="J9" s="824">
        <f t="shared" si="0"/>
        <v>0</v>
      </c>
      <c r="K9" s="751"/>
    </row>
    <row r="10" spans="1:27" s="9" customFormat="1" ht="13.5" customHeight="1" x14ac:dyDescent="0.15">
      <c r="A10" s="757">
        <v>3</v>
      </c>
      <c r="B10" s="772"/>
      <c r="C10" s="755"/>
      <c r="D10" s="692"/>
      <c r="E10" s="126"/>
      <c r="F10" s="140"/>
      <c r="G10" s="140"/>
      <c r="H10" s="137"/>
      <c r="I10" s="110"/>
      <c r="J10" s="824">
        <f t="shared" si="0"/>
        <v>0</v>
      </c>
      <c r="K10" s="751"/>
    </row>
    <row r="11" spans="1:27" s="9" customFormat="1" ht="13.5" customHeight="1" x14ac:dyDescent="0.15">
      <c r="A11" s="757">
        <v>4</v>
      </c>
      <c r="B11" s="772"/>
      <c r="C11" s="755"/>
      <c r="D11" s="692"/>
      <c r="E11" s="126"/>
      <c r="F11" s="140"/>
      <c r="G11" s="140"/>
      <c r="H11" s="137"/>
      <c r="I11" s="110"/>
      <c r="J11" s="824">
        <f t="shared" si="0"/>
        <v>0</v>
      </c>
      <c r="K11" s="751"/>
    </row>
    <row r="12" spans="1:27" s="9" customFormat="1" ht="13.5" customHeight="1" x14ac:dyDescent="0.15">
      <c r="A12" s="757">
        <v>5</v>
      </c>
      <c r="B12" s="772"/>
      <c r="C12" s="755"/>
      <c r="D12" s="692"/>
      <c r="E12" s="126"/>
      <c r="F12" s="140"/>
      <c r="G12" s="140"/>
      <c r="H12" s="137"/>
      <c r="I12" s="110"/>
      <c r="J12" s="824">
        <f t="shared" si="0"/>
        <v>0</v>
      </c>
      <c r="K12" s="751"/>
    </row>
    <row r="13" spans="1:27" s="9" customFormat="1" ht="13.5" customHeight="1" x14ac:dyDescent="0.15">
      <c r="A13" s="757">
        <v>6</v>
      </c>
      <c r="B13" s="772"/>
      <c r="C13" s="755"/>
      <c r="D13" s="692"/>
      <c r="E13" s="126"/>
      <c r="F13" s="140"/>
      <c r="G13" s="140"/>
      <c r="H13" s="137"/>
      <c r="I13" s="110"/>
      <c r="J13" s="824">
        <f t="shared" si="0"/>
        <v>0</v>
      </c>
      <c r="K13" s="751"/>
    </row>
    <row r="14" spans="1:27" s="9" customFormat="1" ht="13.5" customHeight="1" x14ac:dyDescent="0.15">
      <c r="A14" s="757">
        <v>7</v>
      </c>
      <c r="B14" s="772"/>
      <c r="C14" s="755"/>
      <c r="D14" s="692"/>
      <c r="E14" s="126"/>
      <c r="F14" s="140"/>
      <c r="G14" s="140"/>
      <c r="H14" s="137"/>
      <c r="I14" s="110"/>
      <c r="J14" s="824">
        <f t="shared" si="0"/>
        <v>0</v>
      </c>
      <c r="K14" s="751"/>
    </row>
    <row r="15" spans="1:27" s="9" customFormat="1" ht="13.5" customHeight="1" x14ac:dyDescent="0.15">
      <c r="A15" s="757">
        <v>8</v>
      </c>
      <c r="B15" s="772"/>
      <c r="C15" s="755"/>
      <c r="D15" s="692"/>
      <c r="E15" s="126"/>
      <c r="F15" s="140"/>
      <c r="G15" s="140"/>
      <c r="H15" s="137"/>
      <c r="I15" s="110"/>
      <c r="J15" s="824">
        <f t="shared" si="0"/>
        <v>0</v>
      </c>
      <c r="K15" s="751"/>
    </row>
    <row r="16" spans="1:27" s="9" customFormat="1" ht="13.5" customHeight="1" x14ac:dyDescent="0.15">
      <c r="A16" s="757">
        <v>9</v>
      </c>
      <c r="B16" s="772"/>
      <c r="C16" s="755"/>
      <c r="D16" s="692"/>
      <c r="E16" s="126"/>
      <c r="F16" s="140"/>
      <c r="G16" s="140"/>
      <c r="H16" s="137"/>
      <c r="I16" s="110"/>
      <c r="J16" s="824">
        <f t="shared" si="0"/>
        <v>0</v>
      </c>
      <c r="K16" s="751"/>
    </row>
    <row r="17" spans="1:11" s="9" customFormat="1" ht="13.5" customHeight="1" x14ac:dyDescent="0.15">
      <c r="A17" s="757">
        <v>10</v>
      </c>
      <c r="B17" s="756"/>
      <c r="C17" s="755"/>
      <c r="D17" s="692"/>
      <c r="E17" s="126"/>
      <c r="F17" s="140"/>
      <c r="G17" s="140"/>
      <c r="H17" s="137"/>
      <c r="I17" s="110"/>
      <c r="J17" s="824">
        <f t="shared" si="0"/>
        <v>0</v>
      </c>
      <c r="K17" s="751"/>
    </row>
    <row r="18" spans="1:11" s="9" customFormat="1" ht="13.5" customHeight="1" x14ac:dyDescent="0.15">
      <c r="A18" s="757">
        <v>11</v>
      </c>
      <c r="B18" s="772"/>
      <c r="C18" s="755"/>
      <c r="D18" s="692"/>
      <c r="E18" s="126"/>
      <c r="F18" s="140"/>
      <c r="G18" s="140"/>
      <c r="H18" s="137"/>
      <c r="I18" s="110"/>
      <c r="J18" s="824">
        <f t="shared" si="0"/>
        <v>0</v>
      </c>
      <c r="K18" s="751"/>
    </row>
    <row r="19" spans="1:11" s="9" customFormat="1" ht="13.5" customHeight="1" x14ac:dyDescent="0.15">
      <c r="A19" s="757">
        <v>12</v>
      </c>
      <c r="B19" s="135"/>
      <c r="C19" s="158"/>
      <c r="D19" s="692"/>
      <c r="E19" s="126"/>
      <c r="F19" s="140"/>
      <c r="G19" s="140"/>
      <c r="H19" s="137"/>
      <c r="I19" s="110"/>
      <c r="J19" s="824">
        <f t="shared" si="0"/>
        <v>0</v>
      </c>
      <c r="K19" s="751"/>
    </row>
    <row r="20" spans="1:11" s="9" customFormat="1" ht="13.5" customHeight="1" x14ac:dyDescent="0.15">
      <c r="A20" s="757">
        <v>13</v>
      </c>
      <c r="B20" s="135"/>
      <c r="C20" s="158"/>
      <c r="D20" s="692"/>
      <c r="E20" s="126"/>
      <c r="F20" s="140"/>
      <c r="G20" s="140"/>
      <c r="H20" s="137"/>
      <c r="I20" s="110"/>
      <c r="J20" s="824">
        <f t="shared" si="0"/>
        <v>0</v>
      </c>
      <c r="K20" s="751"/>
    </row>
    <row r="21" spans="1:11" s="9" customFormat="1" ht="13.5" customHeight="1" x14ac:dyDescent="0.15">
      <c r="A21" s="757">
        <v>14</v>
      </c>
      <c r="B21" s="135"/>
      <c r="C21" s="755"/>
      <c r="D21" s="692"/>
      <c r="E21" s="126"/>
      <c r="F21" s="140"/>
      <c r="G21" s="140"/>
      <c r="H21" s="137"/>
      <c r="I21" s="110"/>
      <c r="J21" s="824">
        <f t="shared" si="0"/>
        <v>0</v>
      </c>
      <c r="K21" s="751"/>
    </row>
    <row r="22" spans="1:11" s="9" customFormat="1" ht="13.5" customHeight="1" x14ac:dyDescent="0.15">
      <c r="A22" s="757">
        <v>15</v>
      </c>
      <c r="B22" s="135"/>
      <c r="C22" s="158"/>
      <c r="D22" s="692"/>
      <c r="E22" s="126"/>
      <c r="F22" s="140"/>
      <c r="G22" s="140"/>
      <c r="H22" s="137"/>
      <c r="I22" s="110"/>
      <c r="J22" s="824">
        <f t="shared" si="0"/>
        <v>0</v>
      </c>
      <c r="K22" s="751"/>
    </row>
    <row r="23" spans="1:11" s="9" customFormat="1" ht="13.5" customHeight="1" x14ac:dyDescent="0.15">
      <c r="A23" s="757">
        <v>16</v>
      </c>
      <c r="B23" s="134"/>
      <c r="C23" s="158"/>
      <c r="D23" s="692"/>
      <c r="E23" s="126"/>
      <c r="F23" s="140"/>
      <c r="G23" s="140"/>
      <c r="H23" s="137"/>
      <c r="I23" s="110"/>
      <c r="J23" s="824">
        <f t="shared" si="0"/>
        <v>0</v>
      </c>
      <c r="K23" s="751"/>
    </row>
    <row r="24" spans="1:11" s="9" customFormat="1" ht="13.5" customHeight="1" x14ac:dyDescent="0.15">
      <c r="A24" s="757">
        <v>17</v>
      </c>
      <c r="B24" s="135"/>
      <c r="C24" s="158"/>
      <c r="D24" s="692"/>
      <c r="E24" s="126"/>
      <c r="F24" s="140"/>
      <c r="G24" s="140"/>
      <c r="H24" s="137"/>
      <c r="I24" s="110"/>
      <c r="J24" s="824">
        <f t="shared" si="0"/>
        <v>0</v>
      </c>
      <c r="K24" s="751"/>
    </row>
    <row r="25" spans="1:11" s="9" customFormat="1" ht="13.5" customHeight="1" x14ac:dyDescent="0.15">
      <c r="A25" s="757">
        <v>18</v>
      </c>
      <c r="B25" s="134"/>
      <c r="C25" s="158"/>
      <c r="D25" s="692"/>
      <c r="E25" s="141"/>
      <c r="F25" s="140"/>
      <c r="G25" s="140"/>
      <c r="H25" s="137"/>
      <c r="I25" s="110"/>
      <c r="J25" s="824">
        <f t="shared" si="0"/>
        <v>0</v>
      </c>
      <c r="K25" s="751"/>
    </row>
    <row r="26" spans="1:11" s="9" customFormat="1" ht="13.5" customHeight="1" x14ac:dyDescent="0.15">
      <c r="A26" s="757">
        <v>19</v>
      </c>
      <c r="B26" s="134"/>
      <c r="C26" s="158"/>
      <c r="D26" s="692"/>
      <c r="E26" s="141"/>
      <c r="F26" s="140"/>
      <c r="G26" s="140"/>
      <c r="H26" s="137"/>
      <c r="I26" s="110"/>
      <c r="J26" s="824">
        <f t="shared" si="0"/>
        <v>0</v>
      </c>
      <c r="K26" s="751"/>
    </row>
    <row r="27" spans="1:11" s="9" customFormat="1" ht="13.5" customHeight="1" x14ac:dyDescent="0.15">
      <c r="A27" s="757">
        <v>20</v>
      </c>
      <c r="B27" s="134"/>
      <c r="C27" s="158"/>
      <c r="D27" s="692"/>
      <c r="E27" s="141"/>
      <c r="F27" s="140"/>
      <c r="G27" s="140"/>
      <c r="H27" s="137"/>
      <c r="I27" s="110"/>
      <c r="J27" s="824">
        <f t="shared" si="0"/>
        <v>0</v>
      </c>
      <c r="K27" s="751"/>
    </row>
    <row r="28" spans="1:11" s="9" customFormat="1" ht="13.5" customHeight="1" x14ac:dyDescent="0.15">
      <c r="A28" s="757">
        <v>21</v>
      </c>
      <c r="B28" s="134"/>
      <c r="C28" s="158"/>
      <c r="D28" s="692"/>
      <c r="E28" s="141"/>
      <c r="F28" s="140"/>
      <c r="G28" s="140"/>
      <c r="H28" s="137"/>
      <c r="I28" s="110"/>
      <c r="J28" s="824">
        <f t="shared" si="0"/>
        <v>0</v>
      </c>
      <c r="K28" s="751"/>
    </row>
    <row r="29" spans="1:11" s="9" customFormat="1" ht="13.5" customHeight="1" x14ac:dyDescent="0.15">
      <c r="A29" s="757">
        <v>22</v>
      </c>
      <c r="B29" s="134"/>
      <c r="C29" s="158"/>
      <c r="D29" s="692"/>
      <c r="E29" s="141"/>
      <c r="F29" s="140"/>
      <c r="G29" s="140"/>
      <c r="H29" s="137"/>
      <c r="I29" s="110"/>
      <c r="J29" s="824">
        <f t="shared" si="0"/>
        <v>0</v>
      </c>
      <c r="K29" s="751"/>
    </row>
    <row r="30" spans="1:11" s="9" customFormat="1" ht="13.5" customHeight="1" x14ac:dyDescent="0.15">
      <c r="A30" s="757">
        <v>23</v>
      </c>
      <c r="B30" s="134"/>
      <c r="C30" s="158"/>
      <c r="D30" s="692"/>
      <c r="E30" s="141"/>
      <c r="F30" s="140"/>
      <c r="G30" s="140"/>
      <c r="H30" s="137"/>
      <c r="I30" s="110"/>
      <c r="J30" s="824">
        <f t="shared" si="0"/>
        <v>0</v>
      </c>
      <c r="K30" s="751"/>
    </row>
    <row r="31" spans="1:11" s="9" customFormat="1" ht="13.5" customHeight="1" x14ac:dyDescent="0.15">
      <c r="A31" s="757">
        <v>24</v>
      </c>
      <c r="B31" s="134"/>
      <c r="C31" s="158"/>
      <c r="D31" s="692"/>
      <c r="E31" s="141"/>
      <c r="F31" s="140"/>
      <c r="G31" s="140"/>
      <c r="H31" s="137"/>
      <c r="I31" s="110"/>
      <c r="J31" s="824">
        <f t="shared" si="0"/>
        <v>0</v>
      </c>
      <c r="K31" s="751"/>
    </row>
    <row r="32" spans="1:11" s="9" customFormat="1" ht="13.5" customHeight="1" x14ac:dyDescent="0.15">
      <c r="A32" s="757">
        <v>25</v>
      </c>
      <c r="B32" s="134"/>
      <c r="C32" s="158"/>
      <c r="D32" s="692"/>
      <c r="E32" s="141"/>
      <c r="F32" s="140"/>
      <c r="G32" s="140"/>
      <c r="H32" s="137"/>
      <c r="I32" s="110"/>
      <c r="J32" s="824">
        <f t="shared" si="0"/>
        <v>0</v>
      </c>
      <c r="K32" s="751"/>
    </row>
    <row r="33" spans="1:11" s="9" customFormat="1" ht="13.5" customHeight="1" x14ac:dyDescent="0.15">
      <c r="A33" s="757">
        <v>26</v>
      </c>
      <c r="B33" s="134"/>
      <c r="C33" s="158"/>
      <c r="D33" s="692"/>
      <c r="E33" s="141"/>
      <c r="F33" s="140"/>
      <c r="G33" s="140"/>
      <c r="H33" s="137"/>
      <c r="I33" s="110"/>
      <c r="J33" s="824">
        <f t="shared" si="0"/>
        <v>0</v>
      </c>
      <c r="K33" s="751"/>
    </row>
    <row r="34" spans="1:11" s="9" customFormat="1" ht="13.5" customHeight="1" x14ac:dyDescent="0.15">
      <c r="A34" s="757">
        <v>27</v>
      </c>
      <c r="B34" s="134"/>
      <c r="C34" s="158"/>
      <c r="D34" s="692"/>
      <c r="E34" s="141"/>
      <c r="F34" s="140"/>
      <c r="G34" s="140"/>
      <c r="H34" s="137"/>
      <c r="I34" s="110"/>
      <c r="J34" s="824">
        <f t="shared" si="0"/>
        <v>0</v>
      </c>
      <c r="K34" s="751"/>
    </row>
    <row r="35" spans="1:11" s="9" customFormat="1" ht="13.5" customHeight="1" x14ac:dyDescent="0.15">
      <c r="A35" s="757">
        <v>28</v>
      </c>
      <c r="B35" s="134"/>
      <c r="C35" s="158"/>
      <c r="D35" s="692"/>
      <c r="E35" s="139"/>
      <c r="F35" s="140"/>
      <c r="G35" s="140"/>
      <c r="H35" s="137"/>
      <c r="I35" s="110"/>
      <c r="J35" s="824">
        <f t="shared" si="0"/>
        <v>0</v>
      </c>
      <c r="K35" s="751"/>
    </row>
    <row r="36" spans="1:11" s="9" customFormat="1" ht="13.5" customHeight="1" x14ac:dyDescent="0.15">
      <c r="A36" s="757">
        <v>29</v>
      </c>
      <c r="B36" s="134"/>
      <c r="C36" s="158"/>
      <c r="D36" s="692"/>
      <c r="E36" s="141"/>
      <c r="F36" s="140"/>
      <c r="G36" s="140"/>
      <c r="H36" s="137"/>
      <c r="I36" s="110"/>
      <c r="J36" s="824">
        <f t="shared" si="0"/>
        <v>0</v>
      </c>
      <c r="K36" s="751"/>
    </row>
    <row r="37" spans="1:11" s="9" customFormat="1" ht="13.5" customHeight="1" x14ac:dyDescent="0.15">
      <c r="A37" s="757">
        <v>30</v>
      </c>
      <c r="B37" s="134"/>
      <c r="C37" s="158"/>
      <c r="D37" s="693"/>
      <c r="E37" s="139"/>
      <c r="F37" s="142"/>
      <c r="G37" s="142"/>
      <c r="H37" s="137"/>
      <c r="I37" s="110"/>
      <c r="J37" s="824">
        <f t="shared" si="0"/>
        <v>0</v>
      </c>
      <c r="K37" s="751"/>
    </row>
    <row r="38" spans="1:11" s="9" customFormat="1" ht="13.5" thickBot="1" x14ac:dyDescent="0.2">
      <c r="A38" s="757"/>
      <c r="B38" s="753" t="str">
        <f>"TOTAL "&amp;$G$4</f>
        <v>TOTAL 0</v>
      </c>
      <c r="C38" s="825"/>
      <c r="D38" s="694" t="str">
        <f>IF(SUM(D8:D37)=0,"",SUM(D8:D37))</f>
        <v/>
      </c>
      <c r="E38" s="825"/>
      <c r="F38" s="639">
        <f>SUM(F8:F37)</f>
        <v>0</v>
      </c>
      <c r="G38" s="639">
        <f>SUM(G8:G37)</f>
        <v>0</v>
      </c>
      <c r="H38" s="640">
        <f>SUM(H8:H37)</f>
        <v>0</v>
      </c>
      <c r="I38" s="641">
        <f>SUM(I8:I37)</f>
        <v>0</v>
      </c>
      <c r="J38" s="825">
        <f>SUM(J8:J37)</f>
        <v>0</v>
      </c>
      <c r="K38" s="752"/>
    </row>
    <row r="39" spans="1:11" s="9" customFormat="1" ht="6.75" customHeight="1" x14ac:dyDescent="0.15">
      <c r="B39" s="12"/>
      <c r="C39" s="13"/>
      <c r="D39" s="13"/>
      <c r="E39" s="13"/>
      <c r="F39" s="13"/>
      <c r="G39" s="13"/>
      <c r="H39" s="13"/>
      <c r="J39" s="13"/>
    </row>
    <row r="41" spans="1:11" s="9" customFormat="1" ht="15" customHeight="1" x14ac:dyDescent="0.15">
      <c r="B41" s="14" t="s">
        <v>466</v>
      </c>
      <c r="C41" s="13"/>
      <c r="D41" s="13"/>
      <c r="E41" s="13"/>
      <c r="F41" s="13"/>
      <c r="G41" s="13"/>
      <c r="H41" s="13"/>
      <c r="I41" s="13"/>
    </row>
    <row r="42" spans="1:11" s="9" customFormat="1" ht="15" customHeight="1" x14ac:dyDescent="0.15">
      <c r="B42" s="14" t="s">
        <v>467</v>
      </c>
    </row>
    <row r="43" spans="1:11" s="9" customFormat="1" ht="15" customHeight="1" x14ac:dyDescent="0.15">
      <c r="B43" s="14" t="s">
        <v>241</v>
      </c>
    </row>
    <row r="44" spans="1:11" s="9" customFormat="1" ht="15" customHeight="1" x14ac:dyDescent="0.15">
      <c r="B44" s="14" t="s">
        <v>265</v>
      </c>
    </row>
    <row r="45" spans="1:11" s="15" customFormat="1" ht="15" customHeight="1" x14ac:dyDescent="0.15">
      <c r="B45" s="14" t="s">
        <v>266</v>
      </c>
    </row>
    <row r="46" spans="1:11" s="15" customFormat="1" ht="15" customHeight="1" x14ac:dyDescent="0.15">
      <c r="B46" s="14" t="s">
        <v>267</v>
      </c>
    </row>
    <row r="47" spans="1:11" s="9" customFormat="1" x14ac:dyDescent="0.15">
      <c r="B47" s="14" t="s">
        <v>242</v>
      </c>
    </row>
    <row r="48" spans="1:11" s="9" customFormat="1" ht="15" customHeight="1" x14ac:dyDescent="0.15">
      <c r="B48" s="14" t="s">
        <v>479</v>
      </c>
      <c r="C48" s="13"/>
      <c r="D48" s="13"/>
      <c r="E48" s="13"/>
      <c r="F48" s="13"/>
      <c r="G48" s="13"/>
      <c r="H48" s="13"/>
      <c r="J48" s="13"/>
    </row>
  </sheetData>
  <sheetProtection algorithmName="SHA-512" hashValue="XsEW93TzxCSGKaT2IGNAX7FG3SVAQWnvgClF759KY53EhW3kmnBU/z/57IRsPpNTokH21VoiHH9aaQ760qD4uA==" saltValue="wXXKUVz0S9deVQmEpClZbg==" spinCount="100000" sheet="1" objects="1" scenarios="1"/>
  <phoneticPr fontId="16" type="noConversion"/>
  <printOptions horizontalCentered="1"/>
  <pageMargins left="0.31496062992125984" right="0.27559055118110237" top="0.27559055118110237" bottom="0.35433070866141736" header="0.19685039370078741" footer="0.19685039370078741"/>
  <pageSetup paperSize="9" scale="90" orientation="landscape" r:id="rId1"/>
  <headerFooter alignWithMargins="0">
    <oddFooter>&amp;LCAMPAGNE PREVENTIVE CONTRE LA FIEVRE JAUNE&amp;C&amp;F&amp;RDecembre 2014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55"/>
  <sheetViews>
    <sheetView showGridLines="0" zoomScaleSheetLayoutView="75" workbookViewId="0">
      <pane xSplit="3" ySplit="6" topLeftCell="D7" activePane="bottomRight" state="frozen"/>
      <selection activeCell="H14" sqref="H14"/>
      <selection pane="bottomLeft" activeCell="H14" sqref="H14"/>
      <selection pane="topRight" activeCell="H14" sqref="H14"/>
      <selection pane="bottomRight" activeCell="H44" sqref="H44"/>
    </sheetView>
  </sheetViews>
  <sheetFormatPr defaultColWidth="11.4609375" defaultRowHeight="12.75" x14ac:dyDescent="0.15"/>
  <cols>
    <col min="1" max="1" width="3.91015625" style="19" customWidth="1"/>
    <col min="2" max="2" width="19.55078125" style="19" customWidth="1"/>
    <col min="3" max="3" width="12.9453125" style="19" customWidth="1"/>
    <col min="4" max="5" width="9.57421875" style="19" customWidth="1"/>
    <col min="6" max="6" width="7.68359375" style="19" customWidth="1"/>
    <col min="7" max="8" width="9.57421875" style="19" customWidth="1"/>
    <col min="9" max="9" width="8.4921875" style="19" customWidth="1"/>
    <col min="10" max="10" width="7.68359375" style="19" customWidth="1"/>
    <col min="11" max="11" width="8.62890625" style="19" customWidth="1"/>
    <col min="12" max="12" width="7.4140625" style="19" customWidth="1"/>
    <col min="13" max="13" width="1.078125" style="19" customWidth="1"/>
    <col min="14" max="21" width="5.93359375" style="19" customWidth="1"/>
    <col min="22" max="22" width="1.078125" style="19" customWidth="1"/>
    <col min="23" max="28" width="9.70703125" style="19" hidden="1" customWidth="1"/>
    <col min="29" max="29" width="10.3828125" style="19" hidden="1" customWidth="1"/>
    <col min="30" max="31" width="10.65234375" style="19" hidden="1" customWidth="1"/>
    <col min="32" max="32" width="9.70703125" style="19" hidden="1" customWidth="1"/>
    <col min="33" max="33" width="10.921875" style="19" hidden="1" customWidth="1"/>
    <col min="34" max="35" width="9.70703125" style="19" hidden="1" customWidth="1"/>
    <col min="36" max="36" width="11.0546875" style="19" hidden="1" customWidth="1"/>
    <col min="37" max="37" width="8.62890625" style="19" customWidth="1"/>
    <col min="38" max="16384" width="11.4609375" style="19"/>
  </cols>
  <sheetData>
    <row r="1" spans="1:36" ht="13.5" customHeight="1" x14ac:dyDescent="0.15">
      <c r="A1" s="17"/>
      <c r="C1" s="18" t="s">
        <v>0</v>
      </c>
      <c r="J1" s="20" t="s">
        <v>1</v>
      </c>
      <c r="K1" s="20"/>
      <c r="L1" s="20"/>
      <c r="N1" s="195"/>
      <c r="W1" s="195" t="s">
        <v>358</v>
      </c>
    </row>
    <row r="2" spans="1:36" s="23" customFormat="1" ht="20.25" customHeight="1" x14ac:dyDescent="0.15">
      <c r="A2" s="21"/>
      <c r="B2" s="736" t="str">
        <f>'1.Stratégie'!$B$2</f>
        <v>Microplanification Campagne de vaccination préventive contre la Rougeole et la Rubeole (RR), 2023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36" ht="17.25" customHeight="1" x14ac:dyDescent="0.2">
      <c r="B3" s="163" t="s">
        <v>93</v>
      </c>
      <c r="C3" s="20"/>
      <c r="D3" s="20"/>
      <c r="E3" s="20"/>
      <c r="F3" s="20"/>
      <c r="G3" s="20"/>
      <c r="H3" s="20"/>
      <c r="I3" s="20"/>
      <c r="J3" s="20"/>
      <c r="K3" s="20"/>
      <c r="L3" s="20"/>
      <c r="N3" s="296" t="s">
        <v>423</v>
      </c>
    </row>
    <row r="4" spans="1:36" s="23" customFormat="1" ht="18.75" customHeight="1" x14ac:dyDescent="0.15">
      <c r="B4" s="130" t="str">
        <f>'1.Stratégie'!$B$4</f>
        <v>PAYS :</v>
      </c>
      <c r="C4" s="826" t="str">
        <f>+'1.Stratégie'!C4</f>
        <v>CAMEROUN</v>
      </c>
      <c r="D4" s="827"/>
      <c r="E4" s="21"/>
      <c r="F4" s="129" t="str">
        <f>'1.Stratégie'!$D$4</f>
        <v>REGION :</v>
      </c>
      <c r="G4" s="826">
        <f>'1.Stratégie'!$E$4</f>
        <v>0</v>
      </c>
      <c r="H4" s="828"/>
      <c r="I4" s="828"/>
      <c r="J4" s="24"/>
      <c r="K4" s="161"/>
      <c r="L4" s="161"/>
      <c r="M4" s="24"/>
      <c r="N4" s="21"/>
      <c r="O4" s="128" t="str">
        <f>IF(('1.Stratégie'!$F$4)="","",'1.Stratégie'!$F$4)</f>
        <v>DISTRICT :</v>
      </c>
      <c r="P4" s="826">
        <f>IF(('1.Stratégie'!$G$4)="","",'1.Stratégie'!$G$4)</f>
        <v>0</v>
      </c>
      <c r="Q4" s="826"/>
      <c r="R4" s="829"/>
      <c r="S4" s="829"/>
      <c r="T4" s="829"/>
      <c r="W4" s="21"/>
      <c r="X4" s="24" t="str">
        <f>IF(('1.Stratégie'!$F$4)="","",'1.Stratégie'!$F$4)</f>
        <v>DISTRICT :</v>
      </c>
      <c r="Y4" s="74">
        <f>IF(('1.Stratégie'!$G$4)="","",'1.Stratégie'!$G$4)</f>
        <v>0</v>
      </c>
      <c r="Z4" s="74"/>
      <c r="AA4" s="74"/>
      <c r="AB4" s="74"/>
      <c r="AC4" s="74"/>
    </row>
    <row r="5" spans="1:36" s="185" customFormat="1" ht="12.75" customHeight="1" x14ac:dyDescent="0.15">
      <c r="A5" s="219"/>
      <c r="B5" s="213"/>
      <c r="C5" s="294" t="s">
        <v>190</v>
      </c>
      <c r="D5" s="295">
        <f>Data!$H$7</f>
        <v>0.115</v>
      </c>
      <c r="E5" s="363" t="s">
        <v>20</v>
      </c>
      <c r="F5" s="364"/>
      <c r="G5" s="365" t="s">
        <v>21</v>
      </c>
      <c r="H5" s="365"/>
      <c r="I5" s="363" t="s">
        <v>22</v>
      </c>
      <c r="J5" s="364"/>
      <c r="K5" s="365" t="s">
        <v>422</v>
      </c>
      <c r="L5" s="366"/>
      <c r="M5" s="778"/>
      <c r="N5" s="850" t="s">
        <v>288</v>
      </c>
      <c r="O5" s="851"/>
      <c r="P5" s="850" t="s">
        <v>359</v>
      </c>
      <c r="Q5" s="851"/>
      <c r="R5" s="850" t="s">
        <v>247</v>
      </c>
      <c r="S5" s="851"/>
      <c r="T5" s="850" t="s">
        <v>289</v>
      </c>
      <c r="U5" s="851"/>
      <c r="W5" s="206" t="s">
        <v>388</v>
      </c>
      <c r="X5" s="207"/>
      <c r="Y5" s="207"/>
      <c r="Z5" s="208"/>
      <c r="AA5" s="208"/>
      <c r="AB5" s="208"/>
      <c r="AC5" s="207"/>
      <c r="AD5" s="209" t="s">
        <v>390</v>
      </c>
      <c r="AE5" s="210"/>
      <c r="AF5" s="211"/>
      <c r="AJ5" s="186"/>
    </row>
    <row r="6" spans="1:36" s="185" customFormat="1" ht="46.5" x14ac:dyDescent="0.15">
      <c r="A6" s="220" t="s">
        <v>2</v>
      </c>
      <c r="B6" s="230" t="str">
        <f>'1.Stratégie'!B6</f>
        <v>AIRE DE SANTE</v>
      </c>
      <c r="C6" s="222" t="str">
        <f>'1.Stratégie'!J6</f>
        <v>POPULATION TOTALE 2023</v>
      </c>
      <c r="D6" s="223" t="str">
        <f>"Pop cible  "&amp; 'Page de garde'!$D$16</f>
        <v>Pop cible  RR</v>
      </c>
      <c r="E6" s="846" t="s">
        <v>24</v>
      </c>
      <c r="F6" s="224" t="s">
        <v>420</v>
      </c>
      <c r="G6" s="849" t="s">
        <v>24</v>
      </c>
      <c r="H6" s="225" t="s">
        <v>33</v>
      </c>
      <c r="I6" s="846" t="s">
        <v>421</v>
      </c>
      <c r="J6" s="224" t="s">
        <v>420</v>
      </c>
      <c r="K6" s="849" t="s">
        <v>24</v>
      </c>
      <c r="L6" s="226" t="s">
        <v>420</v>
      </c>
      <c r="M6" s="778"/>
      <c r="N6" s="852" t="s">
        <v>286</v>
      </c>
      <c r="O6" s="852" t="s">
        <v>287</v>
      </c>
      <c r="P6" s="852" t="s">
        <v>286</v>
      </c>
      <c r="Q6" s="852" t="s">
        <v>287</v>
      </c>
      <c r="R6" s="852" t="s">
        <v>286</v>
      </c>
      <c r="S6" s="852" t="s">
        <v>287</v>
      </c>
      <c r="T6" s="852" t="s">
        <v>286</v>
      </c>
      <c r="U6" s="852" t="s">
        <v>287</v>
      </c>
      <c r="W6" s="212" t="s">
        <v>288</v>
      </c>
      <c r="X6" s="212" t="s">
        <v>359</v>
      </c>
      <c r="Y6" s="212" t="s">
        <v>247</v>
      </c>
      <c r="Z6" s="212" t="s">
        <v>289</v>
      </c>
      <c r="AA6" s="212" t="s">
        <v>375</v>
      </c>
      <c r="AB6" s="212" t="s">
        <v>499</v>
      </c>
      <c r="AC6" s="212" t="s">
        <v>500</v>
      </c>
      <c r="AD6" s="212" t="s">
        <v>391</v>
      </c>
      <c r="AE6" s="212" t="s">
        <v>392</v>
      </c>
      <c r="AF6" s="212" t="s">
        <v>366</v>
      </c>
      <c r="AG6" s="194" t="s">
        <v>490</v>
      </c>
      <c r="AH6" s="194" t="s">
        <v>491</v>
      </c>
      <c r="AI6" s="194" t="s">
        <v>374</v>
      </c>
      <c r="AJ6" s="166" t="s">
        <v>28</v>
      </c>
    </row>
    <row r="7" spans="1:36" s="175" customFormat="1" x14ac:dyDescent="0.15">
      <c r="A7" s="221">
        <v>1</v>
      </c>
      <c r="B7" s="214">
        <f>'1.Stratégie'!B8</f>
        <v>0</v>
      </c>
      <c r="C7" s="215">
        <f>'1.Stratégie'!J8</f>
        <v>0</v>
      </c>
      <c r="D7" s="227">
        <f>SUM(E7,G7,I7,K7)</f>
        <v>0</v>
      </c>
      <c r="E7" s="847">
        <f>ROUND('1.Stratégie'!$F8*$D$5,0)</f>
        <v>0</v>
      </c>
      <c r="F7" s="228">
        <f>ROUNDUP($E7/($H$41*$E$39),0)+'1.Stratégie'!E8</f>
        <v>0</v>
      </c>
      <c r="G7" s="847">
        <f>ROUND('1.Stratégie'!$G8*$D$5,0)</f>
        <v>0</v>
      </c>
      <c r="H7" s="228">
        <f t="shared" ref="H7:H36" si="0">ROUNDUP($G7/($H$42*$E$39),0)</f>
        <v>0</v>
      </c>
      <c r="I7" s="847">
        <f>ROUND('1.Stratégie'!$H8*$D$5,0)</f>
        <v>0</v>
      </c>
      <c r="J7" s="228">
        <f t="shared" ref="J7:J36" si="1">ROUNDUP($I7/($H$43*$E$39),0)</f>
        <v>0</v>
      </c>
      <c r="K7" s="847">
        <f>ROUND('1.Stratégie'!I8*$D$5,0)</f>
        <v>0</v>
      </c>
      <c r="L7" s="215">
        <f t="shared" ref="L7:L36" si="2">ROUNDUP($K7/($H$44*$E$39),0)</f>
        <v>0</v>
      </c>
      <c r="M7" s="779"/>
      <c r="N7" s="176">
        <f t="shared" ref="N7:N36" si="3">IF($E7=0,0,(IF($E7/$H$41&gt;$E$39,$E$39,ROUNDUP($E7/$H$41,0))))</f>
        <v>0</v>
      </c>
      <c r="O7" s="177">
        <f t="shared" ref="O7:O36" si="4">IF($E7=0,0,ROUNDUP($E7/($H$41*$N7),0))</f>
        <v>0</v>
      </c>
      <c r="P7" s="176">
        <f t="shared" ref="P7:P36" si="5">IF($G7=0,0,(IF($G7/$H$42&gt;$E$39,$E$39,ROUNDUP($G7/$H$42,0))))</f>
        <v>0</v>
      </c>
      <c r="Q7" s="177">
        <f t="shared" ref="Q7:Q36" si="6">IF($G7=0,0,ROUNDUP($G7/($H$42*$P7),0))</f>
        <v>0</v>
      </c>
      <c r="R7" s="176">
        <f t="shared" ref="R7:R36" si="7">IF($I7=0,0,(IF($I7/$H$43&gt;$E$39,$E$39,ROUNDUP($I7/$H$43,0))))</f>
        <v>0</v>
      </c>
      <c r="S7" s="177">
        <f t="shared" ref="S7:S36" si="8">IF($I7=0,0,ROUNDUP($I7/($H$43*$R7),0))</f>
        <v>0</v>
      </c>
      <c r="T7" s="176">
        <f t="shared" ref="T7:T36" si="9">IF($K7=0,0,(IF($K7/$H$44&gt;$E$39,$E$39,ROUNDUP($K7/$H$44,0))))</f>
        <v>0</v>
      </c>
      <c r="U7" s="177">
        <f t="shared" ref="U7:U36" si="10">IF($K7=0,0,ROUNDUP($K7/($H$44*$T7),0))</f>
        <v>0</v>
      </c>
      <c r="W7" s="176">
        <f>$O7*$N7*SUM(Data!$C$13:$C$15)</f>
        <v>0</v>
      </c>
      <c r="X7" s="176">
        <f>$P7*$Q7*SUM(Data!$C$13:$C$15)</f>
        <v>0</v>
      </c>
      <c r="Y7" s="176">
        <f>$R7*$S7*SUM(Data!$C$22:$C$23)</f>
        <v>0</v>
      </c>
      <c r="Z7" s="176">
        <f>$S7*$U7*SUM(Data!$C$22:$C$23)</f>
        <v>0</v>
      </c>
      <c r="AA7" s="176">
        <f>(O7*SUM(Data!$B$13:$B$15)+(Q7+S7+U7)*SUM(Data!$B$22:$B$23))*Data!$H$23</f>
        <v>0</v>
      </c>
      <c r="AB7" s="176">
        <f>IF($C7=0,0,$E$39*Data!$C$31)</f>
        <v>0</v>
      </c>
      <c r="AC7" s="176">
        <f>'3.Personnel'!V8*Data!$H$13*Data!$C$31</f>
        <v>0</v>
      </c>
      <c r="AD7" s="176">
        <f>SUM('7.Transport_AS'!$E16:$H16)</f>
        <v>0</v>
      </c>
      <c r="AE7" s="176">
        <f>'7.Transport_AS'!$I16</f>
        <v>0</v>
      </c>
      <c r="AF7" s="176">
        <f>IF('7.Transport_AS'!$D16=0,0,('7.Transport_AS'!$D16-'7.Transport_AS'!$C16)*Data!$H$15*Data!$B$86)</f>
        <v>0</v>
      </c>
      <c r="AG7" s="176">
        <f>SUM(O7,Q7,S7,U7)*Data!$H$52*Data!$H$53*Data!$C$16</f>
        <v>0</v>
      </c>
      <c r="AH7" s="176">
        <f>($N7*$O7+$P7*$Q7+$R7*$S7+$T7*$U7)*Data!$C$16</f>
        <v>0</v>
      </c>
      <c r="AI7" s="176">
        <f>(O7+Q7+S7+U7)*Data!$H$24*Data!$H$53</f>
        <v>0</v>
      </c>
      <c r="AJ7" s="178">
        <f>SUM(W7:AI7)</f>
        <v>0</v>
      </c>
    </row>
    <row r="8" spans="1:36" s="175" customFormat="1" ht="12.95" customHeight="1" x14ac:dyDescent="0.15">
      <c r="A8" s="221">
        <v>2</v>
      </c>
      <c r="B8" s="214">
        <f>'1.Stratégie'!B9</f>
        <v>0</v>
      </c>
      <c r="C8" s="215">
        <f>'1.Stratégie'!J9</f>
        <v>0</v>
      </c>
      <c r="D8" s="227">
        <f t="shared" ref="D8:D21" si="11">SUM(E8,G8,I8,K8)</f>
        <v>0</v>
      </c>
      <c r="E8" s="847">
        <f>ROUND('1.Stratégie'!$F9*$D$5,0)</f>
        <v>0</v>
      </c>
      <c r="F8" s="228">
        <f>ROUNDUP($E8/($H$41*$E$39),0)+'1.Stratégie'!E9</f>
        <v>0</v>
      </c>
      <c r="G8" s="847">
        <f>ROUND('1.Stratégie'!$G9*$D$5,0)</f>
        <v>0</v>
      </c>
      <c r="H8" s="228">
        <f t="shared" si="0"/>
        <v>0</v>
      </c>
      <c r="I8" s="847">
        <f>ROUND('1.Stratégie'!$H9*$D$5,0)</f>
        <v>0</v>
      </c>
      <c r="J8" s="228">
        <f t="shared" si="1"/>
        <v>0</v>
      </c>
      <c r="K8" s="847">
        <f>ROUND('1.Stratégie'!I9*$D$5,0)</f>
        <v>0</v>
      </c>
      <c r="L8" s="215">
        <f t="shared" si="2"/>
        <v>0</v>
      </c>
      <c r="M8" s="779"/>
      <c r="N8" s="176">
        <f t="shared" si="3"/>
        <v>0</v>
      </c>
      <c r="O8" s="177">
        <f t="shared" si="4"/>
        <v>0</v>
      </c>
      <c r="P8" s="176">
        <f t="shared" si="5"/>
        <v>0</v>
      </c>
      <c r="Q8" s="177">
        <f t="shared" si="6"/>
        <v>0</v>
      </c>
      <c r="R8" s="176">
        <f t="shared" si="7"/>
        <v>0</v>
      </c>
      <c r="S8" s="177">
        <f t="shared" si="8"/>
        <v>0</v>
      </c>
      <c r="T8" s="176">
        <f t="shared" si="9"/>
        <v>0</v>
      </c>
      <c r="U8" s="177">
        <f t="shared" si="10"/>
        <v>0</v>
      </c>
      <c r="W8" s="176">
        <f>$O8*$N8*SUM(Data!$C$13:$C$15)</f>
        <v>0</v>
      </c>
      <c r="X8" s="176">
        <f>$P8*$Q8*SUM(Data!$C$13:$C$15)</f>
        <v>0</v>
      </c>
      <c r="Y8" s="176">
        <f>$R8*$S8*SUM(Data!$C$22:$C$23)</f>
        <v>0</v>
      </c>
      <c r="Z8" s="176">
        <f>$S8*$U8*SUM(Data!$C$22:$C$23)</f>
        <v>0</v>
      </c>
      <c r="AA8" s="176">
        <f>(O8*SUM(Data!$B$13:$B$15)+(Q8+S8+U8)*SUM(Data!$B$22:$B$23))*Data!$H$23</f>
        <v>0</v>
      </c>
      <c r="AB8" s="176">
        <f>IF($C8=0,0,$E$39*Data!$C$31)</f>
        <v>0</v>
      </c>
      <c r="AC8" s="176">
        <f>'3.Personnel'!V9*Data!$H$13*Data!$C$31</f>
        <v>0</v>
      </c>
      <c r="AD8" s="176">
        <f>SUM('7.Transport_AS'!$E17:$H17)</f>
        <v>0</v>
      </c>
      <c r="AE8" s="176">
        <f>'7.Transport_AS'!$I17</f>
        <v>0</v>
      </c>
      <c r="AF8" s="176">
        <f>IF('7.Transport_AS'!$D17=0,0,('7.Transport_AS'!$D17-'7.Transport_AS'!$C17)*Data!$H$15*Data!$B$86)</f>
        <v>0</v>
      </c>
      <c r="AG8" s="176">
        <f>SUM(O8,Q8,S8,U8)*Data!$H$52*Data!$H$53*Data!$C$16</f>
        <v>0</v>
      </c>
      <c r="AH8" s="176">
        <f>($N8*$O8+$P8*$Q8+$R8*$S8+$T8*$U8)*Data!$C$16</f>
        <v>0</v>
      </c>
      <c r="AI8" s="176">
        <f>(O8+Q8+S8+U8)*Data!$H$24*Data!$H$53</f>
        <v>0</v>
      </c>
      <c r="AJ8" s="178">
        <f t="shared" ref="AJ8:AJ36" si="12">SUM(W8:AI8)</f>
        <v>0</v>
      </c>
    </row>
    <row r="9" spans="1:36" s="175" customFormat="1" ht="12.95" customHeight="1" x14ac:dyDescent="0.15">
      <c r="A9" s="221">
        <v>3</v>
      </c>
      <c r="B9" s="214">
        <f>'1.Stratégie'!B10</f>
        <v>0</v>
      </c>
      <c r="C9" s="215">
        <f>'1.Stratégie'!J10</f>
        <v>0</v>
      </c>
      <c r="D9" s="227">
        <f t="shared" si="11"/>
        <v>0</v>
      </c>
      <c r="E9" s="847">
        <f>ROUND('1.Stratégie'!$F10*$D$5,0)</f>
        <v>0</v>
      </c>
      <c r="F9" s="228">
        <f>ROUNDUP($E9/($H$41*$E$39),0)+'1.Stratégie'!E10</f>
        <v>0</v>
      </c>
      <c r="G9" s="847">
        <f>ROUND('1.Stratégie'!$G10*$D$5,0)</f>
        <v>0</v>
      </c>
      <c r="H9" s="228">
        <f t="shared" si="0"/>
        <v>0</v>
      </c>
      <c r="I9" s="847">
        <f>ROUND('1.Stratégie'!$H10*$D$5,0)</f>
        <v>0</v>
      </c>
      <c r="J9" s="228">
        <f t="shared" si="1"/>
        <v>0</v>
      </c>
      <c r="K9" s="847">
        <f>ROUND('1.Stratégie'!I10*$D$5,0)</f>
        <v>0</v>
      </c>
      <c r="L9" s="215">
        <f t="shared" si="2"/>
        <v>0</v>
      </c>
      <c r="M9" s="779"/>
      <c r="N9" s="176">
        <f t="shared" si="3"/>
        <v>0</v>
      </c>
      <c r="O9" s="177">
        <f t="shared" si="4"/>
        <v>0</v>
      </c>
      <c r="P9" s="176">
        <f t="shared" si="5"/>
        <v>0</v>
      </c>
      <c r="Q9" s="177">
        <f t="shared" si="6"/>
        <v>0</v>
      </c>
      <c r="R9" s="176">
        <f t="shared" si="7"/>
        <v>0</v>
      </c>
      <c r="S9" s="177">
        <f t="shared" si="8"/>
        <v>0</v>
      </c>
      <c r="T9" s="176">
        <f t="shared" si="9"/>
        <v>0</v>
      </c>
      <c r="U9" s="177">
        <f t="shared" si="10"/>
        <v>0</v>
      </c>
      <c r="W9" s="176">
        <f>$O9*$N9*SUM(Data!$C$13:$C$15)</f>
        <v>0</v>
      </c>
      <c r="X9" s="176">
        <f>$P9*$Q9*SUM(Data!$C$13:$C$15)</f>
        <v>0</v>
      </c>
      <c r="Y9" s="176">
        <f>$R9*$S9*SUM(Data!$C$22:$C$23)</f>
        <v>0</v>
      </c>
      <c r="Z9" s="176">
        <f>$S9*$U9*SUM(Data!$C$22:$C$23)</f>
        <v>0</v>
      </c>
      <c r="AA9" s="176">
        <f>(O9*SUM(Data!$B$13:$B$15)+(Q9+S9+U9)*SUM(Data!$B$22:$B$23))*Data!$H$23</f>
        <v>0</v>
      </c>
      <c r="AB9" s="176">
        <f>IF($C9=0,0,$E$39*Data!$C$31)</f>
        <v>0</v>
      </c>
      <c r="AC9" s="176">
        <f>'3.Personnel'!V10*Data!$H$13*Data!$C$31</f>
        <v>0</v>
      </c>
      <c r="AD9" s="176">
        <f>SUM('7.Transport_AS'!$E18:$H18)</f>
        <v>0</v>
      </c>
      <c r="AE9" s="176">
        <f>'7.Transport_AS'!$I18</f>
        <v>0</v>
      </c>
      <c r="AF9" s="176">
        <f>IF('7.Transport_AS'!$D18=0,0,('7.Transport_AS'!$D18-'7.Transport_AS'!$C18)*Data!$H$15*Data!$B$86)</f>
        <v>0</v>
      </c>
      <c r="AG9" s="176">
        <f>SUM(O9,Q9,S9,U9)*Data!$H$52*Data!$H$53*Data!$C$16</f>
        <v>0</v>
      </c>
      <c r="AH9" s="176">
        <f>($N9*$O9+$P9*$Q9+$R9*$S9+$T9*$U9)*Data!$C$16</f>
        <v>0</v>
      </c>
      <c r="AI9" s="176">
        <f>(O9+Q9+S9+U9)*Data!$H$24*Data!$H$53</f>
        <v>0</v>
      </c>
      <c r="AJ9" s="178">
        <f t="shared" si="12"/>
        <v>0</v>
      </c>
    </row>
    <row r="10" spans="1:36" s="175" customFormat="1" ht="12.95" customHeight="1" x14ac:dyDescent="0.15">
      <c r="A10" s="221">
        <v>4</v>
      </c>
      <c r="B10" s="214">
        <f>'1.Stratégie'!B11</f>
        <v>0</v>
      </c>
      <c r="C10" s="215">
        <f>'1.Stratégie'!J11</f>
        <v>0</v>
      </c>
      <c r="D10" s="227">
        <f t="shared" si="11"/>
        <v>0</v>
      </c>
      <c r="E10" s="847">
        <f>ROUND('1.Stratégie'!$F11*$D$5,0)</f>
        <v>0</v>
      </c>
      <c r="F10" s="228">
        <f>ROUNDUP($E10/($H$41*$E$39),0)+'1.Stratégie'!E11</f>
        <v>0</v>
      </c>
      <c r="G10" s="847">
        <f>ROUND('1.Stratégie'!$G11*$D$5,0)</f>
        <v>0</v>
      </c>
      <c r="H10" s="228">
        <f t="shared" si="0"/>
        <v>0</v>
      </c>
      <c r="I10" s="847">
        <f>ROUND('1.Stratégie'!$H11*$D$5,0)</f>
        <v>0</v>
      </c>
      <c r="J10" s="228">
        <f t="shared" si="1"/>
        <v>0</v>
      </c>
      <c r="K10" s="847">
        <f>ROUND('1.Stratégie'!I11*$D$5,0)</f>
        <v>0</v>
      </c>
      <c r="L10" s="215">
        <f t="shared" si="2"/>
        <v>0</v>
      </c>
      <c r="M10" s="779"/>
      <c r="N10" s="176">
        <f t="shared" si="3"/>
        <v>0</v>
      </c>
      <c r="O10" s="177">
        <f t="shared" si="4"/>
        <v>0</v>
      </c>
      <c r="P10" s="176">
        <f t="shared" si="5"/>
        <v>0</v>
      </c>
      <c r="Q10" s="177">
        <f t="shared" si="6"/>
        <v>0</v>
      </c>
      <c r="R10" s="176">
        <f t="shared" si="7"/>
        <v>0</v>
      </c>
      <c r="S10" s="177">
        <f t="shared" si="8"/>
        <v>0</v>
      </c>
      <c r="T10" s="176">
        <f t="shared" si="9"/>
        <v>0</v>
      </c>
      <c r="U10" s="177">
        <f t="shared" si="10"/>
        <v>0</v>
      </c>
      <c r="W10" s="176">
        <f>$O10*$N10*SUM(Data!$C$13:$C$15)</f>
        <v>0</v>
      </c>
      <c r="X10" s="176">
        <f>$P10*$Q10*SUM(Data!$C$13:$C$15)</f>
        <v>0</v>
      </c>
      <c r="Y10" s="176">
        <f>$R10*$S10*SUM(Data!$C$22:$C$23)</f>
        <v>0</v>
      </c>
      <c r="Z10" s="176">
        <f>$S10*$U10*SUM(Data!$C$22:$C$23)</f>
        <v>0</v>
      </c>
      <c r="AA10" s="176">
        <f>(O10*SUM(Data!$B$13:$B$15)+(Q10+S10+U10)*SUM(Data!$B$22:$B$23))*Data!$H$23</f>
        <v>0</v>
      </c>
      <c r="AB10" s="176">
        <f>IF($C10=0,0,$E$39*Data!$C$31)</f>
        <v>0</v>
      </c>
      <c r="AC10" s="176">
        <f>'3.Personnel'!V11*Data!$H$13*Data!$C$31</f>
        <v>0</v>
      </c>
      <c r="AD10" s="176">
        <f>SUM('7.Transport_AS'!$E19:$H19)</f>
        <v>0</v>
      </c>
      <c r="AE10" s="176">
        <f>'7.Transport_AS'!$I19</f>
        <v>0</v>
      </c>
      <c r="AF10" s="176">
        <f>IF('7.Transport_AS'!$D19=0,0,('7.Transport_AS'!$D19-'7.Transport_AS'!$C19)*Data!$H$15*Data!$B$86)</f>
        <v>0</v>
      </c>
      <c r="AG10" s="176">
        <f>SUM(O10,Q10,S10,U10)*Data!$H$52*Data!$H$53*Data!$C$16</f>
        <v>0</v>
      </c>
      <c r="AH10" s="176">
        <f>($N10*$O10+$P10*$Q10+$R10*$S10+$T10*$U10)*Data!$C$16</f>
        <v>0</v>
      </c>
      <c r="AI10" s="176">
        <f>(O10+Q10+S10+U10)*Data!$H$24*Data!$H$53</f>
        <v>0</v>
      </c>
      <c r="AJ10" s="178">
        <f t="shared" si="12"/>
        <v>0</v>
      </c>
    </row>
    <row r="11" spans="1:36" s="175" customFormat="1" ht="12.95" customHeight="1" x14ac:dyDescent="0.15">
      <c r="A11" s="221">
        <v>5</v>
      </c>
      <c r="B11" s="214">
        <f>'1.Stratégie'!B12</f>
        <v>0</v>
      </c>
      <c r="C11" s="215">
        <f>'1.Stratégie'!J12</f>
        <v>0</v>
      </c>
      <c r="D11" s="227">
        <f t="shared" si="11"/>
        <v>0</v>
      </c>
      <c r="E11" s="847">
        <f>ROUND('1.Stratégie'!$F12*$D$5,0)</f>
        <v>0</v>
      </c>
      <c r="F11" s="228">
        <f>ROUNDUP($E11/($H$41*$E$39),0)+'1.Stratégie'!E12</f>
        <v>0</v>
      </c>
      <c r="G11" s="847">
        <f>ROUND('1.Stratégie'!$G12*$D$5,0)</f>
        <v>0</v>
      </c>
      <c r="H11" s="228">
        <f t="shared" si="0"/>
        <v>0</v>
      </c>
      <c r="I11" s="847">
        <f>ROUND('1.Stratégie'!$H12*$D$5,0)</f>
        <v>0</v>
      </c>
      <c r="J11" s="228">
        <f t="shared" si="1"/>
        <v>0</v>
      </c>
      <c r="K11" s="847">
        <f>ROUND('1.Stratégie'!I12*$D$5,0)</f>
        <v>0</v>
      </c>
      <c r="L11" s="215">
        <f t="shared" si="2"/>
        <v>0</v>
      </c>
      <c r="M11" s="779"/>
      <c r="N11" s="176">
        <f t="shared" si="3"/>
        <v>0</v>
      </c>
      <c r="O11" s="177">
        <f t="shared" si="4"/>
        <v>0</v>
      </c>
      <c r="P11" s="176">
        <f t="shared" si="5"/>
        <v>0</v>
      </c>
      <c r="Q11" s="177">
        <f t="shared" si="6"/>
        <v>0</v>
      </c>
      <c r="R11" s="176">
        <f t="shared" si="7"/>
        <v>0</v>
      </c>
      <c r="S11" s="177">
        <f t="shared" si="8"/>
        <v>0</v>
      </c>
      <c r="T11" s="176">
        <f t="shared" si="9"/>
        <v>0</v>
      </c>
      <c r="U11" s="177">
        <f t="shared" si="10"/>
        <v>0</v>
      </c>
      <c r="W11" s="176">
        <f>$O11*$N11*SUM(Data!$C$13:$C$15)</f>
        <v>0</v>
      </c>
      <c r="X11" s="176">
        <f>$P11*$Q11*SUM(Data!$C$13:$C$15)</f>
        <v>0</v>
      </c>
      <c r="Y11" s="176">
        <f>$R11*$S11*SUM(Data!$C$22:$C$23)</f>
        <v>0</v>
      </c>
      <c r="Z11" s="176">
        <f>$S11*$U11*SUM(Data!$C$22:$C$23)</f>
        <v>0</v>
      </c>
      <c r="AA11" s="176">
        <f>(O11*SUM(Data!$B$13:$B$15)+(Q11+S11+U11)*SUM(Data!$B$22:$B$23))*Data!$H$23</f>
        <v>0</v>
      </c>
      <c r="AB11" s="176">
        <f>IF($C11=0,0,$E$39*Data!$C$31)</f>
        <v>0</v>
      </c>
      <c r="AC11" s="176">
        <f>'3.Personnel'!V12*Data!$H$13*Data!$C$31</f>
        <v>0</v>
      </c>
      <c r="AD11" s="176">
        <f>SUM('7.Transport_AS'!$E20:$H20)</f>
        <v>0</v>
      </c>
      <c r="AE11" s="176">
        <f>'7.Transport_AS'!$I20</f>
        <v>0</v>
      </c>
      <c r="AF11" s="176">
        <f>IF('7.Transport_AS'!$D20=0,0,('7.Transport_AS'!$D20-'7.Transport_AS'!$C20)*Data!$H$15*Data!$B$86)</f>
        <v>0</v>
      </c>
      <c r="AG11" s="176">
        <f>SUM(O11,Q11,S11,U11)*Data!$H$52*Data!$H$53*Data!$C$16</f>
        <v>0</v>
      </c>
      <c r="AH11" s="176">
        <f>($N11*$O11+$P11*$Q11+$R11*$S11+$T11*$U11)*Data!$C$16</f>
        <v>0</v>
      </c>
      <c r="AI11" s="176">
        <f>(O11+Q11+S11+U11)*Data!$H$24*Data!$H$53</f>
        <v>0</v>
      </c>
      <c r="AJ11" s="178">
        <f t="shared" si="12"/>
        <v>0</v>
      </c>
    </row>
    <row r="12" spans="1:36" s="175" customFormat="1" ht="12.95" customHeight="1" x14ac:dyDescent="0.15">
      <c r="A12" s="221">
        <v>6</v>
      </c>
      <c r="B12" s="214">
        <f>'1.Stratégie'!B13</f>
        <v>0</v>
      </c>
      <c r="C12" s="215">
        <f>'1.Stratégie'!J13</f>
        <v>0</v>
      </c>
      <c r="D12" s="227">
        <f t="shared" si="11"/>
        <v>0</v>
      </c>
      <c r="E12" s="847">
        <f>ROUND('1.Stratégie'!$F13*$D$5,0)</f>
        <v>0</v>
      </c>
      <c r="F12" s="228">
        <f>ROUNDUP($E12/($H$41*$E$39),0)+'1.Stratégie'!E13</f>
        <v>0</v>
      </c>
      <c r="G12" s="847">
        <f>ROUND('1.Stratégie'!$G13*$D$5,0)</f>
        <v>0</v>
      </c>
      <c r="H12" s="228">
        <f t="shared" si="0"/>
        <v>0</v>
      </c>
      <c r="I12" s="847">
        <f>ROUND('1.Stratégie'!$H13*$D$5,0)</f>
        <v>0</v>
      </c>
      <c r="J12" s="228">
        <f t="shared" si="1"/>
        <v>0</v>
      </c>
      <c r="K12" s="847">
        <f>ROUND('1.Stratégie'!I13*$D$5,0)</f>
        <v>0</v>
      </c>
      <c r="L12" s="215">
        <f t="shared" si="2"/>
        <v>0</v>
      </c>
      <c r="M12" s="779"/>
      <c r="N12" s="176">
        <f t="shared" si="3"/>
        <v>0</v>
      </c>
      <c r="O12" s="177">
        <f t="shared" si="4"/>
        <v>0</v>
      </c>
      <c r="P12" s="176">
        <f t="shared" si="5"/>
        <v>0</v>
      </c>
      <c r="Q12" s="177">
        <f t="shared" si="6"/>
        <v>0</v>
      </c>
      <c r="R12" s="176">
        <f t="shared" si="7"/>
        <v>0</v>
      </c>
      <c r="S12" s="177">
        <f t="shared" si="8"/>
        <v>0</v>
      </c>
      <c r="T12" s="176">
        <f t="shared" si="9"/>
        <v>0</v>
      </c>
      <c r="U12" s="177">
        <f t="shared" si="10"/>
        <v>0</v>
      </c>
      <c r="W12" s="176">
        <f>$O12*$N12*SUM(Data!$C$13:$C$15)</f>
        <v>0</v>
      </c>
      <c r="X12" s="176">
        <f>$P12*$Q12*SUM(Data!$C$13:$C$15)</f>
        <v>0</v>
      </c>
      <c r="Y12" s="176">
        <f>$R12*$S12*SUM(Data!$C$22:$C$23)</f>
        <v>0</v>
      </c>
      <c r="Z12" s="176">
        <f>$S12*$U12*SUM(Data!$C$22:$C$23)</f>
        <v>0</v>
      </c>
      <c r="AA12" s="176">
        <f>(O12*SUM(Data!$B$13:$B$15)+(Q12+S12+U12)*SUM(Data!$B$22:$B$23))*Data!$H$23</f>
        <v>0</v>
      </c>
      <c r="AB12" s="176">
        <f>IF($C12=0,0,$E$39*Data!$C$31)</f>
        <v>0</v>
      </c>
      <c r="AC12" s="176">
        <f>'3.Personnel'!V13*Data!$H$13*Data!$C$31</f>
        <v>0</v>
      </c>
      <c r="AD12" s="176">
        <f>SUM('7.Transport_AS'!$E21:$H21)</f>
        <v>0</v>
      </c>
      <c r="AE12" s="176">
        <f>'7.Transport_AS'!$I21</f>
        <v>0</v>
      </c>
      <c r="AF12" s="176">
        <f>IF('7.Transport_AS'!$D21=0,0,('7.Transport_AS'!$D21-'7.Transport_AS'!$C21)*Data!$H$15*Data!$B$86)</f>
        <v>0</v>
      </c>
      <c r="AG12" s="176">
        <f>SUM(O12,Q12,S12,U12)*Data!$H$52*Data!$H$53*Data!$C$16</f>
        <v>0</v>
      </c>
      <c r="AH12" s="176">
        <f>($N12*$O12+$P12*$Q12+$R12*$S12+$T12*$U12)*Data!$C$16</f>
        <v>0</v>
      </c>
      <c r="AI12" s="176">
        <f>(O12+Q12+S12+U12)*Data!$H$24*Data!$H$53</f>
        <v>0</v>
      </c>
      <c r="AJ12" s="178">
        <f t="shared" si="12"/>
        <v>0</v>
      </c>
    </row>
    <row r="13" spans="1:36" s="175" customFormat="1" ht="12.95" customHeight="1" x14ac:dyDescent="0.15">
      <c r="A13" s="221">
        <v>7</v>
      </c>
      <c r="B13" s="214">
        <f>'1.Stratégie'!B14</f>
        <v>0</v>
      </c>
      <c r="C13" s="215">
        <f>'1.Stratégie'!J14</f>
        <v>0</v>
      </c>
      <c r="D13" s="227">
        <f t="shared" si="11"/>
        <v>0</v>
      </c>
      <c r="E13" s="847">
        <f>ROUND('1.Stratégie'!$F14*$D$5,0)</f>
        <v>0</v>
      </c>
      <c r="F13" s="228">
        <f>ROUNDUP($E13/($H$41*$E$39),0)+'1.Stratégie'!E14</f>
        <v>0</v>
      </c>
      <c r="G13" s="847">
        <f>ROUND('1.Stratégie'!$G14*$D$5,0)</f>
        <v>0</v>
      </c>
      <c r="H13" s="228">
        <f t="shared" si="0"/>
        <v>0</v>
      </c>
      <c r="I13" s="847">
        <f>ROUND('1.Stratégie'!$H14*$D$5,0)</f>
        <v>0</v>
      </c>
      <c r="J13" s="228">
        <f t="shared" si="1"/>
        <v>0</v>
      </c>
      <c r="K13" s="847">
        <f>ROUND('1.Stratégie'!I14*$D$5,0)</f>
        <v>0</v>
      </c>
      <c r="L13" s="215">
        <f t="shared" si="2"/>
        <v>0</v>
      </c>
      <c r="M13" s="779"/>
      <c r="N13" s="176">
        <f t="shared" si="3"/>
        <v>0</v>
      </c>
      <c r="O13" s="177">
        <f t="shared" si="4"/>
        <v>0</v>
      </c>
      <c r="P13" s="176">
        <f t="shared" si="5"/>
        <v>0</v>
      </c>
      <c r="Q13" s="177">
        <f t="shared" si="6"/>
        <v>0</v>
      </c>
      <c r="R13" s="176">
        <f t="shared" si="7"/>
        <v>0</v>
      </c>
      <c r="S13" s="177">
        <f t="shared" si="8"/>
        <v>0</v>
      </c>
      <c r="T13" s="176">
        <f t="shared" si="9"/>
        <v>0</v>
      </c>
      <c r="U13" s="177">
        <f t="shared" si="10"/>
        <v>0</v>
      </c>
      <c r="W13" s="176">
        <f>$O13*$N13*SUM(Data!$C$13:$C$15)</f>
        <v>0</v>
      </c>
      <c r="X13" s="176">
        <f>$P13*$Q13*SUM(Data!$C$13:$C$15)</f>
        <v>0</v>
      </c>
      <c r="Y13" s="176">
        <f>$R13*$S13*SUM(Data!$C$22:$C$23)</f>
        <v>0</v>
      </c>
      <c r="Z13" s="176">
        <f>$S13*$U13*SUM(Data!$C$22:$C$23)</f>
        <v>0</v>
      </c>
      <c r="AA13" s="176">
        <f>(O13*SUM(Data!$B$13:$B$15)+(Q13+S13+U13)*SUM(Data!$B$22:$B$23))*Data!$H$23</f>
        <v>0</v>
      </c>
      <c r="AB13" s="176">
        <f>IF($C13=0,0,$E$39*Data!$C$31)</f>
        <v>0</v>
      </c>
      <c r="AC13" s="176">
        <f>'3.Personnel'!V14*Data!$H$13*Data!$C$31</f>
        <v>0</v>
      </c>
      <c r="AD13" s="176">
        <f>SUM('7.Transport_AS'!$E22:$H22)</f>
        <v>0</v>
      </c>
      <c r="AE13" s="176">
        <f>'7.Transport_AS'!$I22</f>
        <v>0</v>
      </c>
      <c r="AF13" s="176">
        <f>IF('7.Transport_AS'!$D22=0,0,('7.Transport_AS'!$D22-'7.Transport_AS'!$C22)*Data!$H$15*Data!$B$86)</f>
        <v>0</v>
      </c>
      <c r="AG13" s="176">
        <f>SUM(O13,Q13,S13,U13)*Data!$H$52*Data!$H$53*Data!$C$16</f>
        <v>0</v>
      </c>
      <c r="AH13" s="176">
        <f>($N13*$O13+$P13*$Q13+$R13*$S13+$T13*$U13)*Data!$C$16</f>
        <v>0</v>
      </c>
      <c r="AI13" s="176">
        <f>(O13+Q13+S13+U13)*Data!$H$24*Data!$H$53</f>
        <v>0</v>
      </c>
      <c r="AJ13" s="178">
        <f t="shared" si="12"/>
        <v>0</v>
      </c>
    </row>
    <row r="14" spans="1:36" s="175" customFormat="1" ht="12.95" customHeight="1" x14ac:dyDescent="0.15">
      <c r="A14" s="221">
        <v>8</v>
      </c>
      <c r="B14" s="214">
        <f>'1.Stratégie'!B15</f>
        <v>0</v>
      </c>
      <c r="C14" s="215">
        <f>'1.Stratégie'!J15</f>
        <v>0</v>
      </c>
      <c r="D14" s="227">
        <f t="shared" si="11"/>
        <v>0</v>
      </c>
      <c r="E14" s="847">
        <f>ROUND('1.Stratégie'!$F15*$D$5,0)</f>
        <v>0</v>
      </c>
      <c r="F14" s="228">
        <f>ROUNDUP($E14/($H$41*$E$39),0)+'1.Stratégie'!E15</f>
        <v>0</v>
      </c>
      <c r="G14" s="847">
        <f>ROUND('1.Stratégie'!$G15*$D$5,0)</f>
        <v>0</v>
      </c>
      <c r="H14" s="228">
        <f t="shared" si="0"/>
        <v>0</v>
      </c>
      <c r="I14" s="847">
        <f>ROUND('1.Stratégie'!$H15*$D$5,0)</f>
        <v>0</v>
      </c>
      <c r="J14" s="228">
        <f t="shared" si="1"/>
        <v>0</v>
      </c>
      <c r="K14" s="847">
        <f>ROUND('1.Stratégie'!I15*$D$5,0)</f>
        <v>0</v>
      </c>
      <c r="L14" s="215">
        <f t="shared" si="2"/>
        <v>0</v>
      </c>
      <c r="M14" s="779"/>
      <c r="N14" s="176">
        <f t="shared" si="3"/>
        <v>0</v>
      </c>
      <c r="O14" s="177">
        <f t="shared" si="4"/>
        <v>0</v>
      </c>
      <c r="P14" s="176">
        <f t="shared" si="5"/>
        <v>0</v>
      </c>
      <c r="Q14" s="177">
        <f t="shared" si="6"/>
        <v>0</v>
      </c>
      <c r="R14" s="176">
        <f t="shared" si="7"/>
        <v>0</v>
      </c>
      <c r="S14" s="177">
        <f t="shared" si="8"/>
        <v>0</v>
      </c>
      <c r="T14" s="176">
        <f t="shared" si="9"/>
        <v>0</v>
      </c>
      <c r="U14" s="177">
        <f t="shared" si="10"/>
        <v>0</v>
      </c>
      <c r="W14" s="176">
        <f>$O14*$N14*SUM(Data!$C$13:$C$15)</f>
        <v>0</v>
      </c>
      <c r="X14" s="176">
        <f>$P14*$Q14*SUM(Data!$C$13:$C$15)</f>
        <v>0</v>
      </c>
      <c r="Y14" s="176">
        <f>$R14*$S14*SUM(Data!$C$22:$C$23)</f>
        <v>0</v>
      </c>
      <c r="Z14" s="176">
        <f>$S14*$U14*SUM(Data!$C$22:$C$23)</f>
        <v>0</v>
      </c>
      <c r="AA14" s="176">
        <f>(O14*SUM(Data!$B$13:$B$15)+(Q14+S14+U14)*SUM(Data!$B$22:$B$23))*Data!$H$23</f>
        <v>0</v>
      </c>
      <c r="AB14" s="176">
        <f>IF($C14=0,0,$E$39*Data!$C$31)</f>
        <v>0</v>
      </c>
      <c r="AC14" s="176">
        <f>'3.Personnel'!V15*Data!$H$13*Data!$C$31</f>
        <v>0</v>
      </c>
      <c r="AD14" s="176">
        <f>SUM('7.Transport_AS'!$E23:$H23)</f>
        <v>0</v>
      </c>
      <c r="AE14" s="176">
        <f>'7.Transport_AS'!$I23</f>
        <v>0</v>
      </c>
      <c r="AF14" s="176">
        <f>IF('7.Transport_AS'!$D23=0,0,('7.Transport_AS'!$D23-'7.Transport_AS'!$C23)*Data!$H$15*Data!$B$86)</f>
        <v>0</v>
      </c>
      <c r="AG14" s="176">
        <f>SUM(O14,Q14,S14,U14)*Data!$H$52*Data!$H$53*Data!$C$16</f>
        <v>0</v>
      </c>
      <c r="AH14" s="176">
        <f>($N14*$O14+$P14*$Q14+$R14*$S14+$T14*$U14)*Data!$C$16</f>
        <v>0</v>
      </c>
      <c r="AI14" s="176">
        <f>(O14+Q14+S14+U14)*Data!$H$24*Data!$H$53</f>
        <v>0</v>
      </c>
      <c r="AJ14" s="178">
        <f t="shared" si="12"/>
        <v>0</v>
      </c>
    </row>
    <row r="15" spans="1:36" s="175" customFormat="1" ht="12.95" customHeight="1" x14ac:dyDescent="0.15">
      <c r="A15" s="221">
        <v>9</v>
      </c>
      <c r="B15" s="214">
        <f>'1.Stratégie'!B16</f>
        <v>0</v>
      </c>
      <c r="C15" s="215">
        <f>'1.Stratégie'!J16</f>
        <v>0</v>
      </c>
      <c r="D15" s="227">
        <f t="shared" si="11"/>
        <v>0</v>
      </c>
      <c r="E15" s="847">
        <f>ROUND('1.Stratégie'!$F16*$D$5,0)</f>
        <v>0</v>
      </c>
      <c r="F15" s="228">
        <f>ROUNDUP($E15/($H$41*$E$39),0)+'1.Stratégie'!E16</f>
        <v>0</v>
      </c>
      <c r="G15" s="847">
        <f>ROUND('1.Stratégie'!$G16*$D$5,0)</f>
        <v>0</v>
      </c>
      <c r="H15" s="228">
        <f t="shared" si="0"/>
        <v>0</v>
      </c>
      <c r="I15" s="847">
        <f>ROUND('1.Stratégie'!$H16*$D$5,0)</f>
        <v>0</v>
      </c>
      <c r="J15" s="228">
        <f t="shared" si="1"/>
        <v>0</v>
      </c>
      <c r="K15" s="847">
        <f>ROUND('1.Stratégie'!I16*$D$5,0)</f>
        <v>0</v>
      </c>
      <c r="L15" s="215">
        <f t="shared" si="2"/>
        <v>0</v>
      </c>
      <c r="M15" s="779"/>
      <c r="N15" s="176">
        <f t="shared" si="3"/>
        <v>0</v>
      </c>
      <c r="O15" s="177">
        <f t="shared" si="4"/>
        <v>0</v>
      </c>
      <c r="P15" s="176">
        <f t="shared" si="5"/>
        <v>0</v>
      </c>
      <c r="Q15" s="177">
        <f t="shared" si="6"/>
        <v>0</v>
      </c>
      <c r="R15" s="176">
        <f t="shared" si="7"/>
        <v>0</v>
      </c>
      <c r="S15" s="177">
        <f t="shared" si="8"/>
        <v>0</v>
      </c>
      <c r="T15" s="176">
        <f t="shared" si="9"/>
        <v>0</v>
      </c>
      <c r="U15" s="177">
        <f t="shared" si="10"/>
        <v>0</v>
      </c>
      <c r="W15" s="176">
        <f>$O15*$N15*SUM(Data!$C$13:$C$15)</f>
        <v>0</v>
      </c>
      <c r="X15" s="176">
        <f>$P15*$Q15*SUM(Data!$C$13:$C$15)</f>
        <v>0</v>
      </c>
      <c r="Y15" s="176">
        <f>$R15*$S15*SUM(Data!$C$22:$C$23)</f>
        <v>0</v>
      </c>
      <c r="Z15" s="176">
        <f>$S15*$U15*SUM(Data!$C$22:$C$23)</f>
        <v>0</v>
      </c>
      <c r="AA15" s="176">
        <f>(O15*SUM(Data!$B$13:$B$15)+(Q15+S15+U15)*SUM(Data!$B$22:$B$23))*Data!$H$23</f>
        <v>0</v>
      </c>
      <c r="AB15" s="176">
        <f>IF($C15=0,0,$E$39*Data!$C$31)</f>
        <v>0</v>
      </c>
      <c r="AC15" s="176">
        <f>'3.Personnel'!V16*Data!$H$13*Data!$C$31</f>
        <v>0</v>
      </c>
      <c r="AD15" s="176">
        <f>SUM('7.Transport_AS'!$E24:$H24)</f>
        <v>0</v>
      </c>
      <c r="AE15" s="176">
        <f>'7.Transport_AS'!$I24</f>
        <v>0</v>
      </c>
      <c r="AF15" s="176">
        <f>IF('7.Transport_AS'!$D24=0,0,('7.Transport_AS'!$D24-'7.Transport_AS'!$C24)*Data!$H$15*Data!$B$86)</f>
        <v>0</v>
      </c>
      <c r="AG15" s="176">
        <f>SUM(O15,Q15,S15,U15)*Data!$H$52*Data!$H$53*Data!$C$16</f>
        <v>0</v>
      </c>
      <c r="AH15" s="176">
        <f>($N15*$O15+$P15*$Q15+$R15*$S15+$T15*$U15)*Data!$C$16</f>
        <v>0</v>
      </c>
      <c r="AI15" s="176">
        <f>(O15+Q15+S15+U15)*Data!$H$24*Data!$H$53</f>
        <v>0</v>
      </c>
      <c r="AJ15" s="178">
        <f t="shared" si="12"/>
        <v>0</v>
      </c>
    </row>
    <row r="16" spans="1:36" s="175" customFormat="1" ht="12.95" customHeight="1" x14ac:dyDescent="0.15">
      <c r="A16" s="221">
        <v>10</v>
      </c>
      <c r="B16" s="214">
        <f>'1.Stratégie'!B17</f>
        <v>0</v>
      </c>
      <c r="C16" s="215">
        <f>'1.Stratégie'!J17</f>
        <v>0</v>
      </c>
      <c r="D16" s="227">
        <f t="shared" si="11"/>
        <v>0</v>
      </c>
      <c r="E16" s="847">
        <f>ROUND('1.Stratégie'!$F17*$D$5,0)</f>
        <v>0</v>
      </c>
      <c r="F16" s="228">
        <f>ROUNDUP($E16/($H$41*$E$39),0)+'1.Stratégie'!E17</f>
        <v>0</v>
      </c>
      <c r="G16" s="847">
        <f>ROUND('1.Stratégie'!$G17*$D$5,0)</f>
        <v>0</v>
      </c>
      <c r="H16" s="228">
        <f t="shared" si="0"/>
        <v>0</v>
      </c>
      <c r="I16" s="847">
        <f>ROUND('1.Stratégie'!$H17*$D$5,0)</f>
        <v>0</v>
      </c>
      <c r="J16" s="228">
        <f t="shared" si="1"/>
        <v>0</v>
      </c>
      <c r="K16" s="847">
        <f>ROUND('1.Stratégie'!I17*$D$5,0)</f>
        <v>0</v>
      </c>
      <c r="L16" s="215">
        <f t="shared" si="2"/>
        <v>0</v>
      </c>
      <c r="M16" s="779"/>
      <c r="N16" s="176">
        <f t="shared" si="3"/>
        <v>0</v>
      </c>
      <c r="O16" s="177">
        <f t="shared" si="4"/>
        <v>0</v>
      </c>
      <c r="P16" s="176">
        <f t="shared" si="5"/>
        <v>0</v>
      </c>
      <c r="Q16" s="177">
        <f t="shared" si="6"/>
        <v>0</v>
      </c>
      <c r="R16" s="176">
        <f t="shared" si="7"/>
        <v>0</v>
      </c>
      <c r="S16" s="177">
        <f t="shared" si="8"/>
        <v>0</v>
      </c>
      <c r="T16" s="176">
        <f t="shared" si="9"/>
        <v>0</v>
      </c>
      <c r="U16" s="177">
        <f t="shared" si="10"/>
        <v>0</v>
      </c>
      <c r="W16" s="176">
        <f>$O16*$N16*SUM(Data!$C$13:$C$15)</f>
        <v>0</v>
      </c>
      <c r="X16" s="176">
        <f>$P16*$Q16*SUM(Data!$C$13:$C$15)</f>
        <v>0</v>
      </c>
      <c r="Y16" s="176">
        <f>$R16*$S16*SUM(Data!$C$22:$C$23)</f>
        <v>0</v>
      </c>
      <c r="Z16" s="176">
        <f>$S16*$U16*SUM(Data!$C$22:$C$23)</f>
        <v>0</v>
      </c>
      <c r="AA16" s="176">
        <f>(O16*SUM(Data!$B$13:$B$15)+(Q16+S16+U16)*SUM(Data!$B$22:$B$23))*Data!$H$23</f>
        <v>0</v>
      </c>
      <c r="AB16" s="176">
        <f>IF($C16=0,0,$E$39*Data!$C$31)</f>
        <v>0</v>
      </c>
      <c r="AC16" s="176">
        <f>'3.Personnel'!V17*Data!$H$13*Data!$C$31</f>
        <v>0</v>
      </c>
      <c r="AD16" s="176">
        <f>SUM('7.Transport_AS'!$E25:$H25)</f>
        <v>0</v>
      </c>
      <c r="AE16" s="176">
        <f>'7.Transport_AS'!$I25</f>
        <v>0</v>
      </c>
      <c r="AF16" s="176">
        <f>IF('7.Transport_AS'!$D25=0,0,('7.Transport_AS'!$D25-'7.Transport_AS'!$C25)*Data!$H$15*Data!$B$86)</f>
        <v>0</v>
      </c>
      <c r="AG16" s="176">
        <f>SUM(O16,Q16,S16,U16)*Data!$H$52*Data!$H$53*Data!$C$16</f>
        <v>0</v>
      </c>
      <c r="AH16" s="176">
        <f>($N16*$O16+$P16*$Q16+$R16*$S16+$T16*$U16)*Data!$C$16</f>
        <v>0</v>
      </c>
      <c r="AI16" s="176">
        <f>(O16+Q16+S16+U16)*Data!$H$24*Data!$H$53</f>
        <v>0</v>
      </c>
      <c r="AJ16" s="178">
        <f t="shared" si="12"/>
        <v>0</v>
      </c>
    </row>
    <row r="17" spans="1:36" s="175" customFormat="1" ht="12.95" customHeight="1" x14ac:dyDescent="0.15">
      <c r="A17" s="221">
        <v>11</v>
      </c>
      <c r="B17" s="214">
        <f>'1.Stratégie'!B18</f>
        <v>0</v>
      </c>
      <c r="C17" s="215">
        <f>'1.Stratégie'!J18</f>
        <v>0</v>
      </c>
      <c r="D17" s="227">
        <f t="shared" si="11"/>
        <v>0</v>
      </c>
      <c r="E17" s="847">
        <f>ROUND('1.Stratégie'!$F18*$D$5,0)</f>
        <v>0</v>
      </c>
      <c r="F17" s="228">
        <f>ROUNDUP($E17/($H$41*$E$39),0)+'1.Stratégie'!E18</f>
        <v>0</v>
      </c>
      <c r="G17" s="847">
        <f>ROUND('1.Stratégie'!$G18*$D$5,0)</f>
        <v>0</v>
      </c>
      <c r="H17" s="228">
        <f t="shared" si="0"/>
        <v>0</v>
      </c>
      <c r="I17" s="847">
        <f>ROUND('1.Stratégie'!$H18*$D$5,0)</f>
        <v>0</v>
      </c>
      <c r="J17" s="228">
        <f t="shared" si="1"/>
        <v>0</v>
      </c>
      <c r="K17" s="847">
        <f>ROUND('1.Stratégie'!I18*$D$5,0)</f>
        <v>0</v>
      </c>
      <c r="L17" s="215">
        <f t="shared" si="2"/>
        <v>0</v>
      </c>
      <c r="M17" s="780"/>
      <c r="N17" s="176">
        <f t="shared" si="3"/>
        <v>0</v>
      </c>
      <c r="O17" s="177">
        <f t="shared" si="4"/>
        <v>0</v>
      </c>
      <c r="P17" s="176">
        <f t="shared" si="5"/>
        <v>0</v>
      </c>
      <c r="Q17" s="177">
        <f t="shared" si="6"/>
        <v>0</v>
      </c>
      <c r="R17" s="176">
        <f t="shared" si="7"/>
        <v>0</v>
      </c>
      <c r="S17" s="177">
        <f t="shared" si="8"/>
        <v>0</v>
      </c>
      <c r="T17" s="176">
        <f t="shared" si="9"/>
        <v>0</v>
      </c>
      <c r="U17" s="177">
        <f t="shared" si="10"/>
        <v>0</v>
      </c>
      <c r="W17" s="176">
        <f>$O17*$N17*SUM(Data!$C$13:$C$15)</f>
        <v>0</v>
      </c>
      <c r="X17" s="176">
        <f>$P17*$Q17*SUM(Data!$C$13:$C$15)</f>
        <v>0</v>
      </c>
      <c r="Y17" s="176">
        <f>$R17*$S17*SUM(Data!$C$22:$C$23)</f>
        <v>0</v>
      </c>
      <c r="Z17" s="176">
        <f>$S17*$U17*SUM(Data!$C$22:$C$23)</f>
        <v>0</v>
      </c>
      <c r="AA17" s="176">
        <f>(O17*SUM(Data!$B$13:$B$15)+(Q17+S17+U17)*SUM(Data!$B$22:$B$23))*Data!$H$23</f>
        <v>0</v>
      </c>
      <c r="AB17" s="176">
        <f>IF($C17=0,0,$E$39*Data!$C$31)</f>
        <v>0</v>
      </c>
      <c r="AC17" s="176">
        <f>'3.Personnel'!V18*Data!$H$13*Data!$C$31</f>
        <v>0</v>
      </c>
      <c r="AD17" s="176">
        <f>SUM('7.Transport_AS'!$E26:$H26)</f>
        <v>0</v>
      </c>
      <c r="AE17" s="176">
        <f>'7.Transport_AS'!$I26</f>
        <v>0</v>
      </c>
      <c r="AF17" s="176">
        <f>IF('7.Transport_AS'!$D26=0,0,('7.Transport_AS'!$D26-'7.Transport_AS'!$C26)*Data!$H$15*Data!$B$86)</f>
        <v>0</v>
      </c>
      <c r="AG17" s="176">
        <f>SUM(O17,Q17,S17,U17)*Data!$H$52*Data!$H$53*Data!$C$16</f>
        <v>0</v>
      </c>
      <c r="AH17" s="176">
        <f>($N17*$O17+$P17*$Q17+$R17*$S17+$T17*$U17)*Data!$C$16</f>
        <v>0</v>
      </c>
      <c r="AI17" s="176">
        <f>(O17+Q17+S17+U17)*Data!$H$24*Data!$H$53</f>
        <v>0</v>
      </c>
      <c r="AJ17" s="178">
        <f t="shared" si="12"/>
        <v>0</v>
      </c>
    </row>
    <row r="18" spans="1:36" s="175" customFormat="1" ht="12.95" customHeight="1" x14ac:dyDescent="0.15">
      <c r="A18" s="221">
        <v>12</v>
      </c>
      <c r="B18" s="214">
        <f>'1.Stratégie'!B19</f>
        <v>0</v>
      </c>
      <c r="C18" s="215">
        <f>'1.Stratégie'!J19</f>
        <v>0</v>
      </c>
      <c r="D18" s="227">
        <f t="shared" si="11"/>
        <v>0</v>
      </c>
      <c r="E18" s="847">
        <f>ROUND('1.Stratégie'!$F19*$D$5,0)</f>
        <v>0</v>
      </c>
      <c r="F18" s="228">
        <f>ROUNDUP($E18/($H$41*$E$39),0)+'1.Stratégie'!E19</f>
        <v>0</v>
      </c>
      <c r="G18" s="847">
        <f>ROUND('1.Stratégie'!$G19*$D$5,0)</f>
        <v>0</v>
      </c>
      <c r="H18" s="228">
        <f t="shared" si="0"/>
        <v>0</v>
      </c>
      <c r="I18" s="847">
        <f>ROUND('1.Stratégie'!$H19*$D$5,0)</f>
        <v>0</v>
      </c>
      <c r="J18" s="228">
        <f t="shared" si="1"/>
        <v>0</v>
      </c>
      <c r="K18" s="847">
        <f>ROUND('1.Stratégie'!I19*$D$5,0)</f>
        <v>0</v>
      </c>
      <c r="L18" s="215">
        <f t="shared" si="2"/>
        <v>0</v>
      </c>
      <c r="M18" s="779"/>
      <c r="N18" s="176">
        <f t="shared" si="3"/>
        <v>0</v>
      </c>
      <c r="O18" s="177">
        <f t="shared" si="4"/>
        <v>0</v>
      </c>
      <c r="P18" s="176">
        <f t="shared" si="5"/>
        <v>0</v>
      </c>
      <c r="Q18" s="177">
        <f t="shared" si="6"/>
        <v>0</v>
      </c>
      <c r="R18" s="176">
        <f t="shared" si="7"/>
        <v>0</v>
      </c>
      <c r="S18" s="177">
        <f t="shared" si="8"/>
        <v>0</v>
      </c>
      <c r="T18" s="176">
        <f t="shared" si="9"/>
        <v>0</v>
      </c>
      <c r="U18" s="177">
        <f t="shared" si="10"/>
        <v>0</v>
      </c>
      <c r="W18" s="176">
        <f>$O18*$N18*SUM(Data!$C$13:$C$15)</f>
        <v>0</v>
      </c>
      <c r="X18" s="176">
        <f>$P18*$Q18*SUM(Data!$C$13:$C$15)</f>
        <v>0</v>
      </c>
      <c r="Y18" s="176">
        <f>$R18*$S18*SUM(Data!$C$22:$C$23)</f>
        <v>0</v>
      </c>
      <c r="Z18" s="176">
        <f>$S18*$U18*SUM(Data!$C$22:$C$23)</f>
        <v>0</v>
      </c>
      <c r="AA18" s="176">
        <f>(O18*SUM(Data!$B$13:$B$15)+(Q18+S18+U18)*SUM(Data!$B$22:$B$23))*Data!$H$23</f>
        <v>0</v>
      </c>
      <c r="AB18" s="176">
        <f>IF($C18=0,0,$E$39*Data!$C$31)</f>
        <v>0</v>
      </c>
      <c r="AC18" s="176">
        <f>'3.Personnel'!V19*Data!$H$13*Data!$C$31</f>
        <v>0</v>
      </c>
      <c r="AD18" s="176">
        <f>SUM('7.Transport_AS'!$E27:$H27)</f>
        <v>0</v>
      </c>
      <c r="AE18" s="176">
        <f>'7.Transport_AS'!$I27</f>
        <v>0</v>
      </c>
      <c r="AF18" s="176">
        <f>IF('7.Transport_AS'!$D27=0,0,('7.Transport_AS'!$D27-'7.Transport_AS'!$C27)*Data!$H$15*Data!$B$86)</f>
        <v>0</v>
      </c>
      <c r="AG18" s="176">
        <f>SUM(O18,Q18,S18,U18)*Data!$H$52*Data!$H$53*Data!$C$16</f>
        <v>0</v>
      </c>
      <c r="AH18" s="176">
        <f>($N18*$O18+$P18*$Q18+$R18*$S18+$T18*$U18)*Data!$C$16</f>
        <v>0</v>
      </c>
      <c r="AI18" s="176">
        <f>(O18+Q18+S18+U18)*Data!$H$24*Data!$H$53</f>
        <v>0</v>
      </c>
      <c r="AJ18" s="178">
        <f t="shared" si="12"/>
        <v>0</v>
      </c>
    </row>
    <row r="19" spans="1:36" s="175" customFormat="1" ht="12.95" customHeight="1" x14ac:dyDescent="0.15">
      <c r="A19" s="221">
        <v>13</v>
      </c>
      <c r="B19" s="214">
        <f>'1.Stratégie'!B20</f>
        <v>0</v>
      </c>
      <c r="C19" s="215">
        <f>'1.Stratégie'!J20</f>
        <v>0</v>
      </c>
      <c r="D19" s="227">
        <f t="shared" si="11"/>
        <v>0</v>
      </c>
      <c r="E19" s="847">
        <f>ROUND('1.Stratégie'!$F20*$D$5,0)</f>
        <v>0</v>
      </c>
      <c r="F19" s="228">
        <f>ROUNDUP($E19/($H$41*$E$39),0)+'1.Stratégie'!E20</f>
        <v>0</v>
      </c>
      <c r="G19" s="847">
        <f>ROUND('1.Stratégie'!$G20*$D$5,0)</f>
        <v>0</v>
      </c>
      <c r="H19" s="228">
        <f t="shared" si="0"/>
        <v>0</v>
      </c>
      <c r="I19" s="847">
        <f>ROUND('1.Stratégie'!$H20*$D$5,0)</f>
        <v>0</v>
      </c>
      <c r="J19" s="228">
        <f t="shared" si="1"/>
        <v>0</v>
      </c>
      <c r="K19" s="847">
        <f>ROUND('1.Stratégie'!I20*$D$5,0)</f>
        <v>0</v>
      </c>
      <c r="L19" s="215">
        <f t="shared" si="2"/>
        <v>0</v>
      </c>
      <c r="M19" s="779"/>
      <c r="N19" s="176">
        <f t="shared" si="3"/>
        <v>0</v>
      </c>
      <c r="O19" s="177">
        <f t="shared" si="4"/>
        <v>0</v>
      </c>
      <c r="P19" s="176">
        <f t="shared" si="5"/>
        <v>0</v>
      </c>
      <c r="Q19" s="177">
        <f t="shared" si="6"/>
        <v>0</v>
      </c>
      <c r="R19" s="176">
        <f t="shared" si="7"/>
        <v>0</v>
      </c>
      <c r="S19" s="177">
        <f t="shared" si="8"/>
        <v>0</v>
      </c>
      <c r="T19" s="176">
        <f t="shared" si="9"/>
        <v>0</v>
      </c>
      <c r="U19" s="177">
        <f t="shared" si="10"/>
        <v>0</v>
      </c>
      <c r="W19" s="176">
        <f>$O19*$N19*SUM(Data!$C$13:$C$15)</f>
        <v>0</v>
      </c>
      <c r="X19" s="176">
        <f>$P19*$Q19*SUM(Data!$C$13:$C$15)</f>
        <v>0</v>
      </c>
      <c r="Y19" s="176">
        <f>$R19*$S19*SUM(Data!$C$22:$C$23)</f>
        <v>0</v>
      </c>
      <c r="Z19" s="176">
        <f>$S19*$U19*SUM(Data!$C$22:$C$23)</f>
        <v>0</v>
      </c>
      <c r="AA19" s="176">
        <f>(O19*SUM(Data!$B$13:$B$15)+(Q19+S19+U19)*SUM(Data!$B$22:$B$23))*Data!$H$23</f>
        <v>0</v>
      </c>
      <c r="AB19" s="176">
        <f>IF($C19=0,0,$E$39*Data!$C$31)</f>
        <v>0</v>
      </c>
      <c r="AC19" s="176">
        <f>'3.Personnel'!V20*Data!$H$13*Data!$C$31</f>
        <v>0</v>
      </c>
      <c r="AD19" s="176">
        <f>SUM('7.Transport_AS'!$E28:$H28)</f>
        <v>0</v>
      </c>
      <c r="AE19" s="176">
        <f>'7.Transport_AS'!$I28</f>
        <v>0</v>
      </c>
      <c r="AF19" s="176">
        <f>IF('7.Transport_AS'!$D28=0,0,('7.Transport_AS'!$D28-'7.Transport_AS'!$C28)*Data!$H$15*Data!$B$86)</f>
        <v>0</v>
      </c>
      <c r="AG19" s="176">
        <f>SUM(O19,Q19,S19,U19)*Data!$H$52*Data!$H$53*Data!$C$16</f>
        <v>0</v>
      </c>
      <c r="AH19" s="176">
        <f>($N19*$O19+$P19*$Q19+$R19*$S19+$T19*$U19)*Data!$C$16</f>
        <v>0</v>
      </c>
      <c r="AI19" s="176">
        <f>(O19+Q19+S19+U19)*Data!$H$24*Data!$H$53</f>
        <v>0</v>
      </c>
      <c r="AJ19" s="178">
        <f t="shared" si="12"/>
        <v>0</v>
      </c>
    </row>
    <row r="20" spans="1:36" s="175" customFormat="1" ht="12.95" customHeight="1" x14ac:dyDescent="0.15">
      <c r="A20" s="221">
        <v>14</v>
      </c>
      <c r="B20" s="214">
        <f>'1.Stratégie'!B21</f>
        <v>0</v>
      </c>
      <c r="C20" s="215">
        <f>'1.Stratégie'!J21</f>
        <v>0</v>
      </c>
      <c r="D20" s="227">
        <f t="shared" si="11"/>
        <v>0</v>
      </c>
      <c r="E20" s="847">
        <f>ROUND('1.Stratégie'!$F21*$D$5,0)</f>
        <v>0</v>
      </c>
      <c r="F20" s="228">
        <f>ROUNDUP($E20/($H$41*$E$39),0)+'1.Stratégie'!E21</f>
        <v>0</v>
      </c>
      <c r="G20" s="847">
        <f>ROUND('1.Stratégie'!$G21*$D$5,0)</f>
        <v>0</v>
      </c>
      <c r="H20" s="228">
        <f t="shared" si="0"/>
        <v>0</v>
      </c>
      <c r="I20" s="847">
        <f>ROUND('1.Stratégie'!$H21*$D$5,0)</f>
        <v>0</v>
      </c>
      <c r="J20" s="228">
        <f t="shared" si="1"/>
        <v>0</v>
      </c>
      <c r="K20" s="847">
        <f>ROUND('1.Stratégie'!I21*$D$5,0)</f>
        <v>0</v>
      </c>
      <c r="L20" s="215">
        <f t="shared" si="2"/>
        <v>0</v>
      </c>
      <c r="M20" s="779"/>
      <c r="N20" s="176">
        <f t="shared" si="3"/>
        <v>0</v>
      </c>
      <c r="O20" s="177">
        <f t="shared" si="4"/>
        <v>0</v>
      </c>
      <c r="P20" s="176">
        <f t="shared" si="5"/>
        <v>0</v>
      </c>
      <c r="Q20" s="177">
        <f t="shared" si="6"/>
        <v>0</v>
      </c>
      <c r="R20" s="176">
        <f t="shared" si="7"/>
        <v>0</v>
      </c>
      <c r="S20" s="177">
        <f t="shared" si="8"/>
        <v>0</v>
      </c>
      <c r="T20" s="176">
        <f t="shared" si="9"/>
        <v>0</v>
      </c>
      <c r="U20" s="177">
        <f t="shared" si="10"/>
        <v>0</v>
      </c>
      <c r="W20" s="176">
        <f>$O20*$N20*SUM(Data!$C$13:$C$15)</f>
        <v>0</v>
      </c>
      <c r="X20" s="176">
        <f>$P20*$Q20*SUM(Data!$C$13:$C$15)</f>
        <v>0</v>
      </c>
      <c r="Y20" s="176">
        <f>$R20*$S20*SUM(Data!$C$22:$C$23)</f>
        <v>0</v>
      </c>
      <c r="Z20" s="176">
        <f>$S20*$U20*SUM(Data!$C$22:$C$23)</f>
        <v>0</v>
      </c>
      <c r="AA20" s="176">
        <f>(O20*SUM(Data!$B$13:$B$15)+(Q20+S20+U20)*SUM(Data!$B$22:$B$23))*Data!$H$23</f>
        <v>0</v>
      </c>
      <c r="AB20" s="176">
        <f>IF($C20=0,0,$E$39*Data!$C$31)</f>
        <v>0</v>
      </c>
      <c r="AC20" s="176">
        <f>'3.Personnel'!V21*Data!$H$13*Data!$C$31</f>
        <v>0</v>
      </c>
      <c r="AD20" s="176">
        <f>SUM('7.Transport_AS'!$E29:$H29)</f>
        <v>0</v>
      </c>
      <c r="AE20" s="176">
        <f>'7.Transport_AS'!$I29</f>
        <v>0</v>
      </c>
      <c r="AF20" s="176">
        <f>IF('7.Transport_AS'!$D29=0,0,('7.Transport_AS'!$D29-'7.Transport_AS'!$C29)*Data!$H$15*Data!$B$86)</f>
        <v>0</v>
      </c>
      <c r="AG20" s="176">
        <f>SUM(O20,Q20,S20,U20)*Data!$H$52*Data!$H$53*Data!$C$16</f>
        <v>0</v>
      </c>
      <c r="AH20" s="176">
        <f>($N20*$O20+$P20*$Q20+$R20*$S20+$T20*$U20)*Data!$C$16</f>
        <v>0</v>
      </c>
      <c r="AI20" s="176">
        <f>(O20+Q20+S20+U20)*Data!$H$24*Data!$H$53</f>
        <v>0</v>
      </c>
      <c r="AJ20" s="178">
        <f t="shared" si="12"/>
        <v>0</v>
      </c>
    </row>
    <row r="21" spans="1:36" s="175" customFormat="1" ht="12.95" customHeight="1" x14ac:dyDescent="0.15">
      <c r="A21" s="221">
        <v>15</v>
      </c>
      <c r="B21" s="214">
        <f>'1.Stratégie'!B22</f>
        <v>0</v>
      </c>
      <c r="C21" s="215">
        <f>'1.Stratégie'!J22</f>
        <v>0</v>
      </c>
      <c r="D21" s="227">
        <f t="shared" si="11"/>
        <v>0</v>
      </c>
      <c r="E21" s="847">
        <f>ROUND('1.Stratégie'!$F22*$D$5,0)</f>
        <v>0</v>
      </c>
      <c r="F21" s="228">
        <f>ROUNDUP($E21/($H$41*$E$39),0)+'1.Stratégie'!E22</f>
        <v>0</v>
      </c>
      <c r="G21" s="847">
        <f>ROUND('1.Stratégie'!$G22*$D$5,0)</f>
        <v>0</v>
      </c>
      <c r="H21" s="228">
        <f t="shared" si="0"/>
        <v>0</v>
      </c>
      <c r="I21" s="847">
        <f>ROUND('1.Stratégie'!$H22*$D$5,0)</f>
        <v>0</v>
      </c>
      <c r="J21" s="228">
        <f t="shared" si="1"/>
        <v>0</v>
      </c>
      <c r="K21" s="847">
        <f>ROUND('1.Stratégie'!I22*$D$5,0)</f>
        <v>0</v>
      </c>
      <c r="L21" s="215">
        <f t="shared" si="2"/>
        <v>0</v>
      </c>
      <c r="M21" s="779"/>
      <c r="N21" s="176">
        <f t="shared" si="3"/>
        <v>0</v>
      </c>
      <c r="O21" s="177">
        <f t="shared" si="4"/>
        <v>0</v>
      </c>
      <c r="P21" s="176">
        <f t="shared" si="5"/>
        <v>0</v>
      </c>
      <c r="Q21" s="177">
        <f t="shared" si="6"/>
        <v>0</v>
      </c>
      <c r="R21" s="176">
        <f t="shared" si="7"/>
        <v>0</v>
      </c>
      <c r="S21" s="177">
        <f t="shared" si="8"/>
        <v>0</v>
      </c>
      <c r="T21" s="176">
        <f t="shared" si="9"/>
        <v>0</v>
      </c>
      <c r="U21" s="177">
        <f t="shared" si="10"/>
        <v>0</v>
      </c>
      <c r="W21" s="176">
        <f>$O21*$N21*SUM(Data!$C$13:$C$15)</f>
        <v>0</v>
      </c>
      <c r="X21" s="176">
        <f>$P21*$Q21*SUM(Data!$C$13:$C$15)</f>
        <v>0</v>
      </c>
      <c r="Y21" s="176">
        <f>$R21*$S21*SUM(Data!$C$22:$C$23)</f>
        <v>0</v>
      </c>
      <c r="Z21" s="176">
        <f>$S21*$U21*SUM(Data!$C$22:$C$23)</f>
        <v>0</v>
      </c>
      <c r="AA21" s="176">
        <f>(O21*SUM(Data!$B$13:$B$15)+(Q21+S21+U21)*SUM(Data!$B$22:$B$23))*Data!$H$23</f>
        <v>0</v>
      </c>
      <c r="AB21" s="176">
        <f>IF($C21=0,0,$E$39*Data!$C$31)</f>
        <v>0</v>
      </c>
      <c r="AC21" s="176">
        <f>'3.Personnel'!V22*Data!$H$13*Data!$C$31</f>
        <v>0</v>
      </c>
      <c r="AD21" s="176">
        <f>SUM('7.Transport_AS'!$E30:$H30)</f>
        <v>0</v>
      </c>
      <c r="AE21" s="176">
        <f>'7.Transport_AS'!$I30</f>
        <v>0</v>
      </c>
      <c r="AF21" s="176">
        <f>IF('7.Transport_AS'!$D30=0,0,('7.Transport_AS'!$D30-'7.Transport_AS'!$C30)*Data!$H$15*Data!$B$86)</f>
        <v>0</v>
      </c>
      <c r="AG21" s="176">
        <f>SUM(O21,Q21,S21,U21)*Data!$H$52*Data!$H$53*Data!$C$16</f>
        <v>0</v>
      </c>
      <c r="AH21" s="176">
        <f>($N21*$O21+$P21*$Q21+$R21*$S21+$T21*$U21)*Data!$C$16</f>
        <v>0</v>
      </c>
      <c r="AI21" s="176">
        <f>(O21+Q21+S21+U21)*Data!$H$24*Data!$H$53</f>
        <v>0</v>
      </c>
      <c r="AJ21" s="178">
        <f t="shared" si="12"/>
        <v>0</v>
      </c>
    </row>
    <row r="22" spans="1:36" s="175" customFormat="1" ht="12.95" customHeight="1" x14ac:dyDescent="0.15">
      <c r="A22" s="221">
        <v>16</v>
      </c>
      <c r="B22" s="214">
        <f>'1.Stratégie'!B23</f>
        <v>0</v>
      </c>
      <c r="C22" s="215">
        <f>'1.Stratégie'!J23</f>
        <v>0</v>
      </c>
      <c r="D22" s="227">
        <f t="shared" ref="D22:D36" si="13">SUM(E22,G22,I22,K22)</f>
        <v>0</v>
      </c>
      <c r="E22" s="847">
        <f>ROUND('1.Stratégie'!$F23*$D$5,0)</f>
        <v>0</v>
      </c>
      <c r="F22" s="228">
        <f>ROUNDUP($E22/($H$41*$E$39),0)+'1.Stratégie'!E23</f>
        <v>0</v>
      </c>
      <c r="G22" s="847">
        <f>ROUND('1.Stratégie'!$G23*$D$5,0)</f>
        <v>0</v>
      </c>
      <c r="H22" s="228">
        <f t="shared" si="0"/>
        <v>0</v>
      </c>
      <c r="I22" s="847">
        <f>ROUND('1.Stratégie'!$H23*$D$5,0)</f>
        <v>0</v>
      </c>
      <c r="J22" s="228">
        <f t="shared" si="1"/>
        <v>0</v>
      </c>
      <c r="K22" s="847">
        <f>ROUND('1.Stratégie'!I23*$D$5,0)</f>
        <v>0</v>
      </c>
      <c r="L22" s="215">
        <f t="shared" si="2"/>
        <v>0</v>
      </c>
      <c r="M22" s="779"/>
      <c r="N22" s="176">
        <f t="shared" si="3"/>
        <v>0</v>
      </c>
      <c r="O22" s="177">
        <f t="shared" si="4"/>
        <v>0</v>
      </c>
      <c r="P22" s="176">
        <f t="shared" si="5"/>
        <v>0</v>
      </c>
      <c r="Q22" s="177">
        <f t="shared" si="6"/>
        <v>0</v>
      </c>
      <c r="R22" s="176">
        <f t="shared" si="7"/>
        <v>0</v>
      </c>
      <c r="S22" s="177">
        <f t="shared" si="8"/>
        <v>0</v>
      </c>
      <c r="T22" s="176">
        <f t="shared" si="9"/>
        <v>0</v>
      </c>
      <c r="U22" s="177">
        <f t="shared" si="10"/>
        <v>0</v>
      </c>
      <c r="W22" s="176">
        <f>$O22*$N22*SUM(Data!$C$13:$C$15)</f>
        <v>0</v>
      </c>
      <c r="X22" s="176">
        <f>$P22*$Q22*SUM(Data!$C$13:$C$15)</f>
        <v>0</v>
      </c>
      <c r="Y22" s="176">
        <f>$R22*$S22*SUM(Data!$C$22:$C$23)</f>
        <v>0</v>
      </c>
      <c r="Z22" s="176">
        <f>$S22*$U22*SUM(Data!$C$22:$C$23)</f>
        <v>0</v>
      </c>
      <c r="AA22" s="176">
        <f>(O22*SUM(Data!$B$13:$B$15)+(Q22+S22+U22)*SUM(Data!$B$22:$B$23))*Data!$H$23</f>
        <v>0</v>
      </c>
      <c r="AB22" s="176">
        <f>IF($C22=0,0,$E$39*Data!$C$31)</f>
        <v>0</v>
      </c>
      <c r="AC22" s="176">
        <f>'3.Personnel'!V23*Data!$H$13*Data!$C$31</f>
        <v>0</v>
      </c>
      <c r="AD22" s="176">
        <f>SUM('7.Transport_AS'!$E31:$H31)</f>
        <v>0</v>
      </c>
      <c r="AE22" s="176">
        <f>'7.Transport_AS'!$I31</f>
        <v>0</v>
      </c>
      <c r="AF22" s="176">
        <f>IF('7.Transport_AS'!$D31=0,0,('7.Transport_AS'!$D31-'7.Transport_AS'!$C31)*Data!$H$15*Data!$B$86)</f>
        <v>0</v>
      </c>
      <c r="AG22" s="176">
        <f>SUM(O22,Q22,S22,U22)*Data!$H$52*Data!$H$53*Data!$C$16</f>
        <v>0</v>
      </c>
      <c r="AH22" s="176">
        <f>($N22*$O22+$P22*$Q22+$R22*$S22+$T22*$U22)*Data!$C$16</f>
        <v>0</v>
      </c>
      <c r="AI22" s="176">
        <f>(O22+Q22+S22+U22)*Data!$H$24*Data!$H$53</f>
        <v>0</v>
      </c>
      <c r="AJ22" s="178">
        <f t="shared" si="12"/>
        <v>0</v>
      </c>
    </row>
    <row r="23" spans="1:36" s="175" customFormat="1" ht="12.95" customHeight="1" x14ac:dyDescent="0.15">
      <c r="A23" s="221">
        <v>17</v>
      </c>
      <c r="B23" s="214">
        <f>'1.Stratégie'!B24</f>
        <v>0</v>
      </c>
      <c r="C23" s="215">
        <f>'1.Stratégie'!J24</f>
        <v>0</v>
      </c>
      <c r="D23" s="227">
        <f t="shared" si="13"/>
        <v>0</v>
      </c>
      <c r="E23" s="847">
        <f>ROUND('1.Stratégie'!$F24*$D$5,0)</f>
        <v>0</v>
      </c>
      <c r="F23" s="228">
        <f>ROUNDUP($E23/($H$41*$E$39),0)+'1.Stratégie'!E24</f>
        <v>0</v>
      </c>
      <c r="G23" s="847">
        <f>ROUND('1.Stratégie'!$G24*$D$5,0)</f>
        <v>0</v>
      </c>
      <c r="H23" s="228">
        <f t="shared" si="0"/>
        <v>0</v>
      </c>
      <c r="I23" s="847">
        <f>ROUND('1.Stratégie'!$H24*$D$5,0)</f>
        <v>0</v>
      </c>
      <c r="J23" s="228">
        <f t="shared" si="1"/>
        <v>0</v>
      </c>
      <c r="K23" s="847">
        <f>ROUND('1.Stratégie'!I24*$D$5,0)</f>
        <v>0</v>
      </c>
      <c r="L23" s="215">
        <f t="shared" si="2"/>
        <v>0</v>
      </c>
      <c r="M23" s="779"/>
      <c r="N23" s="176">
        <f t="shared" si="3"/>
        <v>0</v>
      </c>
      <c r="O23" s="177">
        <f t="shared" si="4"/>
        <v>0</v>
      </c>
      <c r="P23" s="176">
        <f t="shared" si="5"/>
        <v>0</v>
      </c>
      <c r="Q23" s="177">
        <f t="shared" si="6"/>
        <v>0</v>
      </c>
      <c r="R23" s="176">
        <f t="shared" si="7"/>
        <v>0</v>
      </c>
      <c r="S23" s="177">
        <f t="shared" si="8"/>
        <v>0</v>
      </c>
      <c r="T23" s="176">
        <f t="shared" si="9"/>
        <v>0</v>
      </c>
      <c r="U23" s="177">
        <f t="shared" si="10"/>
        <v>0</v>
      </c>
      <c r="W23" s="176">
        <f>$O23*$N23*SUM(Data!$C$13:$C$15)</f>
        <v>0</v>
      </c>
      <c r="X23" s="176">
        <f>$P23*$Q23*SUM(Data!$C$13:$C$15)</f>
        <v>0</v>
      </c>
      <c r="Y23" s="176">
        <f>$R23*$S23*SUM(Data!$C$22:$C$23)</f>
        <v>0</v>
      </c>
      <c r="Z23" s="176">
        <f>$S23*$U23*SUM(Data!$C$22:$C$23)</f>
        <v>0</v>
      </c>
      <c r="AA23" s="176">
        <f>(O23*SUM(Data!$B$13:$B$15)+(Q23+S23+U23)*SUM(Data!$B$22:$B$23))*Data!$H$23</f>
        <v>0</v>
      </c>
      <c r="AB23" s="176">
        <f>IF($C23=0,0,$E$39*Data!$C$31)</f>
        <v>0</v>
      </c>
      <c r="AC23" s="176">
        <f>'3.Personnel'!V24*Data!$H$13*Data!$C$31</f>
        <v>0</v>
      </c>
      <c r="AD23" s="176">
        <f>SUM('7.Transport_AS'!$E32:$H32)</f>
        <v>0</v>
      </c>
      <c r="AE23" s="176">
        <f>'7.Transport_AS'!$I32</f>
        <v>0</v>
      </c>
      <c r="AF23" s="176">
        <f>IF('7.Transport_AS'!$D32=0,0,('7.Transport_AS'!$D32-'7.Transport_AS'!$C32)*Data!$H$15*Data!$B$86)</f>
        <v>0</v>
      </c>
      <c r="AG23" s="176">
        <f>SUM(O23,Q23,S23,U23)*Data!$H$52*Data!$H$53*Data!$C$16</f>
        <v>0</v>
      </c>
      <c r="AH23" s="176">
        <f>($N23*$O23+$P23*$Q23+$R23*$S23+$T23*$U23)*Data!$C$16</f>
        <v>0</v>
      </c>
      <c r="AI23" s="176">
        <f>(O23+Q23+S23+U23)*Data!$H$24*Data!$H$53</f>
        <v>0</v>
      </c>
      <c r="AJ23" s="178">
        <f t="shared" si="12"/>
        <v>0</v>
      </c>
    </row>
    <row r="24" spans="1:36" s="175" customFormat="1" ht="12.95" customHeight="1" x14ac:dyDescent="0.15">
      <c r="A24" s="221">
        <v>18</v>
      </c>
      <c r="B24" s="214">
        <f>'1.Stratégie'!B25</f>
        <v>0</v>
      </c>
      <c r="C24" s="215">
        <f>'1.Stratégie'!J25</f>
        <v>0</v>
      </c>
      <c r="D24" s="227">
        <f t="shared" si="13"/>
        <v>0</v>
      </c>
      <c r="E24" s="847">
        <f>ROUND('1.Stratégie'!$F25*$D$5,0)</f>
        <v>0</v>
      </c>
      <c r="F24" s="228">
        <f>ROUNDUP($E24/($H$41*$E$39),0)+'1.Stratégie'!E25</f>
        <v>0</v>
      </c>
      <c r="G24" s="847">
        <f>ROUND('1.Stratégie'!$G25*$D$5,0)</f>
        <v>0</v>
      </c>
      <c r="H24" s="228">
        <f t="shared" si="0"/>
        <v>0</v>
      </c>
      <c r="I24" s="847">
        <f>ROUND('1.Stratégie'!$H25*$D$5,0)</f>
        <v>0</v>
      </c>
      <c r="J24" s="228">
        <f t="shared" si="1"/>
        <v>0</v>
      </c>
      <c r="K24" s="847">
        <f>ROUND('1.Stratégie'!I25*$D$5,0)</f>
        <v>0</v>
      </c>
      <c r="L24" s="215">
        <f t="shared" si="2"/>
        <v>0</v>
      </c>
      <c r="M24" s="779"/>
      <c r="N24" s="176">
        <f t="shared" si="3"/>
        <v>0</v>
      </c>
      <c r="O24" s="177">
        <f t="shared" si="4"/>
        <v>0</v>
      </c>
      <c r="P24" s="176">
        <f t="shared" si="5"/>
        <v>0</v>
      </c>
      <c r="Q24" s="177">
        <f t="shared" si="6"/>
        <v>0</v>
      </c>
      <c r="R24" s="176">
        <f t="shared" si="7"/>
        <v>0</v>
      </c>
      <c r="S24" s="177">
        <f t="shared" si="8"/>
        <v>0</v>
      </c>
      <c r="T24" s="176">
        <f t="shared" si="9"/>
        <v>0</v>
      </c>
      <c r="U24" s="177">
        <f t="shared" si="10"/>
        <v>0</v>
      </c>
      <c r="W24" s="176">
        <f>$O24*$N24*SUM(Data!$C$13:$C$15)</f>
        <v>0</v>
      </c>
      <c r="X24" s="176">
        <f>$P24*$Q24*SUM(Data!$C$13:$C$15)</f>
        <v>0</v>
      </c>
      <c r="Y24" s="176">
        <f>$R24*$S24*SUM(Data!$C$22:$C$23)</f>
        <v>0</v>
      </c>
      <c r="Z24" s="176">
        <f>$S24*$U24*SUM(Data!$C$22:$C$23)</f>
        <v>0</v>
      </c>
      <c r="AA24" s="176">
        <f>(O24*SUM(Data!$B$13:$B$15)+(Q24+S24+U24)*SUM(Data!$B$22:$B$23))*Data!$H$23</f>
        <v>0</v>
      </c>
      <c r="AB24" s="176">
        <f>IF($C24=0,0,$E$39*Data!$C$31)</f>
        <v>0</v>
      </c>
      <c r="AC24" s="176">
        <f>'3.Personnel'!V25*Data!$H$13*Data!$C$31</f>
        <v>0</v>
      </c>
      <c r="AD24" s="176">
        <f>SUM('7.Transport_AS'!$E33:$H33)</f>
        <v>0</v>
      </c>
      <c r="AE24" s="176">
        <f>'7.Transport_AS'!$I33</f>
        <v>0</v>
      </c>
      <c r="AF24" s="176">
        <f>IF('7.Transport_AS'!$D33=0,0,('7.Transport_AS'!$D33-'7.Transport_AS'!$C33)*Data!$H$15*Data!$B$86)</f>
        <v>0</v>
      </c>
      <c r="AG24" s="176">
        <f>SUM(O24,Q24,S24,U24)*Data!$H$52*Data!$H$53*Data!$C$16</f>
        <v>0</v>
      </c>
      <c r="AH24" s="176">
        <f>($N24*$O24+$P24*$Q24+$R24*$S24+$T24*$U24)*Data!$C$16</f>
        <v>0</v>
      </c>
      <c r="AI24" s="176">
        <f>(O24+Q24+S24+U24)*Data!$H$24*Data!$H$53</f>
        <v>0</v>
      </c>
      <c r="AJ24" s="178">
        <f t="shared" si="12"/>
        <v>0</v>
      </c>
    </row>
    <row r="25" spans="1:36" s="175" customFormat="1" ht="12.95" customHeight="1" x14ac:dyDescent="0.15">
      <c r="A25" s="221">
        <v>19</v>
      </c>
      <c r="B25" s="214">
        <f>'1.Stratégie'!B26</f>
        <v>0</v>
      </c>
      <c r="C25" s="215">
        <f>'1.Stratégie'!J26</f>
        <v>0</v>
      </c>
      <c r="D25" s="227">
        <f t="shared" si="13"/>
        <v>0</v>
      </c>
      <c r="E25" s="847">
        <f>ROUND('1.Stratégie'!$F26*$D$5,0)</f>
        <v>0</v>
      </c>
      <c r="F25" s="228">
        <f>ROUNDUP($E25/($H$41*$E$39),0)+'1.Stratégie'!E26</f>
        <v>0</v>
      </c>
      <c r="G25" s="847">
        <f>ROUND('1.Stratégie'!$G26*$D$5,0)</f>
        <v>0</v>
      </c>
      <c r="H25" s="228">
        <f t="shared" si="0"/>
        <v>0</v>
      </c>
      <c r="I25" s="847">
        <f>ROUND('1.Stratégie'!$H26*$D$5,0)</f>
        <v>0</v>
      </c>
      <c r="J25" s="228">
        <f t="shared" si="1"/>
        <v>0</v>
      </c>
      <c r="K25" s="847">
        <f>ROUND('1.Stratégie'!I26*$D$5,0)</f>
        <v>0</v>
      </c>
      <c r="L25" s="215">
        <f t="shared" si="2"/>
        <v>0</v>
      </c>
      <c r="M25" s="779"/>
      <c r="N25" s="176">
        <f t="shared" si="3"/>
        <v>0</v>
      </c>
      <c r="O25" s="177">
        <f t="shared" si="4"/>
        <v>0</v>
      </c>
      <c r="P25" s="176">
        <f t="shared" si="5"/>
        <v>0</v>
      </c>
      <c r="Q25" s="177">
        <f t="shared" si="6"/>
        <v>0</v>
      </c>
      <c r="R25" s="176">
        <f t="shared" si="7"/>
        <v>0</v>
      </c>
      <c r="S25" s="177">
        <f t="shared" si="8"/>
        <v>0</v>
      </c>
      <c r="T25" s="176">
        <f t="shared" si="9"/>
        <v>0</v>
      </c>
      <c r="U25" s="177">
        <f t="shared" si="10"/>
        <v>0</v>
      </c>
      <c r="W25" s="176">
        <f>$O25*$N25*SUM(Data!$C$13:$C$15)</f>
        <v>0</v>
      </c>
      <c r="X25" s="176">
        <f>$P25*$Q25*SUM(Data!$C$13:$C$15)</f>
        <v>0</v>
      </c>
      <c r="Y25" s="176">
        <f>$R25*$S25*SUM(Data!$C$22:$C$23)</f>
        <v>0</v>
      </c>
      <c r="Z25" s="176">
        <f>$S25*$U25*SUM(Data!$C$22:$C$23)</f>
        <v>0</v>
      </c>
      <c r="AA25" s="176">
        <f>(O25*SUM(Data!$B$13:$B$15)+(Q25+S25+U25)*SUM(Data!$B$22:$B$23))*Data!$H$23</f>
        <v>0</v>
      </c>
      <c r="AB25" s="176">
        <f>IF($C25=0,0,$E$39*Data!$C$31)</f>
        <v>0</v>
      </c>
      <c r="AC25" s="176">
        <f>'3.Personnel'!V26*Data!$H$13*Data!$C$31</f>
        <v>0</v>
      </c>
      <c r="AD25" s="176">
        <f>SUM('7.Transport_AS'!$E34:$H34)</f>
        <v>0</v>
      </c>
      <c r="AE25" s="176">
        <f>'7.Transport_AS'!$I34</f>
        <v>0</v>
      </c>
      <c r="AF25" s="176">
        <f>IF('7.Transport_AS'!$D34=0,0,('7.Transport_AS'!$D34-'7.Transport_AS'!$C34)*Data!$H$15*Data!$B$86)</f>
        <v>0</v>
      </c>
      <c r="AG25" s="176">
        <f>SUM(O25,Q25,S25,U25)*Data!$H$52*Data!$H$53*Data!$C$16</f>
        <v>0</v>
      </c>
      <c r="AH25" s="176">
        <f>($N25*$O25+$P25*$Q25+$R25*$S25+$T25*$U25)*Data!$C$16</f>
        <v>0</v>
      </c>
      <c r="AI25" s="176">
        <f>(O25+Q25+S25+U25)*Data!$H$24*Data!$H$53</f>
        <v>0</v>
      </c>
      <c r="AJ25" s="178">
        <f t="shared" si="12"/>
        <v>0</v>
      </c>
    </row>
    <row r="26" spans="1:36" s="175" customFormat="1" ht="12.95" customHeight="1" x14ac:dyDescent="0.15">
      <c r="A26" s="221">
        <v>20</v>
      </c>
      <c r="B26" s="214">
        <f>'1.Stratégie'!B27</f>
        <v>0</v>
      </c>
      <c r="C26" s="215">
        <f>'1.Stratégie'!J27</f>
        <v>0</v>
      </c>
      <c r="D26" s="227">
        <f t="shared" si="13"/>
        <v>0</v>
      </c>
      <c r="E26" s="847">
        <f>ROUND('1.Stratégie'!$F27*$D$5,0)</f>
        <v>0</v>
      </c>
      <c r="F26" s="228">
        <f>ROUNDUP($E26/($H$41*$E$39),0)+'1.Stratégie'!E27</f>
        <v>0</v>
      </c>
      <c r="G26" s="847">
        <f>ROUND('1.Stratégie'!$G27*$D$5,0)</f>
        <v>0</v>
      </c>
      <c r="H26" s="228">
        <f t="shared" si="0"/>
        <v>0</v>
      </c>
      <c r="I26" s="847">
        <f>ROUND('1.Stratégie'!$H27*$D$5,0)</f>
        <v>0</v>
      </c>
      <c r="J26" s="228">
        <f t="shared" si="1"/>
        <v>0</v>
      </c>
      <c r="K26" s="847">
        <f>ROUND('1.Stratégie'!I27*$D$5,0)</f>
        <v>0</v>
      </c>
      <c r="L26" s="215">
        <f t="shared" si="2"/>
        <v>0</v>
      </c>
      <c r="M26" s="779"/>
      <c r="N26" s="176">
        <f t="shared" si="3"/>
        <v>0</v>
      </c>
      <c r="O26" s="177">
        <f t="shared" si="4"/>
        <v>0</v>
      </c>
      <c r="P26" s="176">
        <f t="shared" si="5"/>
        <v>0</v>
      </c>
      <c r="Q26" s="177">
        <f t="shared" si="6"/>
        <v>0</v>
      </c>
      <c r="R26" s="176">
        <f t="shared" si="7"/>
        <v>0</v>
      </c>
      <c r="S26" s="177">
        <f t="shared" si="8"/>
        <v>0</v>
      </c>
      <c r="T26" s="176">
        <f t="shared" si="9"/>
        <v>0</v>
      </c>
      <c r="U26" s="177">
        <f t="shared" si="10"/>
        <v>0</v>
      </c>
      <c r="W26" s="176">
        <f>$O26*$N26*SUM(Data!$C$13:$C$15)</f>
        <v>0</v>
      </c>
      <c r="X26" s="176">
        <f>$P26*$Q26*SUM(Data!$C$13:$C$15)</f>
        <v>0</v>
      </c>
      <c r="Y26" s="176">
        <f>$R26*$S26*SUM(Data!$C$22:$C$23)</f>
        <v>0</v>
      </c>
      <c r="Z26" s="176">
        <f>$S26*$U26*SUM(Data!$C$22:$C$23)</f>
        <v>0</v>
      </c>
      <c r="AA26" s="176">
        <f>(O26*SUM(Data!$B$13:$B$15)+(Q26+S26+U26)*SUM(Data!$B$22:$B$23))*Data!$H$23</f>
        <v>0</v>
      </c>
      <c r="AB26" s="176">
        <f>IF($C26=0,0,$E$39*Data!$C$31)</f>
        <v>0</v>
      </c>
      <c r="AC26" s="176">
        <f>'3.Personnel'!V27*Data!$H$13*Data!$C$31</f>
        <v>0</v>
      </c>
      <c r="AD26" s="176">
        <f>SUM('7.Transport_AS'!$E35:$H35)</f>
        <v>0</v>
      </c>
      <c r="AE26" s="176">
        <f>'7.Transport_AS'!$I35</f>
        <v>0</v>
      </c>
      <c r="AF26" s="176">
        <f>IF('7.Transport_AS'!$D35=0,0,('7.Transport_AS'!$D35-'7.Transport_AS'!$C35)*Data!$H$15*Data!$B$86)</f>
        <v>0</v>
      </c>
      <c r="AG26" s="176">
        <f>SUM(O26,Q26,S26,U26)*Data!$H$52*Data!$H$53*Data!$C$16</f>
        <v>0</v>
      </c>
      <c r="AH26" s="176">
        <f>($N26*$O26+$P26*$Q26+$R26*$S26+$T26*$U26)*Data!$C$16</f>
        <v>0</v>
      </c>
      <c r="AI26" s="176">
        <f>(O26+Q26+S26+U26)*Data!$H$24*Data!$H$53</f>
        <v>0</v>
      </c>
      <c r="AJ26" s="178">
        <f t="shared" si="12"/>
        <v>0</v>
      </c>
    </row>
    <row r="27" spans="1:36" s="175" customFormat="1" ht="12.95" customHeight="1" x14ac:dyDescent="0.15">
      <c r="A27" s="221">
        <v>21</v>
      </c>
      <c r="B27" s="214">
        <f>'1.Stratégie'!B28</f>
        <v>0</v>
      </c>
      <c r="C27" s="215">
        <f>'1.Stratégie'!J28</f>
        <v>0</v>
      </c>
      <c r="D27" s="227">
        <f t="shared" si="13"/>
        <v>0</v>
      </c>
      <c r="E27" s="847">
        <f>ROUND('1.Stratégie'!$F28*$D$5,0)</f>
        <v>0</v>
      </c>
      <c r="F27" s="228">
        <f>ROUNDUP($E27/($H$41*$E$39),0)+'1.Stratégie'!E28</f>
        <v>0</v>
      </c>
      <c r="G27" s="847">
        <f>ROUND('1.Stratégie'!$G28*$D$5,0)</f>
        <v>0</v>
      </c>
      <c r="H27" s="228">
        <f t="shared" si="0"/>
        <v>0</v>
      </c>
      <c r="I27" s="847">
        <f>ROUND('1.Stratégie'!$H28*$D$5,0)</f>
        <v>0</v>
      </c>
      <c r="J27" s="228">
        <f t="shared" si="1"/>
        <v>0</v>
      </c>
      <c r="K27" s="847">
        <f>ROUND('1.Stratégie'!I28*$D$5,0)</f>
        <v>0</v>
      </c>
      <c r="L27" s="215">
        <f t="shared" si="2"/>
        <v>0</v>
      </c>
      <c r="M27" s="779"/>
      <c r="N27" s="176">
        <f t="shared" si="3"/>
        <v>0</v>
      </c>
      <c r="O27" s="177">
        <f t="shared" si="4"/>
        <v>0</v>
      </c>
      <c r="P27" s="176">
        <f t="shared" si="5"/>
        <v>0</v>
      </c>
      <c r="Q27" s="177">
        <f t="shared" si="6"/>
        <v>0</v>
      </c>
      <c r="R27" s="176">
        <f t="shared" si="7"/>
        <v>0</v>
      </c>
      <c r="S27" s="177">
        <f t="shared" si="8"/>
        <v>0</v>
      </c>
      <c r="T27" s="176">
        <f t="shared" si="9"/>
        <v>0</v>
      </c>
      <c r="U27" s="177">
        <f t="shared" si="10"/>
        <v>0</v>
      </c>
      <c r="W27" s="176">
        <f>$O27*$N27*SUM(Data!$C$13:$C$15)</f>
        <v>0</v>
      </c>
      <c r="X27" s="176">
        <f>$P27*$Q27*SUM(Data!$C$13:$C$15)</f>
        <v>0</v>
      </c>
      <c r="Y27" s="176">
        <f>$R27*$S27*SUM(Data!$C$22:$C$23)</f>
        <v>0</v>
      </c>
      <c r="Z27" s="176">
        <f>$S27*$U27*SUM(Data!$C$22:$C$23)</f>
        <v>0</v>
      </c>
      <c r="AA27" s="176">
        <f>(O27*SUM(Data!$B$13:$B$15)+(Q27+S27+U27)*SUM(Data!$B$22:$B$23))*Data!$H$23</f>
        <v>0</v>
      </c>
      <c r="AB27" s="176">
        <f>IF($C27=0,0,$E$39*Data!$C$31)</f>
        <v>0</v>
      </c>
      <c r="AC27" s="176">
        <f>'3.Personnel'!V28*Data!$H$13*Data!$C$31</f>
        <v>0</v>
      </c>
      <c r="AD27" s="176">
        <f>SUM('7.Transport_AS'!$E36:$H36)</f>
        <v>0</v>
      </c>
      <c r="AE27" s="176">
        <f>'7.Transport_AS'!$I36</f>
        <v>0</v>
      </c>
      <c r="AF27" s="176">
        <f>IF('7.Transport_AS'!$D36=0,0,('7.Transport_AS'!$D36-'7.Transport_AS'!$C36)*Data!$H$15*Data!$B$86)</f>
        <v>0</v>
      </c>
      <c r="AG27" s="176">
        <f>SUM(O27,Q27,S27,U27)*Data!$H$52*Data!$H$53*Data!$C$16</f>
        <v>0</v>
      </c>
      <c r="AH27" s="176">
        <f>($N27*$O27+$P27*$Q27+$R27*$S27+$T27*$U27)*Data!$C$16</f>
        <v>0</v>
      </c>
      <c r="AI27" s="176">
        <f>(O27+Q27+S27+U27)*Data!$H$24*Data!$H$53</f>
        <v>0</v>
      </c>
      <c r="AJ27" s="178">
        <f t="shared" si="12"/>
        <v>0</v>
      </c>
    </row>
    <row r="28" spans="1:36" s="175" customFormat="1" ht="12.95" customHeight="1" x14ac:dyDescent="0.15">
      <c r="A28" s="221">
        <v>22</v>
      </c>
      <c r="B28" s="214">
        <f>'1.Stratégie'!B29</f>
        <v>0</v>
      </c>
      <c r="C28" s="215">
        <f>'1.Stratégie'!J29</f>
        <v>0</v>
      </c>
      <c r="D28" s="227">
        <f t="shared" si="13"/>
        <v>0</v>
      </c>
      <c r="E28" s="847">
        <f>ROUND('1.Stratégie'!$F29*$D$5,0)</f>
        <v>0</v>
      </c>
      <c r="F28" s="228">
        <f>ROUNDUP($E28/($H$41*$E$39),0)+'1.Stratégie'!E29</f>
        <v>0</v>
      </c>
      <c r="G28" s="847">
        <f>ROUND('1.Stratégie'!$G29*$D$5,0)</f>
        <v>0</v>
      </c>
      <c r="H28" s="228">
        <f t="shared" si="0"/>
        <v>0</v>
      </c>
      <c r="I28" s="847">
        <f>ROUND('1.Stratégie'!$H29*$D$5,0)</f>
        <v>0</v>
      </c>
      <c r="J28" s="228">
        <f t="shared" si="1"/>
        <v>0</v>
      </c>
      <c r="K28" s="847">
        <f>ROUND('1.Stratégie'!I29*$D$5,0)</f>
        <v>0</v>
      </c>
      <c r="L28" s="215">
        <f t="shared" si="2"/>
        <v>0</v>
      </c>
      <c r="M28" s="779"/>
      <c r="N28" s="176">
        <f t="shared" si="3"/>
        <v>0</v>
      </c>
      <c r="O28" s="177">
        <f t="shared" si="4"/>
        <v>0</v>
      </c>
      <c r="P28" s="176">
        <f t="shared" si="5"/>
        <v>0</v>
      </c>
      <c r="Q28" s="177">
        <f t="shared" si="6"/>
        <v>0</v>
      </c>
      <c r="R28" s="176">
        <f t="shared" si="7"/>
        <v>0</v>
      </c>
      <c r="S28" s="177">
        <f t="shared" si="8"/>
        <v>0</v>
      </c>
      <c r="T28" s="176">
        <f t="shared" si="9"/>
        <v>0</v>
      </c>
      <c r="U28" s="177">
        <f t="shared" si="10"/>
        <v>0</v>
      </c>
      <c r="W28" s="176">
        <f>$O28*$N28*SUM(Data!$C$13:$C$15)</f>
        <v>0</v>
      </c>
      <c r="X28" s="176">
        <f>$P28*$Q28*SUM(Data!$C$13:$C$15)</f>
        <v>0</v>
      </c>
      <c r="Y28" s="176">
        <f>$R28*$S28*SUM(Data!$C$22:$C$23)</f>
        <v>0</v>
      </c>
      <c r="Z28" s="176">
        <f>$S28*$U28*SUM(Data!$C$22:$C$23)</f>
        <v>0</v>
      </c>
      <c r="AA28" s="176">
        <f>(O28*SUM(Data!$B$13:$B$15)+(Q28+S28+U28)*SUM(Data!$B$22:$B$23))*Data!$H$23</f>
        <v>0</v>
      </c>
      <c r="AB28" s="176">
        <f>IF($C28=0,0,$E$39*Data!$C$31)</f>
        <v>0</v>
      </c>
      <c r="AC28" s="176">
        <f>'3.Personnel'!V29*Data!$H$13*Data!$C$31</f>
        <v>0</v>
      </c>
      <c r="AD28" s="176">
        <f>SUM('7.Transport_AS'!$E37:$H37)</f>
        <v>0</v>
      </c>
      <c r="AE28" s="176">
        <f>'7.Transport_AS'!$I37</f>
        <v>0</v>
      </c>
      <c r="AF28" s="176">
        <f>IF('7.Transport_AS'!$D37=0,0,('7.Transport_AS'!$D37-'7.Transport_AS'!$C37)*Data!$H$15*Data!$B$86)</f>
        <v>0</v>
      </c>
      <c r="AG28" s="176">
        <f>SUM(O28,Q28,S28,U28)*Data!$H$52*Data!$H$53*Data!$C$16</f>
        <v>0</v>
      </c>
      <c r="AH28" s="176">
        <f>($N28*$O28+$P28*$Q28+$R28*$S28+$T28*$U28)*Data!$C$16</f>
        <v>0</v>
      </c>
      <c r="AI28" s="176">
        <f>(O28+Q28+S28+U28)*Data!$H$24*Data!$H$53</f>
        <v>0</v>
      </c>
      <c r="AJ28" s="178">
        <f t="shared" si="12"/>
        <v>0</v>
      </c>
    </row>
    <row r="29" spans="1:36" s="175" customFormat="1" ht="12.95" customHeight="1" x14ac:dyDescent="0.15">
      <c r="A29" s="221">
        <v>23</v>
      </c>
      <c r="B29" s="214">
        <f>'1.Stratégie'!B30</f>
        <v>0</v>
      </c>
      <c r="C29" s="215">
        <f>'1.Stratégie'!J30</f>
        <v>0</v>
      </c>
      <c r="D29" s="227">
        <f t="shared" si="13"/>
        <v>0</v>
      </c>
      <c r="E29" s="847">
        <f>ROUND('1.Stratégie'!$F30*$D$5,0)</f>
        <v>0</v>
      </c>
      <c r="F29" s="228">
        <f>ROUNDUP($E29/($H$41*$E$39),0)+'1.Stratégie'!E30</f>
        <v>0</v>
      </c>
      <c r="G29" s="847">
        <f>ROUND('1.Stratégie'!$G30*$D$5,0)</f>
        <v>0</v>
      </c>
      <c r="H29" s="228">
        <f t="shared" si="0"/>
        <v>0</v>
      </c>
      <c r="I29" s="847">
        <f>ROUND('1.Stratégie'!$H30*$D$5,0)</f>
        <v>0</v>
      </c>
      <c r="J29" s="228">
        <f t="shared" si="1"/>
        <v>0</v>
      </c>
      <c r="K29" s="847">
        <f>ROUND('1.Stratégie'!I30*$D$5,0)</f>
        <v>0</v>
      </c>
      <c r="L29" s="215">
        <f t="shared" si="2"/>
        <v>0</v>
      </c>
      <c r="M29" s="779"/>
      <c r="N29" s="176">
        <f t="shared" si="3"/>
        <v>0</v>
      </c>
      <c r="O29" s="177">
        <f t="shared" si="4"/>
        <v>0</v>
      </c>
      <c r="P29" s="176">
        <f t="shared" si="5"/>
        <v>0</v>
      </c>
      <c r="Q29" s="177">
        <f t="shared" si="6"/>
        <v>0</v>
      </c>
      <c r="R29" s="176">
        <f t="shared" si="7"/>
        <v>0</v>
      </c>
      <c r="S29" s="177">
        <f t="shared" si="8"/>
        <v>0</v>
      </c>
      <c r="T29" s="176">
        <f t="shared" si="9"/>
        <v>0</v>
      </c>
      <c r="U29" s="177">
        <f t="shared" si="10"/>
        <v>0</v>
      </c>
      <c r="W29" s="176">
        <f>$O29*$N29*SUM(Data!$C$13:$C$15)</f>
        <v>0</v>
      </c>
      <c r="X29" s="176">
        <f>$P29*$Q29*SUM(Data!$C$13:$C$15)</f>
        <v>0</v>
      </c>
      <c r="Y29" s="176">
        <f>$R29*$S29*SUM(Data!$C$22:$C$23)</f>
        <v>0</v>
      </c>
      <c r="Z29" s="176">
        <f>$S29*$U29*SUM(Data!$C$22:$C$23)</f>
        <v>0</v>
      </c>
      <c r="AA29" s="176">
        <f>(O29*SUM(Data!$B$13:$B$15)+(Q29+S29+U29)*SUM(Data!$B$22:$B$23))*Data!$H$23</f>
        <v>0</v>
      </c>
      <c r="AB29" s="176">
        <f>IF($C29=0,0,$E$39*Data!$C$31)</f>
        <v>0</v>
      </c>
      <c r="AC29" s="176">
        <f>'3.Personnel'!V30*Data!$H$13*Data!$C$31</f>
        <v>0</v>
      </c>
      <c r="AD29" s="176">
        <f>SUM('7.Transport_AS'!$E38:$H38)</f>
        <v>0</v>
      </c>
      <c r="AE29" s="176">
        <f>'7.Transport_AS'!$I38</f>
        <v>0</v>
      </c>
      <c r="AF29" s="176">
        <f>IF('7.Transport_AS'!$D38=0,0,('7.Transport_AS'!$D38-'7.Transport_AS'!$C38)*Data!$H$15*Data!$B$86)</f>
        <v>0</v>
      </c>
      <c r="AG29" s="176">
        <f>SUM(O29,Q29,S29,U29)*Data!$H$52*Data!$H$53*Data!$C$16</f>
        <v>0</v>
      </c>
      <c r="AH29" s="176">
        <f>($N29*$O29+$P29*$Q29+$R29*$S29+$T29*$U29)*Data!$C$16</f>
        <v>0</v>
      </c>
      <c r="AI29" s="176">
        <f>(O29+Q29+S29+U29)*Data!$H$24*Data!$H$53</f>
        <v>0</v>
      </c>
      <c r="AJ29" s="178">
        <f t="shared" si="12"/>
        <v>0</v>
      </c>
    </row>
    <row r="30" spans="1:36" s="175" customFormat="1" ht="12.95" customHeight="1" x14ac:dyDescent="0.15">
      <c r="A30" s="221">
        <v>24</v>
      </c>
      <c r="B30" s="214">
        <f>'1.Stratégie'!B31</f>
        <v>0</v>
      </c>
      <c r="C30" s="215">
        <f>'1.Stratégie'!J31</f>
        <v>0</v>
      </c>
      <c r="D30" s="227">
        <f t="shared" si="13"/>
        <v>0</v>
      </c>
      <c r="E30" s="847">
        <f>ROUND('1.Stratégie'!$F31*$D$5,0)</f>
        <v>0</v>
      </c>
      <c r="F30" s="228">
        <f>ROUNDUP($E30/($H$41*$E$39),0)+'1.Stratégie'!E31</f>
        <v>0</v>
      </c>
      <c r="G30" s="847">
        <f>ROUND('1.Stratégie'!$G31*$D$5,0)</f>
        <v>0</v>
      </c>
      <c r="H30" s="228">
        <f t="shared" si="0"/>
        <v>0</v>
      </c>
      <c r="I30" s="847">
        <f>ROUND('1.Stratégie'!$H31*$D$5,0)</f>
        <v>0</v>
      </c>
      <c r="J30" s="228">
        <f t="shared" si="1"/>
        <v>0</v>
      </c>
      <c r="K30" s="847">
        <f>ROUND('1.Stratégie'!I31*$D$5,0)</f>
        <v>0</v>
      </c>
      <c r="L30" s="215">
        <f t="shared" si="2"/>
        <v>0</v>
      </c>
      <c r="M30" s="779"/>
      <c r="N30" s="176">
        <f t="shared" si="3"/>
        <v>0</v>
      </c>
      <c r="O30" s="177">
        <f t="shared" si="4"/>
        <v>0</v>
      </c>
      <c r="P30" s="176">
        <f t="shared" si="5"/>
        <v>0</v>
      </c>
      <c r="Q30" s="177">
        <f t="shared" si="6"/>
        <v>0</v>
      </c>
      <c r="R30" s="176">
        <f t="shared" si="7"/>
        <v>0</v>
      </c>
      <c r="S30" s="177">
        <f t="shared" si="8"/>
        <v>0</v>
      </c>
      <c r="T30" s="176">
        <f t="shared" si="9"/>
        <v>0</v>
      </c>
      <c r="U30" s="177">
        <f t="shared" si="10"/>
        <v>0</v>
      </c>
      <c r="W30" s="176">
        <f>$O30*$N30*SUM(Data!$C$13:$C$15)</f>
        <v>0</v>
      </c>
      <c r="X30" s="176">
        <f>$P30*$Q30*SUM(Data!$C$13:$C$15)</f>
        <v>0</v>
      </c>
      <c r="Y30" s="176">
        <f>$R30*$S30*SUM(Data!$C$22:$C$23)</f>
        <v>0</v>
      </c>
      <c r="Z30" s="176">
        <f>$S30*$U30*SUM(Data!$C$22:$C$23)</f>
        <v>0</v>
      </c>
      <c r="AA30" s="176">
        <f>(O30*SUM(Data!$B$13:$B$15)+(Q30+S30+U30)*SUM(Data!$B$22:$B$23))*Data!$H$23</f>
        <v>0</v>
      </c>
      <c r="AB30" s="176">
        <f>IF($C30=0,0,$E$39*Data!$C$31)</f>
        <v>0</v>
      </c>
      <c r="AC30" s="176">
        <f>'3.Personnel'!V31*Data!$H$13*Data!$C$31</f>
        <v>0</v>
      </c>
      <c r="AD30" s="176">
        <f>SUM('7.Transport_AS'!$E39:$H39)</f>
        <v>0</v>
      </c>
      <c r="AE30" s="176">
        <f>'7.Transport_AS'!$I39</f>
        <v>0</v>
      </c>
      <c r="AF30" s="176">
        <f>IF('7.Transport_AS'!$D39=0,0,('7.Transport_AS'!$D39-'7.Transport_AS'!$C39)*Data!$H$15*Data!$B$86)</f>
        <v>0</v>
      </c>
      <c r="AG30" s="176">
        <f>SUM(O30,Q30,S30,U30)*Data!$H$52*Data!$H$53*Data!$C$16</f>
        <v>0</v>
      </c>
      <c r="AH30" s="176">
        <f>($N30*$O30+$P30*$Q30+$R30*$S30+$T30*$U30)*Data!$C$16</f>
        <v>0</v>
      </c>
      <c r="AI30" s="176">
        <f>(O30+Q30+S30+U30)*Data!$H$24*Data!$H$53</f>
        <v>0</v>
      </c>
      <c r="AJ30" s="178">
        <f t="shared" si="12"/>
        <v>0</v>
      </c>
    </row>
    <row r="31" spans="1:36" s="175" customFormat="1" ht="12.95" customHeight="1" x14ac:dyDescent="0.15">
      <c r="A31" s="221">
        <v>25</v>
      </c>
      <c r="B31" s="214">
        <f>'1.Stratégie'!B32</f>
        <v>0</v>
      </c>
      <c r="C31" s="215">
        <f>'1.Stratégie'!J32</f>
        <v>0</v>
      </c>
      <c r="D31" s="227">
        <f t="shared" si="13"/>
        <v>0</v>
      </c>
      <c r="E31" s="847">
        <f>ROUND('1.Stratégie'!$F32*$D$5,0)</f>
        <v>0</v>
      </c>
      <c r="F31" s="228">
        <f>ROUNDUP($E31/($H$41*$E$39),0)+'1.Stratégie'!E32</f>
        <v>0</v>
      </c>
      <c r="G31" s="847">
        <f>ROUND('1.Stratégie'!$G32*$D$5,0)</f>
        <v>0</v>
      </c>
      <c r="H31" s="228">
        <f t="shared" si="0"/>
        <v>0</v>
      </c>
      <c r="I31" s="847">
        <f>ROUND('1.Stratégie'!$H32*$D$5,0)</f>
        <v>0</v>
      </c>
      <c r="J31" s="228">
        <f t="shared" si="1"/>
        <v>0</v>
      </c>
      <c r="K31" s="847">
        <f>ROUND('1.Stratégie'!I32*$D$5,0)</f>
        <v>0</v>
      </c>
      <c r="L31" s="215">
        <f t="shared" si="2"/>
        <v>0</v>
      </c>
      <c r="M31" s="779"/>
      <c r="N31" s="176">
        <f t="shared" si="3"/>
        <v>0</v>
      </c>
      <c r="O31" s="177">
        <f t="shared" si="4"/>
        <v>0</v>
      </c>
      <c r="P31" s="176">
        <f t="shared" si="5"/>
        <v>0</v>
      </c>
      <c r="Q31" s="177">
        <f t="shared" si="6"/>
        <v>0</v>
      </c>
      <c r="R31" s="176">
        <f t="shared" si="7"/>
        <v>0</v>
      </c>
      <c r="S31" s="177">
        <f t="shared" si="8"/>
        <v>0</v>
      </c>
      <c r="T31" s="176">
        <f t="shared" si="9"/>
        <v>0</v>
      </c>
      <c r="U31" s="177">
        <f t="shared" si="10"/>
        <v>0</v>
      </c>
      <c r="W31" s="176">
        <f>$O31*$N31*SUM(Data!$C$13:$C$15)</f>
        <v>0</v>
      </c>
      <c r="X31" s="176">
        <f>$P31*$Q31*SUM(Data!$C$13:$C$15)</f>
        <v>0</v>
      </c>
      <c r="Y31" s="176">
        <f>$R31*$S31*SUM(Data!$C$22:$C$23)</f>
        <v>0</v>
      </c>
      <c r="Z31" s="176">
        <f>$S31*$U31*SUM(Data!$C$22:$C$23)</f>
        <v>0</v>
      </c>
      <c r="AA31" s="176">
        <f>(O31*SUM(Data!$B$13:$B$15)+(Q31+S31+U31)*SUM(Data!$B$22:$B$23))*Data!$H$23</f>
        <v>0</v>
      </c>
      <c r="AB31" s="176">
        <f>IF($C31=0,0,$E$39*Data!$C$31)</f>
        <v>0</v>
      </c>
      <c r="AC31" s="176">
        <f>'3.Personnel'!V32*Data!$H$13*Data!$C$31</f>
        <v>0</v>
      </c>
      <c r="AD31" s="176">
        <f>SUM('7.Transport_AS'!$E40:$H40)</f>
        <v>0</v>
      </c>
      <c r="AE31" s="176">
        <f>'7.Transport_AS'!$I40</f>
        <v>0</v>
      </c>
      <c r="AF31" s="176">
        <f>IF('7.Transport_AS'!$D40=0,0,('7.Transport_AS'!$D40-'7.Transport_AS'!$C40)*Data!$H$15*Data!$B$86)</f>
        <v>0</v>
      </c>
      <c r="AG31" s="176">
        <f>SUM(O31,Q31,S31,U31)*Data!$H$52*Data!$H$53*Data!$C$16</f>
        <v>0</v>
      </c>
      <c r="AH31" s="176">
        <f>($N31*$O31+$P31*$Q31+$R31*$S31+$T31*$U31)*Data!$C$16</f>
        <v>0</v>
      </c>
      <c r="AI31" s="176">
        <f>(O31+Q31+S31+U31)*Data!$H$24*Data!$H$53</f>
        <v>0</v>
      </c>
      <c r="AJ31" s="178">
        <f t="shared" si="12"/>
        <v>0</v>
      </c>
    </row>
    <row r="32" spans="1:36" s="175" customFormat="1" ht="12.95" customHeight="1" x14ac:dyDescent="0.15">
      <c r="A32" s="221">
        <v>26</v>
      </c>
      <c r="B32" s="214">
        <f>'1.Stratégie'!B33</f>
        <v>0</v>
      </c>
      <c r="C32" s="215">
        <f>'1.Stratégie'!J33</f>
        <v>0</v>
      </c>
      <c r="D32" s="227">
        <f t="shared" si="13"/>
        <v>0</v>
      </c>
      <c r="E32" s="847">
        <f>ROUND('1.Stratégie'!$F33*$D$5,0)</f>
        <v>0</v>
      </c>
      <c r="F32" s="228">
        <f>ROUNDUP($E32/($H$41*$E$39),0)+'1.Stratégie'!E33</f>
        <v>0</v>
      </c>
      <c r="G32" s="847">
        <f>ROUND('1.Stratégie'!$G33*$D$5,0)</f>
        <v>0</v>
      </c>
      <c r="H32" s="228">
        <f t="shared" si="0"/>
        <v>0</v>
      </c>
      <c r="I32" s="847">
        <f>ROUND('1.Stratégie'!$H33*$D$5,0)</f>
        <v>0</v>
      </c>
      <c r="J32" s="228">
        <f t="shared" si="1"/>
        <v>0</v>
      </c>
      <c r="K32" s="847">
        <f>ROUND('1.Stratégie'!I33*$D$5,0)</f>
        <v>0</v>
      </c>
      <c r="L32" s="215">
        <f t="shared" si="2"/>
        <v>0</v>
      </c>
      <c r="M32" s="779"/>
      <c r="N32" s="176">
        <f t="shared" si="3"/>
        <v>0</v>
      </c>
      <c r="O32" s="177">
        <f t="shared" si="4"/>
        <v>0</v>
      </c>
      <c r="P32" s="176">
        <f t="shared" si="5"/>
        <v>0</v>
      </c>
      <c r="Q32" s="177">
        <f t="shared" si="6"/>
        <v>0</v>
      </c>
      <c r="R32" s="176">
        <f t="shared" si="7"/>
        <v>0</v>
      </c>
      <c r="S32" s="177">
        <f t="shared" si="8"/>
        <v>0</v>
      </c>
      <c r="T32" s="176">
        <f t="shared" si="9"/>
        <v>0</v>
      </c>
      <c r="U32" s="177">
        <f t="shared" si="10"/>
        <v>0</v>
      </c>
      <c r="W32" s="176">
        <f>$O32*$N32*SUM(Data!$C$13:$C$15)</f>
        <v>0</v>
      </c>
      <c r="X32" s="176">
        <f>$P32*$Q32*SUM(Data!$C$13:$C$15)</f>
        <v>0</v>
      </c>
      <c r="Y32" s="176">
        <f>$R32*$S32*SUM(Data!$C$22:$C$23)</f>
        <v>0</v>
      </c>
      <c r="Z32" s="176">
        <f>$S32*$U32*SUM(Data!$C$22:$C$23)</f>
        <v>0</v>
      </c>
      <c r="AA32" s="176">
        <f>(O32*SUM(Data!$B$13:$B$15)+(Q32+S32+U32)*SUM(Data!$B$22:$B$23))*Data!$H$23</f>
        <v>0</v>
      </c>
      <c r="AB32" s="176">
        <f>IF($C32=0,0,$E$39*Data!$C$31)</f>
        <v>0</v>
      </c>
      <c r="AC32" s="176">
        <f>'3.Personnel'!V33*Data!$H$13*Data!$C$31</f>
        <v>0</v>
      </c>
      <c r="AD32" s="176">
        <f>SUM('7.Transport_AS'!$E41:$H41)</f>
        <v>0</v>
      </c>
      <c r="AE32" s="176">
        <f>'7.Transport_AS'!$I41</f>
        <v>0</v>
      </c>
      <c r="AF32" s="176">
        <f>IF('7.Transport_AS'!$D41=0,0,('7.Transport_AS'!$D41-'7.Transport_AS'!$C41)*Data!$H$15*Data!$B$86)</f>
        <v>0</v>
      </c>
      <c r="AG32" s="176">
        <f>SUM(O32,Q32,S32,U32)*Data!$H$52*Data!$H$53*Data!$C$16</f>
        <v>0</v>
      </c>
      <c r="AH32" s="176">
        <f>($N32*$O32+$P32*$Q32+$R32*$S32+$T32*$U32)*Data!$C$16</f>
        <v>0</v>
      </c>
      <c r="AI32" s="176">
        <f>(O32+Q32+S32+U32)*Data!$H$24*Data!$H$53</f>
        <v>0</v>
      </c>
      <c r="AJ32" s="178">
        <f t="shared" si="12"/>
        <v>0</v>
      </c>
    </row>
    <row r="33" spans="1:36" s="175" customFormat="1" ht="12.95" customHeight="1" x14ac:dyDescent="0.15">
      <c r="A33" s="221">
        <v>27</v>
      </c>
      <c r="B33" s="214">
        <f>'1.Stratégie'!B34</f>
        <v>0</v>
      </c>
      <c r="C33" s="215">
        <f>'1.Stratégie'!J34</f>
        <v>0</v>
      </c>
      <c r="D33" s="227">
        <f t="shared" si="13"/>
        <v>0</v>
      </c>
      <c r="E33" s="847">
        <f>ROUND('1.Stratégie'!$F34*$D$5,0)</f>
        <v>0</v>
      </c>
      <c r="F33" s="228">
        <f>ROUNDUP($E33/($H$41*$E$39),0)+'1.Stratégie'!E34</f>
        <v>0</v>
      </c>
      <c r="G33" s="847">
        <f>ROUND('1.Stratégie'!$G34*$D$5,0)</f>
        <v>0</v>
      </c>
      <c r="H33" s="228">
        <f t="shared" si="0"/>
        <v>0</v>
      </c>
      <c r="I33" s="847">
        <f>ROUND('1.Stratégie'!$H34*$D$5,0)</f>
        <v>0</v>
      </c>
      <c r="J33" s="228">
        <f t="shared" si="1"/>
        <v>0</v>
      </c>
      <c r="K33" s="847">
        <f>ROUND('1.Stratégie'!I34*$D$5,0)</f>
        <v>0</v>
      </c>
      <c r="L33" s="215">
        <f t="shared" si="2"/>
        <v>0</v>
      </c>
      <c r="M33" s="779"/>
      <c r="N33" s="176">
        <f t="shared" si="3"/>
        <v>0</v>
      </c>
      <c r="O33" s="177">
        <f t="shared" si="4"/>
        <v>0</v>
      </c>
      <c r="P33" s="176">
        <f t="shared" si="5"/>
        <v>0</v>
      </c>
      <c r="Q33" s="177">
        <f t="shared" si="6"/>
        <v>0</v>
      </c>
      <c r="R33" s="176">
        <f t="shared" si="7"/>
        <v>0</v>
      </c>
      <c r="S33" s="177">
        <f t="shared" si="8"/>
        <v>0</v>
      </c>
      <c r="T33" s="176">
        <f t="shared" si="9"/>
        <v>0</v>
      </c>
      <c r="U33" s="177">
        <f t="shared" si="10"/>
        <v>0</v>
      </c>
      <c r="W33" s="176">
        <f>$O33*$N33*SUM(Data!$C$13:$C$15)</f>
        <v>0</v>
      </c>
      <c r="X33" s="176">
        <f>$P33*$Q33*SUM(Data!$C$13:$C$15)</f>
        <v>0</v>
      </c>
      <c r="Y33" s="176">
        <f>$R33*$S33*SUM(Data!$C$22:$C$23)</f>
        <v>0</v>
      </c>
      <c r="Z33" s="176">
        <f>$S33*$U33*SUM(Data!$C$22:$C$23)</f>
        <v>0</v>
      </c>
      <c r="AA33" s="176">
        <f>(O33*SUM(Data!$B$13:$B$15)+(Q33+S33+U33)*SUM(Data!$B$22:$B$23))*Data!$H$23</f>
        <v>0</v>
      </c>
      <c r="AB33" s="176">
        <f>IF($C33=0,0,$E$39*Data!$C$31)</f>
        <v>0</v>
      </c>
      <c r="AC33" s="176">
        <f>'3.Personnel'!V34*Data!$H$13*Data!$C$31</f>
        <v>0</v>
      </c>
      <c r="AD33" s="176">
        <f>SUM('7.Transport_AS'!$E42:$H42)</f>
        <v>0</v>
      </c>
      <c r="AE33" s="176">
        <f>'7.Transport_AS'!$I42</f>
        <v>0</v>
      </c>
      <c r="AF33" s="176">
        <f>IF('7.Transport_AS'!$D42=0,0,('7.Transport_AS'!$D42-'7.Transport_AS'!$C42)*Data!$H$15*Data!$B$86)</f>
        <v>0</v>
      </c>
      <c r="AG33" s="176">
        <f>SUM(O33,Q33,S33,U33)*Data!$H$52*Data!$H$53*Data!$C$16</f>
        <v>0</v>
      </c>
      <c r="AH33" s="176">
        <f>($N33*$O33+$P33*$Q33+$R33*$S33+$T33*$U33)*Data!$C$16</f>
        <v>0</v>
      </c>
      <c r="AI33" s="176">
        <f>(O33+Q33+S33+U33)*Data!$H$24*Data!$H$53</f>
        <v>0</v>
      </c>
      <c r="AJ33" s="178">
        <f t="shared" si="12"/>
        <v>0</v>
      </c>
    </row>
    <row r="34" spans="1:36" s="175" customFormat="1" ht="12.95" customHeight="1" x14ac:dyDescent="0.15">
      <c r="A34" s="221">
        <v>28</v>
      </c>
      <c r="B34" s="214">
        <f>'1.Stratégie'!B35</f>
        <v>0</v>
      </c>
      <c r="C34" s="215">
        <f>'1.Stratégie'!J35</f>
        <v>0</v>
      </c>
      <c r="D34" s="227">
        <f t="shared" si="13"/>
        <v>0</v>
      </c>
      <c r="E34" s="847">
        <f>ROUND('1.Stratégie'!$F35*$D$5,0)</f>
        <v>0</v>
      </c>
      <c r="F34" s="228">
        <f>ROUNDUP($E34/($H$41*$E$39),0)+'1.Stratégie'!E35</f>
        <v>0</v>
      </c>
      <c r="G34" s="847">
        <f>ROUND('1.Stratégie'!$G35*$D$5,0)</f>
        <v>0</v>
      </c>
      <c r="H34" s="228">
        <f t="shared" si="0"/>
        <v>0</v>
      </c>
      <c r="I34" s="847">
        <f>ROUND('1.Stratégie'!$H35*$D$5,0)</f>
        <v>0</v>
      </c>
      <c r="J34" s="228">
        <f t="shared" si="1"/>
        <v>0</v>
      </c>
      <c r="K34" s="847">
        <f>ROUND('1.Stratégie'!I35*$D$5,0)</f>
        <v>0</v>
      </c>
      <c r="L34" s="215">
        <f t="shared" si="2"/>
        <v>0</v>
      </c>
      <c r="M34" s="779"/>
      <c r="N34" s="176">
        <f t="shared" si="3"/>
        <v>0</v>
      </c>
      <c r="O34" s="177">
        <f t="shared" si="4"/>
        <v>0</v>
      </c>
      <c r="P34" s="176">
        <f t="shared" si="5"/>
        <v>0</v>
      </c>
      <c r="Q34" s="177">
        <f t="shared" si="6"/>
        <v>0</v>
      </c>
      <c r="R34" s="176">
        <f t="shared" si="7"/>
        <v>0</v>
      </c>
      <c r="S34" s="177">
        <f t="shared" si="8"/>
        <v>0</v>
      </c>
      <c r="T34" s="176">
        <f t="shared" si="9"/>
        <v>0</v>
      </c>
      <c r="U34" s="177">
        <f t="shared" si="10"/>
        <v>0</v>
      </c>
      <c r="W34" s="176">
        <f>$O34*$N34*SUM(Data!$C$13:$C$15)</f>
        <v>0</v>
      </c>
      <c r="X34" s="176">
        <f>$P34*$Q34*SUM(Data!$C$13:$C$15)</f>
        <v>0</v>
      </c>
      <c r="Y34" s="176">
        <f>$R34*$S34*SUM(Data!$C$22:$C$23)</f>
        <v>0</v>
      </c>
      <c r="Z34" s="176">
        <f>$S34*$U34*SUM(Data!$C$22:$C$23)</f>
        <v>0</v>
      </c>
      <c r="AA34" s="176">
        <f>(O34*SUM(Data!$B$13:$B$15)+(Q34+S34+U34)*SUM(Data!$B$22:$B$23))*Data!$H$23</f>
        <v>0</v>
      </c>
      <c r="AB34" s="176">
        <f>IF($C34=0,0,$E$39*Data!$C$31)</f>
        <v>0</v>
      </c>
      <c r="AC34" s="176">
        <f>'3.Personnel'!V35*Data!$H$13*Data!$C$31</f>
        <v>0</v>
      </c>
      <c r="AD34" s="176">
        <f>SUM('7.Transport_AS'!$E43:$H43)</f>
        <v>0</v>
      </c>
      <c r="AE34" s="176">
        <f>'7.Transport_AS'!$I43</f>
        <v>0</v>
      </c>
      <c r="AF34" s="176">
        <f>IF('7.Transport_AS'!$D43=0,0,('7.Transport_AS'!$D43-'7.Transport_AS'!$C43)*Data!$H$15*Data!$B$86)</f>
        <v>0</v>
      </c>
      <c r="AG34" s="176">
        <f>SUM(O34,Q34,S34,U34)*Data!$H$52*Data!$H$53*Data!$C$16</f>
        <v>0</v>
      </c>
      <c r="AH34" s="176">
        <f>($N34*$O34+$P34*$Q34+$R34*$S34+$T34*$U34)*Data!$C$16</f>
        <v>0</v>
      </c>
      <c r="AI34" s="176">
        <f>(O34+Q34+S34+U34)*Data!$H$24*Data!$H$53</f>
        <v>0</v>
      </c>
      <c r="AJ34" s="178">
        <f t="shared" si="12"/>
        <v>0</v>
      </c>
    </row>
    <row r="35" spans="1:36" s="175" customFormat="1" ht="12.95" customHeight="1" x14ac:dyDescent="0.15">
      <c r="A35" s="221">
        <v>29</v>
      </c>
      <c r="B35" s="214">
        <f>'1.Stratégie'!B36</f>
        <v>0</v>
      </c>
      <c r="C35" s="215">
        <f>'1.Stratégie'!J36</f>
        <v>0</v>
      </c>
      <c r="D35" s="227">
        <f t="shared" si="13"/>
        <v>0</v>
      </c>
      <c r="E35" s="847">
        <f>ROUND('1.Stratégie'!$F36*$D$5,0)</f>
        <v>0</v>
      </c>
      <c r="F35" s="228">
        <f>ROUNDUP($E35/($H$41*$E$39),0)+'1.Stratégie'!E36</f>
        <v>0</v>
      </c>
      <c r="G35" s="847">
        <f>ROUND('1.Stratégie'!$G36*$D$5,0)</f>
        <v>0</v>
      </c>
      <c r="H35" s="228">
        <f t="shared" si="0"/>
        <v>0</v>
      </c>
      <c r="I35" s="847">
        <f>ROUND('1.Stratégie'!$H36*$D$5,0)</f>
        <v>0</v>
      </c>
      <c r="J35" s="228">
        <f t="shared" si="1"/>
        <v>0</v>
      </c>
      <c r="K35" s="847">
        <f>ROUND('1.Stratégie'!I36*$D$5,0)</f>
        <v>0</v>
      </c>
      <c r="L35" s="215">
        <f t="shared" si="2"/>
        <v>0</v>
      </c>
      <c r="M35" s="779"/>
      <c r="N35" s="176">
        <f t="shared" si="3"/>
        <v>0</v>
      </c>
      <c r="O35" s="177">
        <f t="shared" si="4"/>
        <v>0</v>
      </c>
      <c r="P35" s="176">
        <f t="shared" si="5"/>
        <v>0</v>
      </c>
      <c r="Q35" s="177">
        <f t="shared" si="6"/>
        <v>0</v>
      </c>
      <c r="R35" s="176">
        <f t="shared" si="7"/>
        <v>0</v>
      </c>
      <c r="S35" s="177">
        <f t="shared" si="8"/>
        <v>0</v>
      </c>
      <c r="T35" s="176">
        <f t="shared" si="9"/>
        <v>0</v>
      </c>
      <c r="U35" s="177">
        <f t="shared" si="10"/>
        <v>0</v>
      </c>
      <c r="W35" s="176">
        <f>$O35*$N35*SUM(Data!$C$13:$C$15)</f>
        <v>0</v>
      </c>
      <c r="X35" s="176">
        <f>$P35*$Q35*SUM(Data!$C$13:$C$15)</f>
        <v>0</v>
      </c>
      <c r="Y35" s="176">
        <f>$R35*$S35*SUM(Data!$C$22:$C$23)</f>
        <v>0</v>
      </c>
      <c r="Z35" s="176">
        <f>$S35*$U35*SUM(Data!$C$22:$C$23)</f>
        <v>0</v>
      </c>
      <c r="AA35" s="176">
        <f>(O35*SUM(Data!$B$13:$B$15)+(Q35+S35+U35)*SUM(Data!$B$22:$B$23))*Data!$H$23</f>
        <v>0</v>
      </c>
      <c r="AB35" s="176">
        <f>IF($C35=0,0,$E$39*Data!$C$31)</f>
        <v>0</v>
      </c>
      <c r="AC35" s="176">
        <f>'3.Personnel'!V36*Data!$H$13*Data!$C$31</f>
        <v>0</v>
      </c>
      <c r="AD35" s="176">
        <f>SUM('7.Transport_AS'!$E44:$H44)</f>
        <v>0</v>
      </c>
      <c r="AE35" s="176">
        <f>'7.Transport_AS'!$I44</f>
        <v>0</v>
      </c>
      <c r="AF35" s="176">
        <f>IF('7.Transport_AS'!$D44=0,0,('7.Transport_AS'!$D44-'7.Transport_AS'!$C44)*Data!$H$15*Data!$B$86)</f>
        <v>0</v>
      </c>
      <c r="AG35" s="176">
        <f>SUM(O35,Q35,S35,U35)*Data!$H$52*Data!$H$53*Data!$C$16</f>
        <v>0</v>
      </c>
      <c r="AH35" s="176">
        <f>($N35*$O35+$P35*$Q35+$R35*$S35+$T35*$U35)*Data!$C$16</f>
        <v>0</v>
      </c>
      <c r="AI35" s="176">
        <f>(O35+Q35+S35+U35)*Data!$H$24*Data!$H$53</f>
        <v>0</v>
      </c>
      <c r="AJ35" s="178">
        <f t="shared" si="12"/>
        <v>0</v>
      </c>
    </row>
    <row r="36" spans="1:36" s="175" customFormat="1" ht="12.95" customHeight="1" x14ac:dyDescent="0.15">
      <c r="A36" s="221">
        <v>30</v>
      </c>
      <c r="B36" s="214">
        <f>'1.Stratégie'!B37</f>
        <v>0</v>
      </c>
      <c r="C36" s="215">
        <f>'1.Stratégie'!J37</f>
        <v>0</v>
      </c>
      <c r="D36" s="227">
        <f t="shared" si="13"/>
        <v>0</v>
      </c>
      <c r="E36" s="847">
        <f>ROUND('1.Stratégie'!$F37*$D$5,0)</f>
        <v>0</v>
      </c>
      <c r="F36" s="228">
        <f>ROUNDUP($E36/($H$41*$E$39),0)+'1.Stratégie'!E37</f>
        <v>0</v>
      </c>
      <c r="G36" s="847">
        <f>ROUND('1.Stratégie'!$G37*$D$5,0)</f>
        <v>0</v>
      </c>
      <c r="H36" s="228">
        <f t="shared" si="0"/>
        <v>0</v>
      </c>
      <c r="I36" s="847">
        <f>ROUND('1.Stratégie'!$H37*$D$5,0)</f>
        <v>0</v>
      </c>
      <c r="J36" s="228">
        <f t="shared" si="1"/>
        <v>0</v>
      </c>
      <c r="K36" s="847">
        <f>ROUND('1.Stratégie'!I37*$D$5,0)</f>
        <v>0</v>
      </c>
      <c r="L36" s="215">
        <f t="shared" si="2"/>
        <v>0</v>
      </c>
      <c r="M36" s="779"/>
      <c r="N36" s="176">
        <f t="shared" si="3"/>
        <v>0</v>
      </c>
      <c r="O36" s="177">
        <f t="shared" si="4"/>
        <v>0</v>
      </c>
      <c r="P36" s="176">
        <f t="shared" si="5"/>
        <v>0</v>
      </c>
      <c r="Q36" s="177">
        <f t="shared" si="6"/>
        <v>0</v>
      </c>
      <c r="R36" s="176">
        <f t="shared" si="7"/>
        <v>0</v>
      </c>
      <c r="S36" s="177">
        <f t="shared" si="8"/>
        <v>0</v>
      </c>
      <c r="T36" s="176">
        <f t="shared" si="9"/>
        <v>0</v>
      </c>
      <c r="U36" s="177">
        <f t="shared" si="10"/>
        <v>0</v>
      </c>
      <c r="W36" s="176">
        <f>$O36*$N36*SUM(Data!$C$13:$C$15)</f>
        <v>0</v>
      </c>
      <c r="X36" s="176">
        <f>$P36*$Q36*SUM(Data!$C$13:$C$15)</f>
        <v>0</v>
      </c>
      <c r="Y36" s="176">
        <f>$R36*$S36*SUM(Data!$C$22:$C$23)</f>
        <v>0</v>
      </c>
      <c r="Z36" s="176">
        <f>$S36*$U36*SUM(Data!$C$22:$C$23)</f>
        <v>0</v>
      </c>
      <c r="AA36" s="176">
        <f>(O36*SUM(Data!$B$13:$B$15)+(Q36+S36+U36)*SUM(Data!$B$22:$B$23))*Data!$H$23</f>
        <v>0</v>
      </c>
      <c r="AB36" s="176">
        <f>IF($C36=0,0,$E$39*Data!$C$31)</f>
        <v>0</v>
      </c>
      <c r="AC36" s="176">
        <f>'3.Personnel'!V37*Data!$H$13*Data!$C$31</f>
        <v>0</v>
      </c>
      <c r="AD36" s="176">
        <f>SUM('7.Transport_AS'!$E45:$H45)</f>
        <v>0</v>
      </c>
      <c r="AE36" s="176">
        <f>'7.Transport_AS'!$I45</f>
        <v>0</v>
      </c>
      <c r="AF36" s="176">
        <f>IF('7.Transport_AS'!$D45=0,0,('7.Transport_AS'!$D45-'7.Transport_AS'!$C45)*Data!$H$15*Data!$B$86)</f>
        <v>0</v>
      </c>
      <c r="AG36" s="176">
        <f>SUM(O36,Q36,S36,U36)*Data!$H$52*Data!$H$53*Data!$C$16</f>
        <v>0</v>
      </c>
      <c r="AH36" s="176">
        <f>($N36*$O36+$P36*$Q36+$R36*$S36+$T36*$U36)*Data!$C$16</f>
        <v>0</v>
      </c>
      <c r="AI36" s="176">
        <f>(O36+Q36+S36+U36)*Data!$H$24*Data!$H$53</f>
        <v>0</v>
      </c>
      <c r="AJ36" s="178">
        <f t="shared" si="12"/>
        <v>0</v>
      </c>
    </row>
    <row r="37" spans="1:36" s="175" customFormat="1" x14ac:dyDescent="0.15">
      <c r="A37" s="221"/>
      <c r="B37" s="216" t="str">
        <f>"TOTAL "&amp;$K$4</f>
        <v xml:space="preserve">TOTAL </v>
      </c>
      <c r="C37" s="217">
        <f>SUM(C7:C36)</f>
        <v>0</v>
      </c>
      <c r="D37" s="229">
        <f t="shared" ref="D37:L37" si="14">SUM(D7:D36)</f>
        <v>0</v>
      </c>
      <c r="E37" s="848">
        <f t="shared" si="14"/>
        <v>0</v>
      </c>
      <c r="F37" s="229">
        <f t="shared" si="14"/>
        <v>0</v>
      </c>
      <c r="G37" s="848">
        <f t="shared" si="14"/>
        <v>0</v>
      </c>
      <c r="H37" s="229">
        <f t="shared" si="14"/>
        <v>0</v>
      </c>
      <c r="I37" s="848">
        <f t="shared" si="14"/>
        <v>0</v>
      </c>
      <c r="J37" s="229">
        <f t="shared" si="14"/>
        <v>0</v>
      </c>
      <c r="K37" s="848">
        <f t="shared" si="14"/>
        <v>0</v>
      </c>
      <c r="L37" s="218">
        <f t="shared" si="14"/>
        <v>0</v>
      </c>
      <c r="M37" s="779"/>
      <c r="N37" s="297"/>
      <c r="O37" s="179">
        <f t="shared" ref="O37:U37" si="15">SUM(O7:O36)</f>
        <v>0</v>
      </c>
      <c r="P37" s="297"/>
      <c r="Q37" s="179">
        <f t="shared" si="15"/>
        <v>0</v>
      </c>
      <c r="R37" s="297"/>
      <c r="S37" s="179">
        <f t="shared" si="15"/>
        <v>0</v>
      </c>
      <c r="T37" s="297"/>
      <c r="U37" s="179">
        <f t="shared" si="15"/>
        <v>0</v>
      </c>
      <c r="W37" s="179">
        <f t="shared" ref="W37:AF37" si="16">SUM(W7:W36)</f>
        <v>0</v>
      </c>
      <c r="X37" s="179">
        <f t="shared" si="16"/>
        <v>0</v>
      </c>
      <c r="Y37" s="179">
        <f t="shared" si="16"/>
        <v>0</v>
      </c>
      <c r="Z37" s="179">
        <f>SUM(Z7:Z36)</f>
        <v>0</v>
      </c>
      <c r="AA37" s="179">
        <f>SUM(AA7:AA36)</f>
        <v>0</v>
      </c>
      <c r="AB37" s="179">
        <f t="shared" si="16"/>
        <v>0</v>
      </c>
      <c r="AC37" s="179">
        <f t="shared" si="16"/>
        <v>0</v>
      </c>
      <c r="AD37" s="179">
        <f t="shared" si="16"/>
        <v>0</v>
      </c>
      <c r="AE37" s="179">
        <f t="shared" si="16"/>
        <v>0</v>
      </c>
      <c r="AF37" s="179">
        <f t="shared" si="16"/>
        <v>0</v>
      </c>
      <c r="AG37" s="179"/>
      <c r="AH37" s="179">
        <f>SUM(AH7:AH36)</f>
        <v>0</v>
      </c>
      <c r="AI37" s="179">
        <f>SUM(AI7:AI36)</f>
        <v>0</v>
      </c>
      <c r="AJ37" s="179">
        <f>SUM(AJ7:AJ36)</f>
        <v>0</v>
      </c>
    </row>
    <row r="38" spans="1:36" s="174" customFormat="1" ht="6.75" customHeight="1" x14ac:dyDescent="0.15">
      <c r="B38" s="180"/>
      <c r="C38" s="181"/>
      <c r="D38" s="181"/>
      <c r="E38" s="181"/>
      <c r="F38" s="181"/>
      <c r="G38" s="181"/>
      <c r="H38" s="181"/>
      <c r="I38" s="181"/>
      <c r="J38" s="181"/>
      <c r="K38" s="181"/>
      <c r="L38" s="181"/>
    </row>
    <row r="39" spans="1:36" s="174" customFormat="1" x14ac:dyDescent="0.15">
      <c r="B39" s="830"/>
      <c r="C39" s="831"/>
      <c r="D39" s="837" t="s">
        <v>125</v>
      </c>
      <c r="E39" s="838">
        <f>Data!H13</f>
        <v>5</v>
      </c>
      <c r="F39" s="181"/>
      <c r="G39" s="181"/>
      <c r="H39" s="181"/>
      <c r="I39" s="182"/>
      <c r="J39" s="182"/>
      <c r="K39" s="182"/>
      <c r="L39" s="182"/>
      <c r="AJ39" s="175"/>
    </row>
    <row r="40" spans="1:36" s="174" customFormat="1" x14ac:dyDescent="0.15">
      <c r="B40" s="830"/>
      <c r="C40" s="831"/>
      <c r="D40" s="832" t="s">
        <v>126</v>
      </c>
      <c r="E40" s="833"/>
      <c r="F40" s="833"/>
      <c r="G40" s="833"/>
      <c r="H40" s="834"/>
      <c r="I40" s="182"/>
      <c r="J40" s="839" t="s">
        <v>419</v>
      </c>
      <c r="K40" s="840"/>
      <c r="L40" s="841"/>
      <c r="AJ40" s="175"/>
    </row>
    <row r="41" spans="1:36" s="174" customFormat="1" x14ac:dyDescent="0.15">
      <c r="B41" s="830"/>
      <c r="C41" s="831"/>
      <c r="D41" s="831"/>
      <c r="E41" s="831"/>
      <c r="F41" s="831"/>
      <c r="G41" s="835" t="s">
        <v>360</v>
      </c>
      <c r="H41" s="836">
        <f>Data!G13</f>
        <v>300</v>
      </c>
      <c r="J41" s="830"/>
      <c r="K41" s="835" t="s">
        <v>127</v>
      </c>
      <c r="L41" s="842">
        <f>F37</f>
        <v>0</v>
      </c>
    </row>
    <row r="42" spans="1:36" s="174" customFormat="1" x14ac:dyDescent="0.15">
      <c r="B42" s="830"/>
      <c r="C42" s="831"/>
      <c r="D42" s="831"/>
      <c r="E42" s="831"/>
      <c r="F42" s="831"/>
      <c r="G42" s="835" t="s">
        <v>361</v>
      </c>
      <c r="H42" s="836">
        <f>Data!G14</f>
        <v>200</v>
      </c>
      <c r="J42" s="830"/>
      <c r="K42" s="835" t="s">
        <v>130</v>
      </c>
      <c r="L42" s="842">
        <f>H37</f>
        <v>0</v>
      </c>
    </row>
    <row r="43" spans="1:36" s="174" customFormat="1" x14ac:dyDescent="0.15">
      <c r="B43" s="830"/>
      <c r="C43" s="831"/>
      <c r="D43" s="831"/>
      <c r="E43" s="831"/>
      <c r="F43" s="831"/>
      <c r="G43" s="835" t="s">
        <v>362</v>
      </c>
      <c r="H43" s="836">
        <f>Data!G15</f>
        <v>100</v>
      </c>
      <c r="J43" s="830"/>
      <c r="K43" s="835" t="s">
        <v>128</v>
      </c>
      <c r="L43" s="842">
        <f>J37</f>
        <v>0</v>
      </c>
    </row>
    <row r="44" spans="1:36" s="174" customFormat="1" x14ac:dyDescent="0.15">
      <c r="B44" s="830"/>
      <c r="C44" s="831"/>
      <c r="D44" s="831"/>
      <c r="E44" s="831"/>
      <c r="F44" s="831"/>
      <c r="G44" s="835" t="s">
        <v>363</v>
      </c>
      <c r="H44" s="836">
        <f>Data!G16</f>
        <v>50</v>
      </c>
      <c r="J44" s="830"/>
      <c r="K44" s="835" t="s">
        <v>129</v>
      </c>
      <c r="L44" s="842">
        <f>L37</f>
        <v>0</v>
      </c>
    </row>
    <row r="45" spans="1:36" s="174" customFormat="1" x14ac:dyDescent="0.15">
      <c r="D45" s="184"/>
      <c r="J45" s="843"/>
      <c r="K45" s="844" t="s">
        <v>25</v>
      </c>
      <c r="L45" s="845">
        <f>SUM(L41:L43)</f>
        <v>0</v>
      </c>
    </row>
    <row r="46" spans="1:36" s="174" customFormat="1" x14ac:dyDescent="0.15">
      <c r="B46" s="184"/>
    </row>
    <row r="47" spans="1:36" s="174" customFormat="1" x14ac:dyDescent="0.15">
      <c r="B47" s="184"/>
    </row>
    <row r="48" spans="1:36" s="23" customFormat="1" x14ac:dyDescent="0.15">
      <c r="B48" s="27"/>
    </row>
    <row r="49" spans="2:2" s="23" customFormat="1" x14ac:dyDescent="0.15">
      <c r="B49" s="21"/>
    </row>
    <row r="50" spans="2:2" s="23" customFormat="1" x14ac:dyDescent="0.15">
      <c r="B50" s="21"/>
    </row>
    <row r="51" spans="2:2" s="23" customFormat="1" x14ac:dyDescent="0.15">
      <c r="B51" s="27"/>
    </row>
    <row r="52" spans="2:2" s="23" customFormat="1" x14ac:dyDescent="0.15"/>
    <row r="53" spans="2:2" s="23" customFormat="1" x14ac:dyDescent="0.15"/>
    <row r="54" spans="2:2" s="23" customFormat="1" x14ac:dyDescent="0.15"/>
    <row r="55" spans="2:2" s="23" customFormat="1" x14ac:dyDescent="0.15"/>
    <row r="56" spans="2:2" s="23" customFormat="1" x14ac:dyDescent="0.15"/>
    <row r="57" spans="2:2" s="23" customFormat="1" x14ac:dyDescent="0.15"/>
    <row r="58" spans="2:2" s="23" customFormat="1" x14ac:dyDescent="0.15"/>
    <row r="59" spans="2:2" s="23" customFormat="1" x14ac:dyDescent="0.15"/>
    <row r="60" spans="2:2" s="23" customFormat="1" x14ac:dyDescent="0.15"/>
    <row r="61" spans="2:2" s="23" customFormat="1" x14ac:dyDescent="0.15"/>
    <row r="62" spans="2:2" s="23" customFormat="1" x14ac:dyDescent="0.15"/>
    <row r="63" spans="2:2" s="23" customFormat="1" x14ac:dyDescent="0.15"/>
    <row r="64" spans="2:2" s="23" customFormat="1" x14ac:dyDescent="0.15"/>
    <row r="65" s="23" customFormat="1" x14ac:dyDescent="0.15"/>
    <row r="66" s="23" customFormat="1" x14ac:dyDescent="0.15"/>
    <row r="67" s="23" customFormat="1" x14ac:dyDescent="0.15"/>
    <row r="68" s="23" customFormat="1" x14ac:dyDescent="0.15"/>
    <row r="69" s="23" customFormat="1" x14ac:dyDescent="0.15"/>
    <row r="70" s="23" customFormat="1" x14ac:dyDescent="0.15"/>
    <row r="71" s="23" customFormat="1" x14ac:dyDescent="0.15"/>
    <row r="72" s="23" customFormat="1" x14ac:dyDescent="0.15"/>
    <row r="73" s="23" customFormat="1" x14ac:dyDescent="0.15"/>
    <row r="74" s="23" customFormat="1" x14ac:dyDescent="0.15"/>
    <row r="75" s="23" customFormat="1" x14ac:dyDescent="0.15"/>
    <row r="76" s="23" customFormat="1" x14ac:dyDescent="0.15"/>
    <row r="77" s="23" customFormat="1" x14ac:dyDescent="0.15"/>
    <row r="78" s="23" customFormat="1" x14ac:dyDescent="0.15"/>
    <row r="79" s="23" customFormat="1" x14ac:dyDescent="0.15"/>
    <row r="80" s="23" customFormat="1" x14ac:dyDescent="0.15"/>
    <row r="81" s="23" customFormat="1" x14ac:dyDescent="0.15"/>
    <row r="82" s="23" customFormat="1" x14ac:dyDescent="0.15"/>
    <row r="83" s="23" customFormat="1" x14ac:dyDescent="0.15"/>
    <row r="84" s="23" customFormat="1" x14ac:dyDescent="0.15"/>
    <row r="85" s="23" customFormat="1" x14ac:dyDescent="0.15"/>
    <row r="86" s="23" customFormat="1" x14ac:dyDescent="0.15"/>
    <row r="87" s="23" customFormat="1" x14ac:dyDescent="0.15"/>
    <row r="88" s="23" customFormat="1" x14ac:dyDescent="0.15"/>
    <row r="89" s="23" customFormat="1" x14ac:dyDescent="0.15"/>
    <row r="90" s="23" customFormat="1" x14ac:dyDescent="0.15"/>
    <row r="91" s="23" customFormat="1" x14ac:dyDescent="0.15"/>
    <row r="92" s="23" customFormat="1" x14ac:dyDescent="0.15"/>
    <row r="93" s="23" customFormat="1" x14ac:dyDescent="0.15"/>
    <row r="94" s="23" customFormat="1" x14ac:dyDescent="0.15"/>
    <row r="95" s="23" customFormat="1" x14ac:dyDescent="0.15"/>
    <row r="96" s="23" customFormat="1" x14ac:dyDescent="0.15"/>
    <row r="97" s="23" customFormat="1" x14ac:dyDescent="0.15"/>
    <row r="98" s="23" customFormat="1" x14ac:dyDescent="0.15"/>
    <row r="99" s="23" customFormat="1" x14ac:dyDescent="0.15"/>
    <row r="100" s="23" customFormat="1" x14ac:dyDescent="0.15"/>
    <row r="101" s="23" customFormat="1" x14ac:dyDescent="0.15"/>
    <row r="102" s="23" customFormat="1" x14ac:dyDescent="0.15"/>
    <row r="103" s="23" customFormat="1" x14ac:dyDescent="0.15"/>
    <row r="104" s="23" customFormat="1" x14ac:dyDescent="0.15"/>
    <row r="105" s="23" customFormat="1" x14ac:dyDescent="0.15"/>
    <row r="106" s="23" customFormat="1" x14ac:dyDescent="0.15"/>
    <row r="107" s="23" customFormat="1" x14ac:dyDescent="0.15"/>
    <row r="108" s="23" customFormat="1" x14ac:dyDescent="0.15"/>
    <row r="109" s="23" customFormat="1" x14ac:dyDescent="0.15"/>
    <row r="110" s="23" customFormat="1" x14ac:dyDescent="0.15"/>
    <row r="111" s="23" customFormat="1" x14ac:dyDescent="0.15"/>
    <row r="112" s="23" customFormat="1" x14ac:dyDescent="0.15"/>
    <row r="113" s="23" customFormat="1" x14ac:dyDescent="0.15"/>
    <row r="114" s="23" customFormat="1" x14ac:dyDescent="0.15"/>
    <row r="115" s="23" customFormat="1" x14ac:dyDescent="0.15"/>
    <row r="116" s="23" customFormat="1" x14ac:dyDescent="0.15"/>
    <row r="117" s="23" customFormat="1" x14ac:dyDescent="0.15"/>
    <row r="118" s="23" customFormat="1" x14ac:dyDescent="0.15"/>
    <row r="119" s="23" customFormat="1" x14ac:dyDescent="0.15"/>
    <row r="120" s="23" customFormat="1" x14ac:dyDescent="0.15"/>
    <row r="121" s="23" customFormat="1" x14ac:dyDescent="0.15"/>
    <row r="122" s="23" customFormat="1" x14ac:dyDescent="0.15"/>
    <row r="123" s="23" customFormat="1" x14ac:dyDescent="0.15"/>
    <row r="124" s="23" customFormat="1" x14ac:dyDescent="0.15"/>
    <row r="125" s="23" customFormat="1" x14ac:dyDescent="0.15"/>
    <row r="126" s="23" customFormat="1" x14ac:dyDescent="0.15"/>
    <row r="127" s="23" customFormat="1" x14ac:dyDescent="0.15"/>
    <row r="128" s="23" customFormat="1" x14ac:dyDescent="0.15"/>
    <row r="129" s="23" customFormat="1" x14ac:dyDescent="0.15"/>
    <row r="130" s="23" customFormat="1" x14ac:dyDescent="0.15"/>
    <row r="131" s="23" customFormat="1" x14ac:dyDescent="0.15"/>
    <row r="132" s="23" customFormat="1" x14ac:dyDescent="0.15"/>
    <row r="133" s="23" customFormat="1" x14ac:dyDescent="0.15"/>
    <row r="134" s="23" customFormat="1" x14ac:dyDescent="0.15"/>
    <row r="135" s="23" customFormat="1" x14ac:dyDescent="0.15"/>
    <row r="136" s="23" customFormat="1" x14ac:dyDescent="0.15"/>
    <row r="137" s="23" customFormat="1" x14ac:dyDescent="0.15"/>
    <row r="138" s="23" customFormat="1" x14ac:dyDescent="0.15"/>
    <row r="139" s="23" customFormat="1" x14ac:dyDescent="0.15"/>
    <row r="140" s="23" customFormat="1" x14ac:dyDescent="0.15"/>
    <row r="141" s="23" customFormat="1" x14ac:dyDescent="0.15"/>
    <row r="142" s="23" customFormat="1" x14ac:dyDescent="0.15"/>
    <row r="143" s="23" customFormat="1" x14ac:dyDescent="0.15"/>
    <row r="144" s="23" customFormat="1" x14ac:dyDescent="0.15"/>
    <row r="145" s="23" customFormat="1" x14ac:dyDescent="0.15"/>
    <row r="146" s="23" customFormat="1" x14ac:dyDescent="0.15"/>
    <row r="147" s="23" customFormat="1" x14ac:dyDescent="0.15"/>
    <row r="148" s="23" customFormat="1" x14ac:dyDescent="0.15"/>
    <row r="149" s="23" customFormat="1" x14ac:dyDescent="0.15"/>
    <row r="150" s="23" customFormat="1" x14ac:dyDescent="0.15"/>
    <row r="151" s="23" customFormat="1" x14ac:dyDescent="0.15"/>
    <row r="152" s="23" customFormat="1" x14ac:dyDescent="0.15"/>
    <row r="153" s="23" customFormat="1" x14ac:dyDescent="0.15"/>
    <row r="154" s="23" customFormat="1" x14ac:dyDescent="0.15"/>
    <row r="155" s="23" customFormat="1" x14ac:dyDescent="0.15"/>
    <row r="156" s="23" customFormat="1" x14ac:dyDescent="0.15"/>
    <row r="157" s="23" customFormat="1" x14ac:dyDescent="0.15"/>
    <row r="158" s="23" customFormat="1" x14ac:dyDescent="0.15"/>
    <row r="159" s="23" customFormat="1" x14ac:dyDescent="0.15"/>
    <row r="160" s="23" customFormat="1" x14ac:dyDescent="0.15"/>
    <row r="161" s="23" customFormat="1" x14ac:dyDescent="0.15"/>
    <row r="162" s="23" customFormat="1" x14ac:dyDescent="0.15"/>
    <row r="163" s="23" customFormat="1" x14ac:dyDescent="0.15"/>
    <row r="164" s="23" customFormat="1" x14ac:dyDescent="0.15"/>
    <row r="165" s="23" customFormat="1" x14ac:dyDescent="0.15"/>
    <row r="166" s="23" customFormat="1" x14ac:dyDescent="0.15"/>
    <row r="167" s="23" customFormat="1" x14ac:dyDescent="0.15"/>
    <row r="168" s="23" customFormat="1" x14ac:dyDescent="0.15"/>
    <row r="169" s="23" customFormat="1" x14ac:dyDescent="0.15"/>
    <row r="170" s="23" customFormat="1" x14ac:dyDescent="0.15"/>
    <row r="171" s="23" customFormat="1" x14ac:dyDescent="0.15"/>
    <row r="172" s="23" customFormat="1" x14ac:dyDescent="0.15"/>
    <row r="173" s="23" customFormat="1" x14ac:dyDescent="0.15"/>
    <row r="174" s="23" customFormat="1" x14ac:dyDescent="0.15"/>
    <row r="175" s="23" customFormat="1" x14ac:dyDescent="0.15"/>
    <row r="176" s="23" customFormat="1" x14ac:dyDescent="0.15"/>
    <row r="177" s="23" customFormat="1" x14ac:dyDescent="0.15"/>
    <row r="178" s="23" customFormat="1" x14ac:dyDescent="0.15"/>
    <row r="179" s="23" customFormat="1" x14ac:dyDescent="0.15"/>
    <row r="180" s="23" customFormat="1" x14ac:dyDescent="0.15"/>
    <row r="181" s="23" customFormat="1" x14ac:dyDescent="0.15"/>
    <row r="182" s="23" customFormat="1" x14ac:dyDescent="0.15"/>
    <row r="183" s="23" customFormat="1" x14ac:dyDescent="0.15"/>
    <row r="184" s="23" customFormat="1" x14ac:dyDescent="0.15"/>
    <row r="185" s="23" customFormat="1" x14ac:dyDescent="0.15"/>
    <row r="186" s="23" customFormat="1" x14ac:dyDescent="0.15"/>
    <row r="187" s="23" customFormat="1" x14ac:dyDescent="0.15"/>
    <row r="188" s="23" customFormat="1" x14ac:dyDescent="0.15"/>
    <row r="189" s="23" customFormat="1" x14ac:dyDescent="0.15"/>
    <row r="190" s="23" customFormat="1" x14ac:dyDescent="0.15"/>
    <row r="191" s="23" customFormat="1" x14ac:dyDescent="0.15"/>
    <row r="192" s="23" customFormat="1" x14ac:dyDescent="0.15"/>
    <row r="193" s="23" customFormat="1" x14ac:dyDescent="0.15"/>
    <row r="194" s="23" customFormat="1" x14ac:dyDescent="0.15"/>
    <row r="195" s="23" customFormat="1" x14ac:dyDescent="0.15"/>
    <row r="196" s="23" customFormat="1" x14ac:dyDescent="0.15"/>
    <row r="197" s="23" customFormat="1" x14ac:dyDescent="0.15"/>
    <row r="198" s="23" customFormat="1" x14ac:dyDescent="0.15"/>
    <row r="199" s="23" customFormat="1" x14ac:dyDescent="0.15"/>
    <row r="200" s="23" customFormat="1" x14ac:dyDescent="0.15"/>
    <row r="201" s="23" customFormat="1" x14ac:dyDescent="0.15"/>
    <row r="202" s="23" customFormat="1" x14ac:dyDescent="0.15"/>
    <row r="203" s="23" customFormat="1" x14ac:dyDescent="0.15"/>
    <row r="204" s="23" customFormat="1" x14ac:dyDescent="0.15"/>
    <row r="205" s="23" customFormat="1" x14ac:dyDescent="0.15"/>
    <row r="206" s="23" customFormat="1" x14ac:dyDescent="0.15"/>
    <row r="207" s="23" customFormat="1" x14ac:dyDescent="0.15"/>
    <row r="208" s="23" customFormat="1" x14ac:dyDescent="0.15"/>
    <row r="209" s="23" customFormat="1" x14ac:dyDescent="0.15"/>
    <row r="210" s="23" customFormat="1" x14ac:dyDescent="0.15"/>
    <row r="211" s="23" customFormat="1" x14ac:dyDescent="0.15"/>
    <row r="212" s="23" customFormat="1" x14ac:dyDescent="0.15"/>
    <row r="213" s="23" customFormat="1" x14ac:dyDescent="0.15"/>
    <row r="214" s="23" customFormat="1" x14ac:dyDescent="0.15"/>
    <row r="215" s="23" customFormat="1" x14ac:dyDescent="0.15"/>
    <row r="216" s="23" customFormat="1" x14ac:dyDescent="0.15"/>
    <row r="217" s="23" customFormat="1" x14ac:dyDescent="0.15"/>
    <row r="218" s="23" customFormat="1" x14ac:dyDescent="0.15"/>
    <row r="219" s="23" customFormat="1" x14ac:dyDescent="0.15"/>
    <row r="220" s="23" customFormat="1" x14ac:dyDescent="0.15"/>
    <row r="221" s="23" customFormat="1" x14ac:dyDescent="0.15"/>
    <row r="222" s="23" customFormat="1" x14ac:dyDescent="0.15"/>
    <row r="223" s="23" customFormat="1" x14ac:dyDescent="0.15"/>
    <row r="224" s="23" customFormat="1" x14ac:dyDescent="0.15"/>
    <row r="225" s="23" customFormat="1" x14ac:dyDescent="0.15"/>
    <row r="226" s="23" customFormat="1" x14ac:dyDescent="0.15"/>
    <row r="227" s="23" customFormat="1" x14ac:dyDescent="0.15"/>
    <row r="228" s="23" customFormat="1" x14ac:dyDescent="0.15"/>
    <row r="229" s="23" customFormat="1" x14ac:dyDescent="0.15"/>
    <row r="230" s="23" customFormat="1" x14ac:dyDescent="0.15"/>
    <row r="231" s="23" customFormat="1" x14ac:dyDescent="0.15"/>
    <row r="232" s="23" customFormat="1" x14ac:dyDescent="0.15"/>
    <row r="233" s="23" customFormat="1" x14ac:dyDescent="0.15"/>
    <row r="234" s="23" customFormat="1" x14ac:dyDescent="0.15"/>
    <row r="235" s="23" customFormat="1" x14ac:dyDescent="0.15"/>
    <row r="236" s="23" customFormat="1" x14ac:dyDescent="0.15"/>
    <row r="237" s="23" customFormat="1" x14ac:dyDescent="0.15"/>
    <row r="238" s="23" customFormat="1" x14ac:dyDescent="0.15"/>
    <row r="239" s="23" customFormat="1" x14ac:dyDescent="0.15"/>
    <row r="240" s="23" customFormat="1" x14ac:dyDescent="0.15"/>
    <row r="241" s="23" customFormat="1" x14ac:dyDescent="0.15"/>
    <row r="242" s="23" customFormat="1" x14ac:dyDescent="0.15"/>
    <row r="243" s="23" customFormat="1" x14ac:dyDescent="0.15"/>
    <row r="244" s="23" customFormat="1" x14ac:dyDescent="0.15"/>
    <row r="245" s="23" customFormat="1" x14ac:dyDescent="0.15"/>
    <row r="246" s="23" customFormat="1" x14ac:dyDescent="0.15"/>
    <row r="247" s="23" customFormat="1" x14ac:dyDescent="0.15"/>
    <row r="248" s="23" customFormat="1" x14ac:dyDescent="0.15"/>
    <row r="249" s="23" customFormat="1" x14ac:dyDescent="0.15"/>
    <row r="250" s="23" customFormat="1" x14ac:dyDescent="0.15"/>
    <row r="251" s="23" customFormat="1" x14ac:dyDescent="0.15"/>
    <row r="252" s="23" customFormat="1" x14ac:dyDescent="0.15"/>
    <row r="253" s="23" customFormat="1" x14ac:dyDescent="0.15"/>
    <row r="254" s="23" customFormat="1" x14ac:dyDescent="0.15"/>
    <row r="255" s="23" customFormat="1" x14ac:dyDescent="0.15"/>
    <row r="256" s="23" customFormat="1" x14ac:dyDescent="0.15"/>
    <row r="257" s="23" customFormat="1" x14ac:dyDescent="0.15"/>
    <row r="258" s="23" customFormat="1" x14ac:dyDescent="0.15"/>
    <row r="259" s="23" customFormat="1" x14ac:dyDescent="0.15"/>
    <row r="260" s="23" customFormat="1" x14ac:dyDescent="0.15"/>
    <row r="261" s="23" customFormat="1" x14ac:dyDescent="0.15"/>
    <row r="262" s="23" customFormat="1" x14ac:dyDescent="0.15"/>
    <row r="263" s="23" customFormat="1" x14ac:dyDescent="0.15"/>
    <row r="264" s="23" customFormat="1" x14ac:dyDescent="0.15"/>
    <row r="265" s="23" customFormat="1" x14ac:dyDescent="0.15"/>
    <row r="266" s="23" customFormat="1" x14ac:dyDescent="0.15"/>
    <row r="267" s="23" customFormat="1" x14ac:dyDescent="0.15"/>
    <row r="268" s="23" customFormat="1" x14ac:dyDescent="0.15"/>
    <row r="269" s="23" customFormat="1" x14ac:dyDescent="0.15"/>
    <row r="270" s="23" customFormat="1" x14ac:dyDescent="0.15"/>
    <row r="271" s="23" customFormat="1" x14ac:dyDescent="0.15"/>
    <row r="272" s="23" customFormat="1" x14ac:dyDescent="0.15"/>
    <row r="273" s="23" customFormat="1" x14ac:dyDescent="0.15"/>
    <row r="274" s="23" customFormat="1" x14ac:dyDescent="0.15"/>
    <row r="275" s="23" customFormat="1" x14ac:dyDescent="0.15"/>
    <row r="276" s="23" customFormat="1" x14ac:dyDescent="0.15"/>
    <row r="277" s="23" customFormat="1" x14ac:dyDescent="0.15"/>
    <row r="278" s="23" customFormat="1" x14ac:dyDescent="0.15"/>
    <row r="279" s="23" customFormat="1" x14ac:dyDescent="0.15"/>
    <row r="280" s="23" customFormat="1" x14ac:dyDescent="0.15"/>
    <row r="281" s="23" customFormat="1" x14ac:dyDescent="0.15"/>
    <row r="282" s="23" customFormat="1" x14ac:dyDescent="0.15"/>
    <row r="283" s="23" customFormat="1" x14ac:dyDescent="0.15"/>
    <row r="284" s="23" customFormat="1" x14ac:dyDescent="0.15"/>
    <row r="285" s="23" customFormat="1" x14ac:dyDescent="0.15"/>
    <row r="286" s="23" customFormat="1" x14ac:dyDescent="0.15"/>
    <row r="287" s="23" customFormat="1" x14ac:dyDescent="0.15"/>
    <row r="288" s="23" customFormat="1" x14ac:dyDescent="0.15"/>
    <row r="289" s="23" customFormat="1" x14ac:dyDescent="0.15"/>
    <row r="290" s="23" customFormat="1" x14ac:dyDescent="0.15"/>
    <row r="291" s="23" customFormat="1" x14ac:dyDescent="0.15"/>
    <row r="292" s="23" customFormat="1" x14ac:dyDescent="0.15"/>
    <row r="293" s="23" customFormat="1" x14ac:dyDescent="0.15"/>
    <row r="294" s="23" customFormat="1" x14ac:dyDescent="0.15"/>
    <row r="295" s="23" customFormat="1" x14ac:dyDescent="0.15"/>
    <row r="296" s="23" customFormat="1" x14ac:dyDescent="0.15"/>
    <row r="297" s="23" customFormat="1" x14ac:dyDescent="0.15"/>
    <row r="298" s="23" customFormat="1" x14ac:dyDescent="0.15"/>
    <row r="299" s="23" customFormat="1" x14ac:dyDescent="0.15"/>
    <row r="300" s="23" customFormat="1" x14ac:dyDescent="0.15"/>
    <row r="301" s="23" customFormat="1" x14ac:dyDescent="0.15"/>
    <row r="302" s="23" customFormat="1" x14ac:dyDescent="0.15"/>
    <row r="303" s="23" customFormat="1" x14ac:dyDescent="0.15"/>
    <row r="304" s="23" customFormat="1" x14ac:dyDescent="0.15"/>
    <row r="305" s="23" customFormat="1" x14ac:dyDescent="0.15"/>
    <row r="306" s="23" customFormat="1" x14ac:dyDescent="0.15"/>
    <row r="307" s="23" customFormat="1" x14ac:dyDescent="0.15"/>
    <row r="308" s="23" customFormat="1" x14ac:dyDescent="0.15"/>
    <row r="309" s="23" customFormat="1" x14ac:dyDescent="0.15"/>
    <row r="310" s="23" customFormat="1" x14ac:dyDescent="0.15"/>
    <row r="311" s="23" customFormat="1" x14ac:dyDescent="0.15"/>
    <row r="312" s="23" customFormat="1" x14ac:dyDescent="0.15"/>
    <row r="313" s="23" customFormat="1" x14ac:dyDescent="0.15"/>
    <row r="314" s="23" customFormat="1" x14ac:dyDescent="0.15"/>
    <row r="315" s="23" customFormat="1" x14ac:dyDescent="0.15"/>
    <row r="316" s="23" customFormat="1" x14ac:dyDescent="0.15"/>
    <row r="317" s="23" customFormat="1" x14ac:dyDescent="0.15"/>
    <row r="318" s="23" customFormat="1" x14ac:dyDescent="0.15"/>
    <row r="319" s="23" customFormat="1" x14ac:dyDescent="0.15"/>
    <row r="320" s="23" customFormat="1" x14ac:dyDescent="0.15"/>
    <row r="321" s="23" customFormat="1" x14ac:dyDescent="0.15"/>
    <row r="322" s="23" customFormat="1" x14ac:dyDescent="0.15"/>
    <row r="323" s="23" customFormat="1" x14ac:dyDescent="0.15"/>
    <row r="324" s="23" customFormat="1" x14ac:dyDescent="0.15"/>
    <row r="325" s="23" customFormat="1" x14ac:dyDescent="0.15"/>
    <row r="326" s="23" customFormat="1" x14ac:dyDescent="0.15"/>
    <row r="327" s="23" customFormat="1" x14ac:dyDescent="0.15"/>
    <row r="328" s="23" customFormat="1" x14ac:dyDescent="0.15"/>
    <row r="329" s="23" customFormat="1" x14ac:dyDescent="0.15"/>
    <row r="330" s="23" customFormat="1" x14ac:dyDescent="0.15"/>
    <row r="331" s="23" customFormat="1" x14ac:dyDescent="0.15"/>
    <row r="332" s="23" customFormat="1" x14ac:dyDescent="0.15"/>
    <row r="333" s="23" customFormat="1" x14ac:dyDescent="0.15"/>
    <row r="334" s="23" customFormat="1" x14ac:dyDescent="0.15"/>
    <row r="335" s="23" customFormat="1" x14ac:dyDescent="0.15"/>
    <row r="336" s="23" customFormat="1" x14ac:dyDescent="0.15"/>
    <row r="337" s="23" customFormat="1" x14ac:dyDescent="0.15"/>
    <row r="338" s="23" customFormat="1" x14ac:dyDescent="0.15"/>
    <row r="339" s="23" customFormat="1" x14ac:dyDescent="0.15"/>
    <row r="340" s="23" customFormat="1" x14ac:dyDescent="0.15"/>
    <row r="341" s="23" customFormat="1" x14ac:dyDescent="0.15"/>
    <row r="342" s="23" customFormat="1" x14ac:dyDescent="0.15"/>
    <row r="343" s="23" customFormat="1" x14ac:dyDescent="0.15"/>
    <row r="344" s="23" customFormat="1" x14ac:dyDescent="0.15"/>
    <row r="345" s="23" customFormat="1" x14ac:dyDescent="0.15"/>
    <row r="346" s="23" customFormat="1" x14ac:dyDescent="0.15"/>
    <row r="347" s="23" customFormat="1" x14ac:dyDescent="0.15"/>
    <row r="348" s="23" customFormat="1" x14ac:dyDescent="0.15"/>
    <row r="349" s="23" customFormat="1" x14ac:dyDescent="0.15"/>
    <row r="350" s="23" customFormat="1" x14ac:dyDescent="0.15"/>
    <row r="351" s="23" customFormat="1" x14ac:dyDescent="0.15"/>
    <row r="352" s="23" customFormat="1" x14ac:dyDescent="0.15"/>
    <row r="353" s="23" customFormat="1" x14ac:dyDescent="0.15"/>
    <row r="354" s="23" customFormat="1" x14ac:dyDescent="0.15"/>
    <row r="355" s="23" customFormat="1" x14ac:dyDescent="0.15"/>
  </sheetData>
  <sheetProtection password="CD7B" sheet="1" objects="1" scenarios="1"/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F4:Q4 W4:AC4 C39:L45 F1:L3 C1 B2:C38 D1:E38 A1:A38 F5:L38" xr:uid="{00000000-0002-0000-0400-000000000000}"/>
  </dataValidations>
  <pageMargins left="0.26" right="0.18" top="0.28000000000000003" bottom="0.25" header="0.19" footer="0.18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1"/>
  <sheetViews>
    <sheetView showGridLines="0" zoomScale="110" zoomScaleNormal="110" zoomScaleSheetLayoutView="75" workbookViewId="0">
      <pane xSplit="2" ySplit="7" topLeftCell="J8" activePane="bottomRight" state="frozen"/>
      <selection activeCell="H14" sqref="H14"/>
      <selection pane="bottomLeft" activeCell="H14" sqref="H14"/>
      <selection pane="topRight" activeCell="H14" sqref="H14"/>
      <selection pane="bottomRight" activeCell="X8" sqref="X8:Z37"/>
    </sheetView>
  </sheetViews>
  <sheetFormatPr defaultColWidth="11.4609375" defaultRowHeight="12.75" x14ac:dyDescent="0.15"/>
  <cols>
    <col min="1" max="1" width="4.58203125" style="7" customWidth="1"/>
    <col min="2" max="2" width="22.3828125" style="7" customWidth="1"/>
    <col min="3" max="19" width="7.953125" style="7" customWidth="1"/>
    <col min="20" max="21" width="10.3828125" style="7" customWidth="1"/>
    <col min="22" max="22" width="9.70703125" style="7" customWidth="1"/>
    <col min="23" max="24" width="7.953125" style="7" customWidth="1"/>
    <col min="25" max="25" width="7.8203125" style="7" customWidth="1"/>
    <col min="26" max="26" width="7.953125" style="7" customWidth="1"/>
    <col min="27" max="27" width="2.96484375" style="7" customWidth="1"/>
    <col min="28" max="16384" width="11.4609375" style="7"/>
  </cols>
  <sheetData>
    <row r="1" spans="1:29" s="35" customFormat="1" ht="13.5" thickBo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spans="1:29" s="9" customFormat="1" ht="18.75" thickBot="1" x14ac:dyDescent="0.2">
      <c r="A2" s="21"/>
      <c r="B2" s="735" t="str">
        <f>'1.Stratégie'!B2</f>
        <v>Microplanification Campagne de vaccination préventive contre la Rougeole et la Rubeole (RR), 2023</v>
      </c>
      <c r="C2" s="506"/>
      <c r="D2" s="506"/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758"/>
    </row>
    <row r="3" spans="1:29" ht="25.5" customHeight="1" x14ac:dyDescent="0.15">
      <c r="A3" s="19"/>
      <c r="B3" s="901" t="s">
        <v>280</v>
      </c>
      <c r="C3" s="902"/>
      <c r="D3" s="18"/>
      <c r="E3" s="18"/>
      <c r="F3" s="18"/>
      <c r="G3" s="18"/>
      <c r="H3" s="18"/>
      <c r="I3" s="18"/>
      <c r="J3" s="18"/>
      <c r="K3" s="18"/>
      <c r="L3" s="18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9" s="9" customFormat="1" ht="18" x14ac:dyDescent="0.15">
      <c r="A4" s="21"/>
      <c r="B4" s="130" t="str">
        <f>'1.Stratégie'!B4</f>
        <v>PAYS :</v>
      </c>
      <c r="C4" s="31"/>
      <c r="D4" s="826" t="str">
        <f>'1.Stratégie'!$C$4</f>
        <v>CAMEROUN</v>
      </c>
      <c r="E4" s="827"/>
      <c r="F4" s="827"/>
      <c r="G4" s="827"/>
      <c r="H4" s="21"/>
      <c r="I4" s="21"/>
      <c r="J4" s="129" t="str">
        <f>'1.Stratégie'!$D$4</f>
        <v>REGION :</v>
      </c>
      <c r="K4" s="826">
        <f>'1.Stratégie'!$E$4</f>
        <v>0</v>
      </c>
      <c r="L4" s="828"/>
      <c r="M4" s="828"/>
      <c r="N4" s="21"/>
      <c r="O4" s="21"/>
      <c r="P4" s="128" t="str">
        <f>IF(('1.Stratégie'!$F$4)="","",'1.Stratégie'!$F$4)</f>
        <v>DISTRICT :</v>
      </c>
      <c r="Q4" s="826">
        <f>IF(('1.Stratégie'!$G$4)="","",'1.Stratégie'!$G$4)</f>
        <v>0</v>
      </c>
      <c r="R4" s="826"/>
      <c r="S4" s="826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 spans="1:29" s="9" customFormat="1" ht="12" customHeight="1" thickBot="1" x14ac:dyDescent="0.2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9" s="9" customFormat="1" ht="25.5" customHeight="1" thickBot="1" x14ac:dyDescent="0.2">
      <c r="A6" s="21"/>
      <c r="B6" s="154"/>
      <c r="C6" s="646" t="s">
        <v>20</v>
      </c>
      <c r="D6" s="647"/>
      <c r="E6" s="647"/>
      <c r="F6" s="648"/>
      <c r="G6" s="646" t="s">
        <v>21</v>
      </c>
      <c r="H6" s="647"/>
      <c r="I6" s="647"/>
      <c r="J6" s="646" t="s">
        <v>22</v>
      </c>
      <c r="K6" s="647"/>
      <c r="L6" s="647"/>
      <c r="M6" s="646" t="s">
        <v>34</v>
      </c>
      <c r="N6" s="649"/>
      <c r="O6" s="649"/>
      <c r="P6" s="785" t="s">
        <v>478</v>
      </c>
      <c r="Q6" s="786"/>
      <c r="R6" s="786"/>
      <c r="S6" s="787"/>
      <c r="T6" s="907" t="s">
        <v>496</v>
      </c>
      <c r="U6" s="909" t="s">
        <v>503</v>
      </c>
      <c r="V6" s="909" t="s">
        <v>504</v>
      </c>
      <c r="W6" s="650" t="s">
        <v>91</v>
      </c>
      <c r="X6" s="651"/>
      <c r="Y6" s="905" t="s">
        <v>263</v>
      </c>
      <c r="Z6" s="903" t="s">
        <v>123</v>
      </c>
      <c r="AA6" s="23"/>
    </row>
    <row r="7" spans="1:29" s="37" customFormat="1" ht="43.5" customHeight="1" thickBot="1" x14ac:dyDescent="0.2">
      <c r="A7" s="759"/>
      <c r="B7" s="656" t="str">
        <f>'1.Stratégie'!B6</f>
        <v>AIRE DE SANTE</v>
      </c>
      <c r="C7" s="652" t="s">
        <v>36</v>
      </c>
      <c r="D7" s="653" t="s">
        <v>95</v>
      </c>
      <c r="E7" s="653" t="s">
        <v>96</v>
      </c>
      <c r="F7" s="654" t="s">
        <v>97</v>
      </c>
      <c r="G7" s="655" t="str">
        <f>C7</f>
        <v>équipes</v>
      </c>
      <c r="H7" s="653" t="str">
        <f>D7</f>
        <v>Vaccina
teur</v>
      </c>
      <c r="I7" s="654" t="str">
        <f>E7</f>
        <v>Enregis
treur</v>
      </c>
      <c r="J7" s="655" t="str">
        <f t="shared" ref="J7:O7" si="0">G7</f>
        <v>équipes</v>
      </c>
      <c r="K7" s="653" t="str">
        <f t="shared" si="0"/>
        <v>Vaccina
teur</v>
      </c>
      <c r="L7" s="654" t="str">
        <f t="shared" si="0"/>
        <v>Enregis
treur</v>
      </c>
      <c r="M7" s="655" t="str">
        <f t="shared" si="0"/>
        <v>équipes</v>
      </c>
      <c r="N7" s="653" t="str">
        <f t="shared" si="0"/>
        <v>Vaccina
teur</v>
      </c>
      <c r="O7" s="781" t="str">
        <f t="shared" si="0"/>
        <v>Enregis
treur</v>
      </c>
      <c r="P7" s="788" t="str">
        <f t="shared" ref="P7" si="1">M7</f>
        <v>équipes</v>
      </c>
      <c r="Q7" s="789" t="str">
        <f t="shared" ref="Q7" si="2">N7</f>
        <v>Vaccina
teur</v>
      </c>
      <c r="R7" s="794" t="str">
        <f>O7</f>
        <v>Enregis
treur</v>
      </c>
      <c r="S7" s="790" t="str">
        <f>F7</f>
        <v>volon
taire</v>
      </c>
      <c r="T7" s="908"/>
      <c r="U7" s="910"/>
      <c r="V7" s="910"/>
      <c r="W7" s="653" t="s">
        <v>124</v>
      </c>
      <c r="X7" s="652" t="s">
        <v>269</v>
      </c>
      <c r="Y7" s="906"/>
      <c r="Z7" s="904"/>
      <c r="AA7" s="185"/>
    </row>
    <row r="8" spans="1:29" s="38" customFormat="1" x14ac:dyDescent="0.15">
      <c r="A8" s="760">
        <v>1</v>
      </c>
      <c r="B8" s="283">
        <f>'1.Stratégie'!B8</f>
        <v>0</v>
      </c>
      <c r="C8" s="284">
        <f>'2.Equipe'!F7</f>
        <v>0</v>
      </c>
      <c r="D8" s="285">
        <f>C8*2</f>
        <v>0</v>
      </c>
      <c r="E8" s="285">
        <f>C8*1</f>
        <v>0</v>
      </c>
      <c r="F8" s="286">
        <f>C8*1</f>
        <v>0</v>
      </c>
      <c r="G8" s="284">
        <f>'2.Equipe'!H7</f>
        <v>0</v>
      </c>
      <c r="H8" s="285">
        <f>G8*1</f>
        <v>0</v>
      </c>
      <c r="I8" s="285">
        <f>G8*1</f>
        <v>0</v>
      </c>
      <c r="J8" s="284">
        <f>'2.Equipe'!J7</f>
        <v>0</v>
      </c>
      <c r="K8" s="285">
        <f>J8*1</f>
        <v>0</v>
      </c>
      <c r="L8" s="285">
        <f>J8*1</f>
        <v>0</v>
      </c>
      <c r="M8" s="284">
        <f>'2.Equipe'!L7</f>
        <v>0</v>
      </c>
      <c r="N8" s="285">
        <f>M8*1</f>
        <v>0</v>
      </c>
      <c r="O8" s="782">
        <f>M8*1</f>
        <v>0</v>
      </c>
      <c r="P8" s="791">
        <f>SUM(C8,G8,J8,M8)</f>
        <v>0</v>
      </c>
      <c r="Q8" s="792">
        <f t="shared" ref="Q8:R8" si="3">SUM(D8,H8,K8,N8)</f>
        <v>0</v>
      </c>
      <c r="R8" s="795">
        <f t="shared" si="3"/>
        <v>0</v>
      </c>
      <c r="S8" s="793">
        <f>F8</f>
        <v>0</v>
      </c>
      <c r="T8" s="284">
        <f>IF($B8=0,0,IF(AND('1.Stratégie'!$J8&gt;1,$B8&lt;&gt;"SSD"),1,0))</f>
        <v>0</v>
      </c>
      <c r="U8" s="814">
        <f>IF($B8=0,0,IF(AND('1.Stratégie'!$J8&gt;1,$B8&lt;&gt;"SSD"),1,0))</f>
        <v>0</v>
      </c>
      <c r="V8" s="812">
        <f>ROUNDUP(IF(P8&lt;=Data!$B$31,0,P8/Data!$B$31),0)</f>
        <v>0</v>
      </c>
      <c r="W8" s="285">
        <f>SUM(C8,G8,J8,M8)</f>
        <v>0</v>
      </c>
      <c r="X8" s="113"/>
      <c r="Y8" s="160"/>
      <c r="Z8" s="114"/>
      <c r="AA8" s="30"/>
    </row>
    <row r="9" spans="1:29" s="38" customFormat="1" x14ac:dyDescent="0.15">
      <c r="A9" s="761">
        <v>2</v>
      </c>
      <c r="B9" s="287">
        <f>'1.Stratégie'!B9</f>
        <v>0</v>
      </c>
      <c r="C9" s="284">
        <f>'2.Equipe'!F8</f>
        <v>0</v>
      </c>
      <c r="D9" s="285">
        <f t="shared" ref="D9:D37" si="4">C9*2</f>
        <v>0</v>
      </c>
      <c r="E9" s="285">
        <f t="shared" ref="E9:E37" si="5">C9*1</f>
        <v>0</v>
      </c>
      <c r="F9" s="286">
        <f t="shared" ref="F9:F37" si="6">C9*1</f>
        <v>0</v>
      </c>
      <c r="G9" s="284">
        <f>'2.Equipe'!H8</f>
        <v>0</v>
      </c>
      <c r="H9" s="285">
        <f t="shared" ref="H9:H37" si="7">G9*1</f>
        <v>0</v>
      </c>
      <c r="I9" s="285">
        <f t="shared" ref="I9:I37" si="8">G9*1</f>
        <v>0</v>
      </c>
      <c r="J9" s="284">
        <f>'2.Equipe'!J8</f>
        <v>0</v>
      </c>
      <c r="K9" s="285">
        <f t="shared" ref="K9:K37" si="9">J9*1</f>
        <v>0</v>
      </c>
      <c r="L9" s="285">
        <f t="shared" ref="L9:L37" si="10">J9*1</f>
        <v>0</v>
      </c>
      <c r="M9" s="284">
        <f>'2.Equipe'!L8</f>
        <v>0</v>
      </c>
      <c r="N9" s="285">
        <f t="shared" ref="N9:N37" si="11">M9*1</f>
        <v>0</v>
      </c>
      <c r="O9" s="782">
        <f t="shared" ref="O9:O37" si="12">M9*1</f>
        <v>0</v>
      </c>
      <c r="P9" s="791">
        <f t="shared" ref="P9:P37" si="13">SUM(C9,G9,J9,M9)</f>
        <v>0</v>
      </c>
      <c r="Q9" s="792">
        <f t="shared" ref="Q9:Q37" si="14">SUM(D9,H9,K9,N9)</f>
        <v>0</v>
      </c>
      <c r="R9" s="795">
        <f t="shared" ref="R9:R37" si="15">SUM(E9,I9,L9,O9)</f>
        <v>0</v>
      </c>
      <c r="S9" s="793">
        <f t="shared" ref="S9:S37" si="16">F9</f>
        <v>0</v>
      </c>
      <c r="T9" s="284">
        <f>IF($B9=0,0,IF(AND('1.Stratégie'!$J9&gt;1,$B9&lt;&gt;"SSD"),1,0))</f>
        <v>0</v>
      </c>
      <c r="U9" s="814">
        <f>IF($B9=0,0,IF(AND('1.Stratégie'!$J9&gt;1,$B9&lt;&gt;"SSD"),1,0))</f>
        <v>0</v>
      </c>
      <c r="V9" s="812">
        <f>ROUNDUP(IF(P9&lt;=Data!$B$31,0,P9/Data!$B$31),0)</f>
        <v>0</v>
      </c>
      <c r="W9" s="285">
        <f t="shared" ref="W9:W37" si="17">SUM(C9,G9,J9,M9)</f>
        <v>0</v>
      </c>
      <c r="X9" s="113"/>
      <c r="Y9" s="160"/>
      <c r="Z9" s="114"/>
      <c r="AA9" s="30"/>
    </row>
    <row r="10" spans="1:29" s="38" customFormat="1" x14ac:dyDescent="0.15">
      <c r="A10" s="761">
        <v>3</v>
      </c>
      <c r="B10" s="287">
        <f>'1.Stratégie'!B10</f>
        <v>0</v>
      </c>
      <c r="C10" s="284">
        <f>'2.Equipe'!F9</f>
        <v>0</v>
      </c>
      <c r="D10" s="285">
        <f t="shared" si="4"/>
        <v>0</v>
      </c>
      <c r="E10" s="285">
        <f t="shared" si="5"/>
        <v>0</v>
      </c>
      <c r="F10" s="286">
        <f t="shared" si="6"/>
        <v>0</v>
      </c>
      <c r="G10" s="284">
        <f>'2.Equipe'!H9</f>
        <v>0</v>
      </c>
      <c r="H10" s="285">
        <f t="shared" si="7"/>
        <v>0</v>
      </c>
      <c r="I10" s="285">
        <f t="shared" si="8"/>
        <v>0</v>
      </c>
      <c r="J10" s="284">
        <f>'2.Equipe'!J9</f>
        <v>0</v>
      </c>
      <c r="K10" s="285">
        <f t="shared" si="9"/>
        <v>0</v>
      </c>
      <c r="L10" s="285">
        <f t="shared" si="10"/>
        <v>0</v>
      </c>
      <c r="M10" s="284">
        <f>'2.Equipe'!L9</f>
        <v>0</v>
      </c>
      <c r="N10" s="285">
        <f t="shared" si="11"/>
        <v>0</v>
      </c>
      <c r="O10" s="782">
        <f t="shared" si="12"/>
        <v>0</v>
      </c>
      <c r="P10" s="791">
        <f t="shared" si="13"/>
        <v>0</v>
      </c>
      <c r="Q10" s="792">
        <f t="shared" si="14"/>
        <v>0</v>
      </c>
      <c r="R10" s="795">
        <f t="shared" si="15"/>
        <v>0</v>
      </c>
      <c r="S10" s="793">
        <f t="shared" si="16"/>
        <v>0</v>
      </c>
      <c r="T10" s="284">
        <f>IF($B10=0,0,IF(AND('1.Stratégie'!$J10&gt;1,$B10&lt;&gt;"SSD"),1,0))</f>
        <v>0</v>
      </c>
      <c r="U10" s="814">
        <f>IF($B10=0,0,IF(AND('1.Stratégie'!$J10&gt;1,$B10&lt;&gt;"SSD"),1,0))</f>
        <v>0</v>
      </c>
      <c r="V10" s="812">
        <f>ROUNDUP(IF(P10&lt;=Data!$B$31,0,P10/Data!$B$31),0)</f>
        <v>0</v>
      </c>
      <c r="W10" s="285">
        <f t="shared" si="17"/>
        <v>0</v>
      </c>
      <c r="X10" s="113"/>
      <c r="Y10" s="160"/>
      <c r="Z10" s="114"/>
      <c r="AA10" s="30"/>
    </row>
    <row r="11" spans="1:29" s="38" customFormat="1" x14ac:dyDescent="0.15">
      <c r="A11" s="761">
        <v>4</v>
      </c>
      <c r="B11" s="287">
        <f>'1.Stratégie'!B11</f>
        <v>0</v>
      </c>
      <c r="C11" s="284">
        <f>'2.Equipe'!F10</f>
        <v>0</v>
      </c>
      <c r="D11" s="285">
        <f t="shared" si="4"/>
        <v>0</v>
      </c>
      <c r="E11" s="285">
        <f t="shared" si="5"/>
        <v>0</v>
      </c>
      <c r="F11" s="286">
        <f t="shared" si="6"/>
        <v>0</v>
      </c>
      <c r="G11" s="284">
        <f>'2.Equipe'!H10</f>
        <v>0</v>
      </c>
      <c r="H11" s="285">
        <f t="shared" si="7"/>
        <v>0</v>
      </c>
      <c r="I11" s="285">
        <f t="shared" si="8"/>
        <v>0</v>
      </c>
      <c r="J11" s="284">
        <f>'2.Equipe'!J10</f>
        <v>0</v>
      </c>
      <c r="K11" s="285">
        <f t="shared" si="9"/>
        <v>0</v>
      </c>
      <c r="L11" s="285">
        <f t="shared" si="10"/>
        <v>0</v>
      </c>
      <c r="M11" s="284">
        <f>'2.Equipe'!L10</f>
        <v>0</v>
      </c>
      <c r="N11" s="285">
        <f t="shared" si="11"/>
        <v>0</v>
      </c>
      <c r="O11" s="782">
        <f t="shared" si="12"/>
        <v>0</v>
      </c>
      <c r="P11" s="791">
        <f t="shared" si="13"/>
        <v>0</v>
      </c>
      <c r="Q11" s="792">
        <f t="shared" si="14"/>
        <v>0</v>
      </c>
      <c r="R11" s="795">
        <f t="shared" si="15"/>
        <v>0</v>
      </c>
      <c r="S11" s="793">
        <f t="shared" si="16"/>
        <v>0</v>
      </c>
      <c r="T11" s="284">
        <f>IF($B11=0,0,IF(AND('1.Stratégie'!$J11&gt;1,$B11&lt;&gt;"SSD"),1,0))</f>
        <v>0</v>
      </c>
      <c r="U11" s="814">
        <f>IF($B11=0,0,IF(AND('1.Stratégie'!$J11&gt;1,$B11&lt;&gt;"SSD"),1,0))</f>
        <v>0</v>
      </c>
      <c r="V11" s="812">
        <f>ROUNDUP(IF(P11&lt;=Data!$B$31,0,P11/Data!$B$31),0)</f>
        <v>0</v>
      </c>
      <c r="W11" s="285">
        <f t="shared" si="17"/>
        <v>0</v>
      </c>
      <c r="X11" s="113"/>
      <c r="Y11" s="160"/>
      <c r="Z11" s="114"/>
      <c r="AA11" s="30"/>
    </row>
    <row r="12" spans="1:29" s="38" customFormat="1" x14ac:dyDescent="0.15">
      <c r="A12" s="761">
        <v>5</v>
      </c>
      <c r="B12" s="287">
        <f>'1.Stratégie'!B12</f>
        <v>0</v>
      </c>
      <c r="C12" s="284">
        <f>'2.Equipe'!F11</f>
        <v>0</v>
      </c>
      <c r="D12" s="285">
        <f t="shared" si="4"/>
        <v>0</v>
      </c>
      <c r="E12" s="285">
        <f t="shared" si="5"/>
        <v>0</v>
      </c>
      <c r="F12" s="286">
        <f t="shared" si="6"/>
        <v>0</v>
      </c>
      <c r="G12" s="284">
        <f>'2.Equipe'!H11</f>
        <v>0</v>
      </c>
      <c r="H12" s="285">
        <f t="shared" si="7"/>
        <v>0</v>
      </c>
      <c r="I12" s="285">
        <f t="shared" si="8"/>
        <v>0</v>
      </c>
      <c r="J12" s="284">
        <f>'2.Equipe'!J11</f>
        <v>0</v>
      </c>
      <c r="K12" s="285">
        <f t="shared" si="9"/>
        <v>0</v>
      </c>
      <c r="L12" s="285">
        <f t="shared" si="10"/>
        <v>0</v>
      </c>
      <c r="M12" s="284">
        <f>'2.Equipe'!L11</f>
        <v>0</v>
      </c>
      <c r="N12" s="285">
        <f t="shared" si="11"/>
        <v>0</v>
      </c>
      <c r="O12" s="782">
        <f t="shared" si="12"/>
        <v>0</v>
      </c>
      <c r="P12" s="791">
        <f t="shared" si="13"/>
        <v>0</v>
      </c>
      <c r="Q12" s="792">
        <f t="shared" si="14"/>
        <v>0</v>
      </c>
      <c r="R12" s="795">
        <f t="shared" si="15"/>
        <v>0</v>
      </c>
      <c r="S12" s="793">
        <f t="shared" si="16"/>
        <v>0</v>
      </c>
      <c r="T12" s="284">
        <f>IF($B12=0,0,IF(AND('1.Stratégie'!$J12&gt;1,$B12&lt;&gt;"SSD"),1,0))</f>
        <v>0</v>
      </c>
      <c r="U12" s="814">
        <f>IF($B12=0,0,IF(AND('1.Stratégie'!$J12&gt;1,$B12&lt;&gt;"SSD"),1,0))</f>
        <v>0</v>
      </c>
      <c r="V12" s="812">
        <f>ROUNDUP(IF(P12&lt;=Data!$B$31,0,P12/Data!$B$31),0)</f>
        <v>0</v>
      </c>
      <c r="W12" s="285">
        <f t="shared" si="17"/>
        <v>0</v>
      </c>
      <c r="X12" s="113"/>
      <c r="Y12" s="160"/>
      <c r="Z12" s="114"/>
      <c r="AA12" s="30"/>
    </row>
    <row r="13" spans="1:29" s="38" customFormat="1" x14ac:dyDescent="0.15">
      <c r="A13" s="761">
        <v>6</v>
      </c>
      <c r="B13" s="287">
        <f>'1.Stratégie'!B13</f>
        <v>0</v>
      </c>
      <c r="C13" s="284">
        <f>'2.Equipe'!F12</f>
        <v>0</v>
      </c>
      <c r="D13" s="285">
        <f t="shared" si="4"/>
        <v>0</v>
      </c>
      <c r="E13" s="285">
        <f t="shared" si="5"/>
        <v>0</v>
      </c>
      <c r="F13" s="286">
        <f t="shared" si="6"/>
        <v>0</v>
      </c>
      <c r="G13" s="284">
        <f>'2.Equipe'!H12</f>
        <v>0</v>
      </c>
      <c r="H13" s="285">
        <f t="shared" si="7"/>
        <v>0</v>
      </c>
      <c r="I13" s="285">
        <f t="shared" si="8"/>
        <v>0</v>
      </c>
      <c r="J13" s="284">
        <f>'2.Equipe'!J12</f>
        <v>0</v>
      </c>
      <c r="K13" s="285">
        <f t="shared" si="9"/>
        <v>0</v>
      </c>
      <c r="L13" s="285">
        <f t="shared" si="10"/>
        <v>0</v>
      </c>
      <c r="M13" s="284">
        <f>'2.Equipe'!L12</f>
        <v>0</v>
      </c>
      <c r="N13" s="285">
        <f t="shared" si="11"/>
        <v>0</v>
      </c>
      <c r="O13" s="782">
        <f t="shared" si="12"/>
        <v>0</v>
      </c>
      <c r="P13" s="791">
        <f t="shared" si="13"/>
        <v>0</v>
      </c>
      <c r="Q13" s="792">
        <f t="shared" si="14"/>
        <v>0</v>
      </c>
      <c r="R13" s="795">
        <f t="shared" si="15"/>
        <v>0</v>
      </c>
      <c r="S13" s="793">
        <f t="shared" si="16"/>
        <v>0</v>
      </c>
      <c r="T13" s="284">
        <f>IF($B13=0,0,IF(AND('1.Stratégie'!$J13&gt;1,$B13&lt;&gt;"SSD"),1,0))</f>
        <v>0</v>
      </c>
      <c r="U13" s="814">
        <f>IF($B13=0,0,IF(AND('1.Stratégie'!$J13&gt;1,$B13&lt;&gt;"SSD"),1,0))</f>
        <v>0</v>
      </c>
      <c r="V13" s="812">
        <f>ROUNDUP(IF(P13&lt;=Data!$B$31,0,P13/Data!$B$31),0)</f>
        <v>0</v>
      </c>
      <c r="W13" s="285">
        <f t="shared" si="17"/>
        <v>0</v>
      </c>
      <c r="X13" s="113"/>
      <c r="Y13" s="160"/>
      <c r="Z13" s="114"/>
      <c r="AA13" s="30"/>
    </row>
    <row r="14" spans="1:29" s="38" customFormat="1" x14ac:dyDescent="0.15">
      <c r="A14" s="761">
        <v>7</v>
      </c>
      <c r="B14" s="287">
        <f>'1.Stratégie'!B14</f>
        <v>0</v>
      </c>
      <c r="C14" s="284">
        <f>'2.Equipe'!F13</f>
        <v>0</v>
      </c>
      <c r="D14" s="285">
        <f t="shared" si="4"/>
        <v>0</v>
      </c>
      <c r="E14" s="285">
        <f t="shared" si="5"/>
        <v>0</v>
      </c>
      <c r="F14" s="286">
        <f t="shared" si="6"/>
        <v>0</v>
      </c>
      <c r="G14" s="284">
        <f>'2.Equipe'!H13</f>
        <v>0</v>
      </c>
      <c r="H14" s="285">
        <f t="shared" si="7"/>
        <v>0</v>
      </c>
      <c r="I14" s="285">
        <f t="shared" si="8"/>
        <v>0</v>
      </c>
      <c r="J14" s="284">
        <f>'2.Equipe'!J13</f>
        <v>0</v>
      </c>
      <c r="K14" s="285">
        <f t="shared" si="9"/>
        <v>0</v>
      </c>
      <c r="L14" s="285">
        <f t="shared" si="10"/>
        <v>0</v>
      </c>
      <c r="M14" s="284">
        <f>'2.Equipe'!L13</f>
        <v>0</v>
      </c>
      <c r="N14" s="285">
        <f t="shared" si="11"/>
        <v>0</v>
      </c>
      <c r="O14" s="782">
        <f t="shared" si="12"/>
        <v>0</v>
      </c>
      <c r="P14" s="791">
        <f t="shared" si="13"/>
        <v>0</v>
      </c>
      <c r="Q14" s="792">
        <f t="shared" si="14"/>
        <v>0</v>
      </c>
      <c r="R14" s="795">
        <f t="shared" si="15"/>
        <v>0</v>
      </c>
      <c r="S14" s="793">
        <f t="shared" si="16"/>
        <v>0</v>
      </c>
      <c r="T14" s="284">
        <f>IF($B14=0,0,IF(AND('1.Stratégie'!$J14&gt;1,$B14&lt;&gt;"SSD"),1,0))</f>
        <v>0</v>
      </c>
      <c r="U14" s="814">
        <f>IF($B14=0,0,IF(AND('1.Stratégie'!$J14&gt;1,$B14&lt;&gt;"SSD"),1,0))</f>
        <v>0</v>
      </c>
      <c r="V14" s="812">
        <f>ROUNDUP(IF(P14&lt;=Data!$B$31,0,P14/Data!$B$31),0)</f>
        <v>0</v>
      </c>
      <c r="W14" s="285">
        <f t="shared" si="17"/>
        <v>0</v>
      </c>
      <c r="X14" s="113"/>
      <c r="Y14" s="160"/>
      <c r="Z14" s="114"/>
      <c r="AA14" s="30"/>
    </row>
    <row r="15" spans="1:29" s="38" customFormat="1" x14ac:dyDescent="0.15">
      <c r="A15" s="761">
        <v>8</v>
      </c>
      <c r="B15" s="287">
        <f>'1.Stratégie'!B15</f>
        <v>0</v>
      </c>
      <c r="C15" s="284">
        <f>'2.Equipe'!F14</f>
        <v>0</v>
      </c>
      <c r="D15" s="285">
        <f t="shared" si="4"/>
        <v>0</v>
      </c>
      <c r="E15" s="285">
        <f t="shared" si="5"/>
        <v>0</v>
      </c>
      <c r="F15" s="286">
        <f t="shared" si="6"/>
        <v>0</v>
      </c>
      <c r="G15" s="284">
        <f>'2.Equipe'!H14</f>
        <v>0</v>
      </c>
      <c r="H15" s="285">
        <f t="shared" si="7"/>
        <v>0</v>
      </c>
      <c r="I15" s="285">
        <f t="shared" si="8"/>
        <v>0</v>
      </c>
      <c r="J15" s="284">
        <f>'2.Equipe'!J14</f>
        <v>0</v>
      </c>
      <c r="K15" s="285">
        <f t="shared" si="9"/>
        <v>0</v>
      </c>
      <c r="L15" s="285">
        <f t="shared" si="10"/>
        <v>0</v>
      </c>
      <c r="M15" s="284">
        <f>'2.Equipe'!L14</f>
        <v>0</v>
      </c>
      <c r="N15" s="285">
        <f t="shared" si="11"/>
        <v>0</v>
      </c>
      <c r="O15" s="782">
        <f t="shared" si="12"/>
        <v>0</v>
      </c>
      <c r="P15" s="791">
        <f t="shared" si="13"/>
        <v>0</v>
      </c>
      <c r="Q15" s="792">
        <f t="shared" si="14"/>
        <v>0</v>
      </c>
      <c r="R15" s="795">
        <f t="shared" si="15"/>
        <v>0</v>
      </c>
      <c r="S15" s="793">
        <f t="shared" si="16"/>
        <v>0</v>
      </c>
      <c r="T15" s="284">
        <f>IF($B15=0,0,IF(AND('1.Stratégie'!$J15&gt;1,$B15&lt;&gt;"SSD"),1,0))</f>
        <v>0</v>
      </c>
      <c r="U15" s="814">
        <f>IF($B15=0,0,IF(AND('1.Stratégie'!$J15&gt;1,$B15&lt;&gt;"SSD"),1,0))</f>
        <v>0</v>
      </c>
      <c r="V15" s="812">
        <f>ROUNDUP(IF(P15&lt;=Data!$B$31,0,P15/Data!$B$31),0)</f>
        <v>0</v>
      </c>
      <c r="W15" s="285">
        <f t="shared" si="17"/>
        <v>0</v>
      </c>
      <c r="X15" s="113"/>
      <c r="Y15" s="160"/>
      <c r="Z15" s="114"/>
      <c r="AA15" s="30"/>
    </row>
    <row r="16" spans="1:29" s="38" customFormat="1" x14ac:dyDescent="0.15">
      <c r="A16" s="761">
        <v>9</v>
      </c>
      <c r="B16" s="287">
        <f>'1.Stratégie'!B16</f>
        <v>0</v>
      </c>
      <c r="C16" s="284">
        <f>'2.Equipe'!F15</f>
        <v>0</v>
      </c>
      <c r="D16" s="285">
        <f t="shared" si="4"/>
        <v>0</v>
      </c>
      <c r="E16" s="285">
        <f t="shared" si="5"/>
        <v>0</v>
      </c>
      <c r="F16" s="286">
        <f t="shared" si="6"/>
        <v>0</v>
      </c>
      <c r="G16" s="284">
        <f>'2.Equipe'!H15</f>
        <v>0</v>
      </c>
      <c r="H16" s="285">
        <f t="shared" si="7"/>
        <v>0</v>
      </c>
      <c r="I16" s="285">
        <f t="shared" si="8"/>
        <v>0</v>
      </c>
      <c r="J16" s="284">
        <f>'2.Equipe'!J15</f>
        <v>0</v>
      </c>
      <c r="K16" s="285">
        <f t="shared" si="9"/>
        <v>0</v>
      </c>
      <c r="L16" s="285">
        <f t="shared" si="10"/>
        <v>0</v>
      </c>
      <c r="M16" s="284">
        <f>'2.Equipe'!L15</f>
        <v>0</v>
      </c>
      <c r="N16" s="285">
        <f t="shared" si="11"/>
        <v>0</v>
      </c>
      <c r="O16" s="782">
        <f t="shared" si="12"/>
        <v>0</v>
      </c>
      <c r="P16" s="791">
        <f t="shared" si="13"/>
        <v>0</v>
      </c>
      <c r="Q16" s="792">
        <f t="shared" si="14"/>
        <v>0</v>
      </c>
      <c r="R16" s="795">
        <f t="shared" si="15"/>
        <v>0</v>
      </c>
      <c r="S16" s="793">
        <f t="shared" si="16"/>
        <v>0</v>
      </c>
      <c r="T16" s="284">
        <f>IF($B16=0,0,IF(AND('1.Stratégie'!$J16&gt;1,$B16&lt;&gt;"SSD"),1,0))</f>
        <v>0</v>
      </c>
      <c r="U16" s="814">
        <f>IF($B16=0,0,IF(AND('1.Stratégie'!$J16&gt;1,$B16&lt;&gt;"SSD"),1,0))</f>
        <v>0</v>
      </c>
      <c r="V16" s="812">
        <f>ROUNDUP(IF(P16&lt;=Data!$B$31,0,P16/Data!$B$31),0)</f>
        <v>0</v>
      </c>
      <c r="W16" s="285">
        <f t="shared" si="17"/>
        <v>0</v>
      </c>
      <c r="X16" s="113"/>
      <c r="Y16" s="160"/>
      <c r="Z16" s="114"/>
      <c r="AA16" s="30"/>
    </row>
    <row r="17" spans="1:27" s="38" customFormat="1" x14ac:dyDescent="0.15">
      <c r="A17" s="761">
        <v>10</v>
      </c>
      <c r="B17" s="287">
        <f>'1.Stratégie'!B17</f>
        <v>0</v>
      </c>
      <c r="C17" s="284">
        <f>'2.Equipe'!F16</f>
        <v>0</v>
      </c>
      <c r="D17" s="285">
        <f t="shared" si="4"/>
        <v>0</v>
      </c>
      <c r="E17" s="285">
        <f t="shared" si="5"/>
        <v>0</v>
      </c>
      <c r="F17" s="286">
        <f t="shared" si="6"/>
        <v>0</v>
      </c>
      <c r="G17" s="284">
        <f>'2.Equipe'!H16</f>
        <v>0</v>
      </c>
      <c r="H17" s="285">
        <f t="shared" si="7"/>
        <v>0</v>
      </c>
      <c r="I17" s="285">
        <f t="shared" si="8"/>
        <v>0</v>
      </c>
      <c r="J17" s="284">
        <f>'2.Equipe'!J16</f>
        <v>0</v>
      </c>
      <c r="K17" s="285">
        <f t="shared" si="9"/>
        <v>0</v>
      </c>
      <c r="L17" s="285">
        <f t="shared" si="10"/>
        <v>0</v>
      </c>
      <c r="M17" s="284">
        <f>'2.Equipe'!L16</f>
        <v>0</v>
      </c>
      <c r="N17" s="285">
        <f t="shared" si="11"/>
        <v>0</v>
      </c>
      <c r="O17" s="782">
        <f t="shared" si="12"/>
        <v>0</v>
      </c>
      <c r="P17" s="791">
        <f t="shared" si="13"/>
        <v>0</v>
      </c>
      <c r="Q17" s="792">
        <f t="shared" si="14"/>
        <v>0</v>
      </c>
      <c r="R17" s="795">
        <f t="shared" si="15"/>
        <v>0</v>
      </c>
      <c r="S17" s="793">
        <f t="shared" si="16"/>
        <v>0</v>
      </c>
      <c r="T17" s="284">
        <f>IF($B17=0,0,IF(AND('1.Stratégie'!$J17&gt;1,$B17&lt;&gt;"SSD"),1,0))</f>
        <v>0</v>
      </c>
      <c r="U17" s="814">
        <f>IF($B17=0,0,IF(AND('1.Stratégie'!$J17&gt;1,$B17&lt;&gt;"SSD"),1,0))</f>
        <v>0</v>
      </c>
      <c r="V17" s="812">
        <f>ROUNDUP(IF(P17&lt;=Data!$B$31,0,P17/Data!$B$31),0)</f>
        <v>0</v>
      </c>
      <c r="W17" s="285">
        <f t="shared" si="17"/>
        <v>0</v>
      </c>
      <c r="X17" s="113"/>
      <c r="Y17" s="160"/>
      <c r="Z17" s="114"/>
      <c r="AA17" s="30"/>
    </row>
    <row r="18" spans="1:27" s="38" customFormat="1" x14ac:dyDescent="0.15">
      <c r="A18" s="761">
        <v>11</v>
      </c>
      <c r="B18" s="287">
        <f>'1.Stratégie'!B18</f>
        <v>0</v>
      </c>
      <c r="C18" s="284">
        <f>'2.Equipe'!F17</f>
        <v>0</v>
      </c>
      <c r="D18" s="285">
        <f t="shared" si="4"/>
        <v>0</v>
      </c>
      <c r="E18" s="285">
        <f t="shared" si="5"/>
        <v>0</v>
      </c>
      <c r="F18" s="286">
        <f t="shared" si="6"/>
        <v>0</v>
      </c>
      <c r="G18" s="284">
        <f>'2.Equipe'!H17</f>
        <v>0</v>
      </c>
      <c r="H18" s="285">
        <f t="shared" si="7"/>
        <v>0</v>
      </c>
      <c r="I18" s="285">
        <f t="shared" si="8"/>
        <v>0</v>
      </c>
      <c r="J18" s="284">
        <f>'2.Equipe'!J17</f>
        <v>0</v>
      </c>
      <c r="K18" s="285">
        <f t="shared" si="9"/>
        <v>0</v>
      </c>
      <c r="L18" s="285">
        <f t="shared" si="10"/>
        <v>0</v>
      </c>
      <c r="M18" s="284">
        <f>'2.Equipe'!L17</f>
        <v>0</v>
      </c>
      <c r="N18" s="285">
        <f t="shared" si="11"/>
        <v>0</v>
      </c>
      <c r="O18" s="782">
        <f t="shared" si="12"/>
        <v>0</v>
      </c>
      <c r="P18" s="791">
        <f t="shared" si="13"/>
        <v>0</v>
      </c>
      <c r="Q18" s="792">
        <f t="shared" si="14"/>
        <v>0</v>
      </c>
      <c r="R18" s="795">
        <f t="shared" si="15"/>
        <v>0</v>
      </c>
      <c r="S18" s="793">
        <f t="shared" si="16"/>
        <v>0</v>
      </c>
      <c r="T18" s="284">
        <f>IF($B18=0,0,IF(AND('1.Stratégie'!$J18&gt;1,$B18&lt;&gt;"SSD"),1,0))</f>
        <v>0</v>
      </c>
      <c r="U18" s="814">
        <f>IF($B18=0,0,IF(AND('1.Stratégie'!$J18&gt;1,$B18&lt;&gt;"SSD"),1,0))</f>
        <v>0</v>
      </c>
      <c r="V18" s="812">
        <f>ROUNDUP(IF(P18&lt;=Data!$B$31,0,P18/Data!$B$31),0)</f>
        <v>0</v>
      </c>
      <c r="W18" s="285">
        <f t="shared" si="17"/>
        <v>0</v>
      </c>
      <c r="X18" s="113"/>
      <c r="Y18" s="160"/>
      <c r="Z18" s="114"/>
      <c r="AA18" s="30"/>
    </row>
    <row r="19" spans="1:27" s="38" customFormat="1" x14ac:dyDescent="0.15">
      <c r="A19" s="761">
        <v>12</v>
      </c>
      <c r="B19" s="287">
        <f>'1.Stratégie'!B19</f>
        <v>0</v>
      </c>
      <c r="C19" s="284">
        <f>'2.Equipe'!F18</f>
        <v>0</v>
      </c>
      <c r="D19" s="285">
        <f t="shared" si="4"/>
        <v>0</v>
      </c>
      <c r="E19" s="285">
        <f t="shared" si="5"/>
        <v>0</v>
      </c>
      <c r="F19" s="286">
        <f t="shared" si="6"/>
        <v>0</v>
      </c>
      <c r="G19" s="284">
        <f>'2.Equipe'!H18</f>
        <v>0</v>
      </c>
      <c r="H19" s="285">
        <f t="shared" si="7"/>
        <v>0</v>
      </c>
      <c r="I19" s="285">
        <f t="shared" si="8"/>
        <v>0</v>
      </c>
      <c r="J19" s="284">
        <f>'2.Equipe'!J18</f>
        <v>0</v>
      </c>
      <c r="K19" s="285">
        <f t="shared" si="9"/>
        <v>0</v>
      </c>
      <c r="L19" s="285">
        <f t="shared" si="10"/>
        <v>0</v>
      </c>
      <c r="M19" s="284">
        <f>'2.Equipe'!L18</f>
        <v>0</v>
      </c>
      <c r="N19" s="285">
        <f t="shared" si="11"/>
        <v>0</v>
      </c>
      <c r="O19" s="782">
        <f t="shared" si="12"/>
        <v>0</v>
      </c>
      <c r="P19" s="791">
        <f t="shared" si="13"/>
        <v>0</v>
      </c>
      <c r="Q19" s="792">
        <f t="shared" si="14"/>
        <v>0</v>
      </c>
      <c r="R19" s="795">
        <f t="shared" si="15"/>
        <v>0</v>
      </c>
      <c r="S19" s="793">
        <f t="shared" si="16"/>
        <v>0</v>
      </c>
      <c r="T19" s="284">
        <f>IF($B19=0,0,IF(AND('1.Stratégie'!$J19&gt;1,$B19&lt;&gt;"SSD"),1,0))</f>
        <v>0</v>
      </c>
      <c r="U19" s="814">
        <f>IF($B19=0,0,IF(AND('1.Stratégie'!$J19&gt;1,$B19&lt;&gt;"SSD"),1,0))</f>
        <v>0</v>
      </c>
      <c r="V19" s="812">
        <f>ROUNDUP(IF(P19&lt;=Data!$B$31,0,P19/Data!$B$31),0)</f>
        <v>0</v>
      </c>
      <c r="W19" s="285">
        <f t="shared" si="17"/>
        <v>0</v>
      </c>
      <c r="X19" s="113"/>
      <c r="Y19" s="160"/>
      <c r="Z19" s="114"/>
      <c r="AA19" s="30"/>
    </row>
    <row r="20" spans="1:27" s="38" customFormat="1" x14ac:dyDescent="0.15">
      <c r="A20" s="761">
        <v>13</v>
      </c>
      <c r="B20" s="287">
        <f>'1.Stratégie'!B20</f>
        <v>0</v>
      </c>
      <c r="C20" s="284">
        <f>'2.Equipe'!F19</f>
        <v>0</v>
      </c>
      <c r="D20" s="285">
        <f t="shared" si="4"/>
        <v>0</v>
      </c>
      <c r="E20" s="285">
        <f t="shared" si="5"/>
        <v>0</v>
      </c>
      <c r="F20" s="286">
        <f t="shared" si="6"/>
        <v>0</v>
      </c>
      <c r="G20" s="284">
        <f>'2.Equipe'!H19</f>
        <v>0</v>
      </c>
      <c r="H20" s="285">
        <f t="shared" si="7"/>
        <v>0</v>
      </c>
      <c r="I20" s="285">
        <f t="shared" si="8"/>
        <v>0</v>
      </c>
      <c r="J20" s="284">
        <f>'2.Equipe'!J19</f>
        <v>0</v>
      </c>
      <c r="K20" s="285">
        <f t="shared" si="9"/>
        <v>0</v>
      </c>
      <c r="L20" s="285">
        <f t="shared" si="10"/>
        <v>0</v>
      </c>
      <c r="M20" s="284">
        <f>'2.Equipe'!L19</f>
        <v>0</v>
      </c>
      <c r="N20" s="285">
        <f t="shared" si="11"/>
        <v>0</v>
      </c>
      <c r="O20" s="782">
        <f t="shared" si="12"/>
        <v>0</v>
      </c>
      <c r="P20" s="791">
        <f t="shared" si="13"/>
        <v>0</v>
      </c>
      <c r="Q20" s="792">
        <f t="shared" si="14"/>
        <v>0</v>
      </c>
      <c r="R20" s="795">
        <f t="shared" si="15"/>
        <v>0</v>
      </c>
      <c r="S20" s="793">
        <f t="shared" si="16"/>
        <v>0</v>
      </c>
      <c r="T20" s="284">
        <f>IF($B20=0,0,IF(AND('1.Stratégie'!$J20&gt;1,$B20&lt;&gt;"SSD"),1,0))</f>
        <v>0</v>
      </c>
      <c r="U20" s="814">
        <f>IF($B20=0,0,IF(AND('1.Stratégie'!$J20&gt;1,$B20&lt;&gt;"SSD"),1,0))</f>
        <v>0</v>
      </c>
      <c r="V20" s="812">
        <f>ROUNDUP(IF(P20&lt;=Data!$B$31,0,P20/Data!$B$31),0)</f>
        <v>0</v>
      </c>
      <c r="W20" s="285">
        <f t="shared" si="17"/>
        <v>0</v>
      </c>
      <c r="X20" s="113"/>
      <c r="Y20" s="160"/>
      <c r="Z20" s="114"/>
      <c r="AA20" s="30"/>
    </row>
    <row r="21" spans="1:27" s="38" customFormat="1" x14ac:dyDescent="0.15">
      <c r="A21" s="761">
        <v>14</v>
      </c>
      <c r="B21" s="287">
        <f>'1.Stratégie'!B21</f>
        <v>0</v>
      </c>
      <c r="C21" s="284">
        <f>'2.Equipe'!F20</f>
        <v>0</v>
      </c>
      <c r="D21" s="285">
        <f t="shared" si="4"/>
        <v>0</v>
      </c>
      <c r="E21" s="285">
        <f t="shared" si="5"/>
        <v>0</v>
      </c>
      <c r="F21" s="286">
        <f t="shared" si="6"/>
        <v>0</v>
      </c>
      <c r="G21" s="284">
        <f>'2.Equipe'!H20</f>
        <v>0</v>
      </c>
      <c r="H21" s="285">
        <f t="shared" si="7"/>
        <v>0</v>
      </c>
      <c r="I21" s="285">
        <f t="shared" si="8"/>
        <v>0</v>
      </c>
      <c r="J21" s="284">
        <f>'2.Equipe'!J20</f>
        <v>0</v>
      </c>
      <c r="K21" s="285">
        <f t="shared" si="9"/>
        <v>0</v>
      </c>
      <c r="L21" s="285">
        <f t="shared" si="10"/>
        <v>0</v>
      </c>
      <c r="M21" s="284">
        <f>'2.Equipe'!L20</f>
        <v>0</v>
      </c>
      <c r="N21" s="285">
        <f t="shared" si="11"/>
        <v>0</v>
      </c>
      <c r="O21" s="782">
        <f t="shared" si="12"/>
        <v>0</v>
      </c>
      <c r="P21" s="791">
        <f t="shared" si="13"/>
        <v>0</v>
      </c>
      <c r="Q21" s="792">
        <f t="shared" si="14"/>
        <v>0</v>
      </c>
      <c r="R21" s="795">
        <f t="shared" si="15"/>
        <v>0</v>
      </c>
      <c r="S21" s="793">
        <f t="shared" si="16"/>
        <v>0</v>
      </c>
      <c r="T21" s="284">
        <f>IF($B21=0,0,IF(AND('1.Stratégie'!$J21&gt;1,$B21&lt;&gt;"SSD"),1,0))</f>
        <v>0</v>
      </c>
      <c r="U21" s="814">
        <f>IF($B21=0,0,IF(AND('1.Stratégie'!$J21&gt;1,$B21&lt;&gt;"SSD"),1,0))</f>
        <v>0</v>
      </c>
      <c r="V21" s="812">
        <f>ROUNDUP(IF(P21&lt;=Data!$B$31,0,P21/Data!$B$31),0)</f>
        <v>0</v>
      </c>
      <c r="W21" s="285">
        <f t="shared" si="17"/>
        <v>0</v>
      </c>
      <c r="X21" s="113"/>
      <c r="Y21" s="160"/>
      <c r="Z21" s="114"/>
      <c r="AA21" s="30"/>
    </row>
    <row r="22" spans="1:27" s="38" customFormat="1" x14ac:dyDescent="0.15">
      <c r="A22" s="761">
        <v>15</v>
      </c>
      <c r="B22" s="287">
        <f>'1.Stratégie'!B22</f>
        <v>0</v>
      </c>
      <c r="C22" s="284">
        <f>'2.Equipe'!F21</f>
        <v>0</v>
      </c>
      <c r="D22" s="285">
        <f t="shared" si="4"/>
        <v>0</v>
      </c>
      <c r="E22" s="285">
        <f t="shared" si="5"/>
        <v>0</v>
      </c>
      <c r="F22" s="286">
        <f t="shared" si="6"/>
        <v>0</v>
      </c>
      <c r="G22" s="284">
        <f>'2.Equipe'!H21</f>
        <v>0</v>
      </c>
      <c r="H22" s="285">
        <f t="shared" si="7"/>
        <v>0</v>
      </c>
      <c r="I22" s="285">
        <f t="shared" si="8"/>
        <v>0</v>
      </c>
      <c r="J22" s="284">
        <f>'2.Equipe'!J21</f>
        <v>0</v>
      </c>
      <c r="K22" s="285">
        <f t="shared" si="9"/>
        <v>0</v>
      </c>
      <c r="L22" s="285">
        <f t="shared" si="10"/>
        <v>0</v>
      </c>
      <c r="M22" s="284">
        <f>'2.Equipe'!L21</f>
        <v>0</v>
      </c>
      <c r="N22" s="285">
        <f t="shared" si="11"/>
        <v>0</v>
      </c>
      <c r="O22" s="782">
        <f t="shared" si="12"/>
        <v>0</v>
      </c>
      <c r="P22" s="791">
        <f t="shared" si="13"/>
        <v>0</v>
      </c>
      <c r="Q22" s="792">
        <f t="shared" si="14"/>
        <v>0</v>
      </c>
      <c r="R22" s="795">
        <f t="shared" si="15"/>
        <v>0</v>
      </c>
      <c r="S22" s="793">
        <f t="shared" si="16"/>
        <v>0</v>
      </c>
      <c r="T22" s="284">
        <f>IF($B22=0,0,IF(AND('1.Stratégie'!$J22&gt;1,$B22&lt;&gt;"SSD"),1,0))</f>
        <v>0</v>
      </c>
      <c r="U22" s="814">
        <f>IF($B22=0,0,IF(AND('1.Stratégie'!$J22&gt;1,$B22&lt;&gt;"SSD"),1,0))</f>
        <v>0</v>
      </c>
      <c r="V22" s="812">
        <f>ROUNDUP(IF(P22&lt;=Data!$B$31,0,P22/Data!$B$31),0)</f>
        <v>0</v>
      </c>
      <c r="W22" s="285">
        <f t="shared" si="17"/>
        <v>0</v>
      </c>
      <c r="X22" s="113"/>
      <c r="Y22" s="160"/>
      <c r="Z22" s="114"/>
      <c r="AA22" s="30"/>
    </row>
    <row r="23" spans="1:27" s="38" customFormat="1" x14ac:dyDescent="0.15">
      <c r="A23" s="761">
        <v>16</v>
      </c>
      <c r="B23" s="287">
        <f>'1.Stratégie'!B23</f>
        <v>0</v>
      </c>
      <c r="C23" s="284">
        <f>'2.Equipe'!F22</f>
        <v>0</v>
      </c>
      <c r="D23" s="285">
        <f t="shared" si="4"/>
        <v>0</v>
      </c>
      <c r="E23" s="285">
        <f t="shared" si="5"/>
        <v>0</v>
      </c>
      <c r="F23" s="286">
        <f t="shared" si="6"/>
        <v>0</v>
      </c>
      <c r="G23" s="284">
        <f>'2.Equipe'!H22</f>
        <v>0</v>
      </c>
      <c r="H23" s="285">
        <f t="shared" si="7"/>
        <v>0</v>
      </c>
      <c r="I23" s="285">
        <f t="shared" si="8"/>
        <v>0</v>
      </c>
      <c r="J23" s="284">
        <f>'2.Equipe'!J22</f>
        <v>0</v>
      </c>
      <c r="K23" s="285">
        <f t="shared" si="9"/>
        <v>0</v>
      </c>
      <c r="L23" s="285">
        <f t="shared" si="10"/>
        <v>0</v>
      </c>
      <c r="M23" s="284">
        <f>'2.Equipe'!L22</f>
        <v>0</v>
      </c>
      <c r="N23" s="285">
        <f t="shared" si="11"/>
        <v>0</v>
      </c>
      <c r="O23" s="782">
        <f t="shared" si="12"/>
        <v>0</v>
      </c>
      <c r="P23" s="791">
        <f t="shared" si="13"/>
        <v>0</v>
      </c>
      <c r="Q23" s="792">
        <f t="shared" si="14"/>
        <v>0</v>
      </c>
      <c r="R23" s="795">
        <f t="shared" si="15"/>
        <v>0</v>
      </c>
      <c r="S23" s="793">
        <f t="shared" si="16"/>
        <v>0</v>
      </c>
      <c r="T23" s="284">
        <f>IF($B23=0,0,IF(AND('1.Stratégie'!$J23&gt;1,$B23&lt;&gt;"SSD"),1,0))</f>
        <v>0</v>
      </c>
      <c r="U23" s="814">
        <f>IF($B23=0,0,IF(AND('1.Stratégie'!$J23&gt;1,$B23&lt;&gt;"SSD"),1,0))</f>
        <v>0</v>
      </c>
      <c r="V23" s="812">
        <f>ROUNDUP(IF(P23&lt;=Data!$B$31,0,P23/Data!$B$31),0)</f>
        <v>0</v>
      </c>
      <c r="W23" s="285">
        <f t="shared" si="17"/>
        <v>0</v>
      </c>
      <c r="X23" s="113"/>
      <c r="Y23" s="160"/>
      <c r="Z23" s="114"/>
      <c r="AA23" s="30"/>
    </row>
    <row r="24" spans="1:27" s="38" customFormat="1" x14ac:dyDescent="0.15">
      <c r="A24" s="761">
        <v>17</v>
      </c>
      <c r="B24" s="287">
        <f>'1.Stratégie'!B24</f>
        <v>0</v>
      </c>
      <c r="C24" s="284">
        <f>'2.Equipe'!F23</f>
        <v>0</v>
      </c>
      <c r="D24" s="285">
        <f t="shared" si="4"/>
        <v>0</v>
      </c>
      <c r="E24" s="285">
        <f t="shared" si="5"/>
        <v>0</v>
      </c>
      <c r="F24" s="286">
        <f t="shared" si="6"/>
        <v>0</v>
      </c>
      <c r="G24" s="284">
        <f>'2.Equipe'!H23</f>
        <v>0</v>
      </c>
      <c r="H24" s="285">
        <f t="shared" si="7"/>
        <v>0</v>
      </c>
      <c r="I24" s="285">
        <f t="shared" si="8"/>
        <v>0</v>
      </c>
      <c r="J24" s="284">
        <f>'2.Equipe'!J23</f>
        <v>0</v>
      </c>
      <c r="K24" s="285">
        <f t="shared" si="9"/>
        <v>0</v>
      </c>
      <c r="L24" s="285">
        <f t="shared" si="10"/>
        <v>0</v>
      </c>
      <c r="M24" s="284">
        <f>'2.Equipe'!L23</f>
        <v>0</v>
      </c>
      <c r="N24" s="285">
        <f t="shared" si="11"/>
        <v>0</v>
      </c>
      <c r="O24" s="782">
        <f t="shared" si="12"/>
        <v>0</v>
      </c>
      <c r="P24" s="791">
        <f t="shared" si="13"/>
        <v>0</v>
      </c>
      <c r="Q24" s="792">
        <f t="shared" si="14"/>
        <v>0</v>
      </c>
      <c r="R24" s="795">
        <f t="shared" si="15"/>
        <v>0</v>
      </c>
      <c r="S24" s="793">
        <f t="shared" si="16"/>
        <v>0</v>
      </c>
      <c r="T24" s="284">
        <f>IF($B24=0,0,IF(AND('1.Stratégie'!$J24&gt;1,$B24&lt;&gt;"SSD"),1,0))</f>
        <v>0</v>
      </c>
      <c r="U24" s="814">
        <f>IF($B24=0,0,IF(AND('1.Stratégie'!$J24&gt;1,$B24&lt;&gt;"SSD"),1,0))</f>
        <v>0</v>
      </c>
      <c r="V24" s="812">
        <f>ROUNDUP(IF(P24&lt;=Data!$B$31,0,P24/Data!$B$31),0)</f>
        <v>0</v>
      </c>
      <c r="W24" s="285">
        <f t="shared" si="17"/>
        <v>0</v>
      </c>
      <c r="X24" s="113"/>
      <c r="Y24" s="160"/>
      <c r="Z24" s="114"/>
      <c r="AA24" s="30"/>
    </row>
    <row r="25" spans="1:27" s="38" customFormat="1" x14ac:dyDescent="0.15">
      <c r="A25" s="761">
        <v>18</v>
      </c>
      <c r="B25" s="287">
        <f>'1.Stratégie'!B25</f>
        <v>0</v>
      </c>
      <c r="C25" s="284">
        <f>'2.Equipe'!F24</f>
        <v>0</v>
      </c>
      <c r="D25" s="285">
        <f t="shared" si="4"/>
        <v>0</v>
      </c>
      <c r="E25" s="285">
        <f t="shared" si="5"/>
        <v>0</v>
      </c>
      <c r="F25" s="286">
        <f t="shared" si="6"/>
        <v>0</v>
      </c>
      <c r="G25" s="284">
        <f>'2.Equipe'!H24</f>
        <v>0</v>
      </c>
      <c r="H25" s="285">
        <f t="shared" si="7"/>
        <v>0</v>
      </c>
      <c r="I25" s="285">
        <f t="shared" si="8"/>
        <v>0</v>
      </c>
      <c r="J25" s="284">
        <f>'2.Equipe'!J24</f>
        <v>0</v>
      </c>
      <c r="K25" s="285">
        <f t="shared" si="9"/>
        <v>0</v>
      </c>
      <c r="L25" s="285">
        <f t="shared" si="10"/>
        <v>0</v>
      </c>
      <c r="M25" s="284">
        <f>'2.Equipe'!L24</f>
        <v>0</v>
      </c>
      <c r="N25" s="285">
        <f t="shared" si="11"/>
        <v>0</v>
      </c>
      <c r="O25" s="782">
        <f t="shared" si="12"/>
        <v>0</v>
      </c>
      <c r="P25" s="791">
        <f t="shared" si="13"/>
        <v>0</v>
      </c>
      <c r="Q25" s="792">
        <f t="shared" si="14"/>
        <v>0</v>
      </c>
      <c r="R25" s="795">
        <f t="shared" si="15"/>
        <v>0</v>
      </c>
      <c r="S25" s="793">
        <f t="shared" si="16"/>
        <v>0</v>
      </c>
      <c r="T25" s="284">
        <f>IF($B25=0,0,IF(AND('1.Stratégie'!$J25&gt;1,$B25&lt;&gt;"SSD"),1,0))</f>
        <v>0</v>
      </c>
      <c r="U25" s="814">
        <f>IF($B25=0,0,IF(AND('1.Stratégie'!$J25&gt;1,$B25&lt;&gt;"SSD"),1,0))</f>
        <v>0</v>
      </c>
      <c r="V25" s="812">
        <f>ROUNDUP(IF(P25&lt;=Data!$B$31,0,P25/Data!$B$31),0)</f>
        <v>0</v>
      </c>
      <c r="W25" s="285">
        <f t="shared" si="17"/>
        <v>0</v>
      </c>
      <c r="X25" s="113"/>
      <c r="Y25" s="160"/>
      <c r="Z25" s="114"/>
      <c r="AA25" s="30"/>
    </row>
    <row r="26" spans="1:27" s="38" customFormat="1" x14ac:dyDescent="0.15">
      <c r="A26" s="761">
        <v>19</v>
      </c>
      <c r="B26" s="287">
        <f>'1.Stratégie'!B26</f>
        <v>0</v>
      </c>
      <c r="C26" s="284">
        <f>'2.Equipe'!F25</f>
        <v>0</v>
      </c>
      <c r="D26" s="285">
        <f t="shared" si="4"/>
        <v>0</v>
      </c>
      <c r="E26" s="285">
        <f t="shared" si="5"/>
        <v>0</v>
      </c>
      <c r="F26" s="286">
        <f t="shared" si="6"/>
        <v>0</v>
      </c>
      <c r="G26" s="284">
        <f>'2.Equipe'!H25</f>
        <v>0</v>
      </c>
      <c r="H26" s="285">
        <f t="shared" si="7"/>
        <v>0</v>
      </c>
      <c r="I26" s="285">
        <f t="shared" si="8"/>
        <v>0</v>
      </c>
      <c r="J26" s="284">
        <f>'2.Equipe'!J25</f>
        <v>0</v>
      </c>
      <c r="K26" s="285">
        <f t="shared" si="9"/>
        <v>0</v>
      </c>
      <c r="L26" s="285">
        <f t="shared" si="10"/>
        <v>0</v>
      </c>
      <c r="M26" s="284">
        <f>'2.Equipe'!L25</f>
        <v>0</v>
      </c>
      <c r="N26" s="285">
        <f t="shared" si="11"/>
        <v>0</v>
      </c>
      <c r="O26" s="782">
        <f t="shared" si="12"/>
        <v>0</v>
      </c>
      <c r="P26" s="791">
        <f t="shared" si="13"/>
        <v>0</v>
      </c>
      <c r="Q26" s="792">
        <f t="shared" si="14"/>
        <v>0</v>
      </c>
      <c r="R26" s="795">
        <f t="shared" si="15"/>
        <v>0</v>
      </c>
      <c r="S26" s="793">
        <f t="shared" si="16"/>
        <v>0</v>
      </c>
      <c r="T26" s="284">
        <f>IF($B26=0,0,IF(AND('1.Stratégie'!$J26&gt;1,$B26&lt;&gt;"SSD"),1,0))</f>
        <v>0</v>
      </c>
      <c r="U26" s="814">
        <f>IF($B26=0,0,IF(AND('1.Stratégie'!$J26&gt;1,$B26&lt;&gt;"SSD"),1,0))</f>
        <v>0</v>
      </c>
      <c r="V26" s="812">
        <f>ROUNDUP(IF(P26&lt;=Data!$B$31,0,P26/Data!$B$31),0)</f>
        <v>0</v>
      </c>
      <c r="W26" s="285">
        <f t="shared" si="17"/>
        <v>0</v>
      </c>
      <c r="X26" s="113"/>
      <c r="Y26" s="160"/>
      <c r="Z26" s="114"/>
      <c r="AA26" s="30"/>
    </row>
    <row r="27" spans="1:27" s="38" customFormat="1" x14ac:dyDescent="0.15">
      <c r="A27" s="761">
        <v>20</v>
      </c>
      <c r="B27" s="287">
        <f>'1.Stratégie'!B27</f>
        <v>0</v>
      </c>
      <c r="C27" s="284">
        <f>'2.Equipe'!F26</f>
        <v>0</v>
      </c>
      <c r="D27" s="285">
        <f t="shared" si="4"/>
        <v>0</v>
      </c>
      <c r="E27" s="285">
        <f t="shared" si="5"/>
        <v>0</v>
      </c>
      <c r="F27" s="286">
        <f t="shared" si="6"/>
        <v>0</v>
      </c>
      <c r="G27" s="284">
        <f>'2.Equipe'!H26</f>
        <v>0</v>
      </c>
      <c r="H27" s="285">
        <f t="shared" si="7"/>
        <v>0</v>
      </c>
      <c r="I27" s="285">
        <f t="shared" si="8"/>
        <v>0</v>
      </c>
      <c r="J27" s="284">
        <f>'2.Equipe'!J26</f>
        <v>0</v>
      </c>
      <c r="K27" s="285">
        <f t="shared" si="9"/>
        <v>0</v>
      </c>
      <c r="L27" s="285">
        <f t="shared" si="10"/>
        <v>0</v>
      </c>
      <c r="M27" s="284">
        <f>'2.Equipe'!L26</f>
        <v>0</v>
      </c>
      <c r="N27" s="285">
        <f t="shared" si="11"/>
        <v>0</v>
      </c>
      <c r="O27" s="782">
        <f t="shared" si="12"/>
        <v>0</v>
      </c>
      <c r="P27" s="791">
        <f t="shared" si="13"/>
        <v>0</v>
      </c>
      <c r="Q27" s="792">
        <f t="shared" si="14"/>
        <v>0</v>
      </c>
      <c r="R27" s="795">
        <f t="shared" si="15"/>
        <v>0</v>
      </c>
      <c r="S27" s="793">
        <f t="shared" si="16"/>
        <v>0</v>
      </c>
      <c r="T27" s="284">
        <f>IF($B27=0,0,IF(AND('1.Stratégie'!$J27&gt;1,$B27&lt;&gt;"SSD"),1,0))</f>
        <v>0</v>
      </c>
      <c r="U27" s="814">
        <f>IF($B27=0,0,IF(AND('1.Stratégie'!$J27&gt;1,$B27&lt;&gt;"SSD"),1,0))</f>
        <v>0</v>
      </c>
      <c r="V27" s="812">
        <f>ROUNDUP(IF(P27&lt;=Data!$B$31,0,P27/Data!$B$31),0)</f>
        <v>0</v>
      </c>
      <c r="W27" s="285">
        <f t="shared" si="17"/>
        <v>0</v>
      </c>
      <c r="X27" s="113"/>
      <c r="Y27" s="160"/>
      <c r="Z27" s="114"/>
      <c r="AA27" s="30"/>
    </row>
    <row r="28" spans="1:27" s="38" customFormat="1" x14ac:dyDescent="0.15">
      <c r="A28" s="761">
        <v>21</v>
      </c>
      <c r="B28" s="287">
        <f>'1.Stratégie'!B28</f>
        <v>0</v>
      </c>
      <c r="C28" s="284">
        <f>'2.Equipe'!F27</f>
        <v>0</v>
      </c>
      <c r="D28" s="285">
        <f t="shared" si="4"/>
        <v>0</v>
      </c>
      <c r="E28" s="285">
        <f t="shared" si="5"/>
        <v>0</v>
      </c>
      <c r="F28" s="286">
        <f t="shared" si="6"/>
        <v>0</v>
      </c>
      <c r="G28" s="284">
        <f>'2.Equipe'!H27</f>
        <v>0</v>
      </c>
      <c r="H28" s="285">
        <f t="shared" si="7"/>
        <v>0</v>
      </c>
      <c r="I28" s="285">
        <f t="shared" si="8"/>
        <v>0</v>
      </c>
      <c r="J28" s="284">
        <f>'2.Equipe'!J27</f>
        <v>0</v>
      </c>
      <c r="K28" s="285">
        <f t="shared" si="9"/>
        <v>0</v>
      </c>
      <c r="L28" s="285">
        <f t="shared" si="10"/>
        <v>0</v>
      </c>
      <c r="M28" s="284">
        <f>'2.Equipe'!L27</f>
        <v>0</v>
      </c>
      <c r="N28" s="285">
        <f t="shared" si="11"/>
        <v>0</v>
      </c>
      <c r="O28" s="782">
        <f t="shared" si="12"/>
        <v>0</v>
      </c>
      <c r="P28" s="791">
        <f t="shared" si="13"/>
        <v>0</v>
      </c>
      <c r="Q28" s="792">
        <f t="shared" si="14"/>
        <v>0</v>
      </c>
      <c r="R28" s="795">
        <f t="shared" si="15"/>
        <v>0</v>
      </c>
      <c r="S28" s="793">
        <f t="shared" si="16"/>
        <v>0</v>
      </c>
      <c r="T28" s="284">
        <f>IF($B28=0,0,IF(AND('1.Stratégie'!$J28&gt;1,$B28&lt;&gt;"SSD"),1,0))</f>
        <v>0</v>
      </c>
      <c r="U28" s="814">
        <f>IF($B28=0,0,IF(AND('1.Stratégie'!$J28&gt;1,$B28&lt;&gt;"SSD"),1,0))</f>
        <v>0</v>
      </c>
      <c r="V28" s="812">
        <f>ROUNDUP(IF(P28&lt;=Data!$B$31,0,P28/Data!$B$31),0)</f>
        <v>0</v>
      </c>
      <c r="W28" s="285">
        <f t="shared" si="17"/>
        <v>0</v>
      </c>
      <c r="X28" s="113"/>
      <c r="Y28" s="160"/>
      <c r="Z28" s="114"/>
      <c r="AA28" s="30"/>
    </row>
    <row r="29" spans="1:27" s="38" customFormat="1" x14ac:dyDescent="0.15">
      <c r="A29" s="761">
        <v>22</v>
      </c>
      <c r="B29" s="287">
        <f>'1.Stratégie'!B29</f>
        <v>0</v>
      </c>
      <c r="C29" s="284">
        <f>'2.Equipe'!F28</f>
        <v>0</v>
      </c>
      <c r="D29" s="285">
        <f t="shared" si="4"/>
        <v>0</v>
      </c>
      <c r="E29" s="285">
        <f t="shared" si="5"/>
        <v>0</v>
      </c>
      <c r="F29" s="286">
        <f t="shared" si="6"/>
        <v>0</v>
      </c>
      <c r="G29" s="284">
        <f>'2.Equipe'!H28</f>
        <v>0</v>
      </c>
      <c r="H29" s="285">
        <f t="shared" si="7"/>
        <v>0</v>
      </c>
      <c r="I29" s="285">
        <f t="shared" si="8"/>
        <v>0</v>
      </c>
      <c r="J29" s="284">
        <f>'2.Equipe'!J28</f>
        <v>0</v>
      </c>
      <c r="K29" s="285">
        <f t="shared" si="9"/>
        <v>0</v>
      </c>
      <c r="L29" s="285">
        <f t="shared" si="10"/>
        <v>0</v>
      </c>
      <c r="M29" s="284">
        <f>'2.Equipe'!L28</f>
        <v>0</v>
      </c>
      <c r="N29" s="285">
        <f t="shared" si="11"/>
        <v>0</v>
      </c>
      <c r="O29" s="782">
        <f t="shared" si="12"/>
        <v>0</v>
      </c>
      <c r="P29" s="791">
        <f t="shared" si="13"/>
        <v>0</v>
      </c>
      <c r="Q29" s="792">
        <f t="shared" si="14"/>
        <v>0</v>
      </c>
      <c r="R29" s="795">
        <f t="shared" si="15"/>
        <v>0</v>
      </c>
      <c r="S29" s="793">
        <f t="shared" si="16"/>
        <v>0</v>
      </c>
      <c r="T29" s="284">
        <f>IF($B29=0,0,IF(AND('1.Stratégie'!$J29&gt;1,$B29&lt;&gt;"SSD"),1,0))</f>
        <v>0</v>
      </c>
      <c r="U29" s="814">
        <f>IF($B29=0,0,IF(AND('1.Stratégie'!$J29&gt;1,$B29&lt;&gt;"SSD"),1,0))</f>
        <v>0</v>
      </c>
      <c r="V29" s="812">
        <f>ROUNDUP(IF(P29&lt;=Data!$B$31,0,P29/Data!$B$31),0)</f>
        <v>0</v>
      </c>
      <c r="W29" s="285">
        <f t="shared" si="17"/>
        <v>0</v>
      </c>
      <c r="X29" s="113"/>
      <c r="Y29" s="160"/>
      <c r="Z29" s="114"/>
      <c r="AA29" s="30"/>
    </row>
    <row r="30" spans="1:27" s="38" customFormat="1" x14ac:dyDescent="0.15">
      <c r="A30" s="761">
        <v>23</v>
      </c>
      <c r="B30" s="287">
        <f>'1.Stratégie'!B30</f>
        <v>0</v>
      </c>
      <c r="C30" s="284">
        <f>'2.Equipe'!F29</f>
        <v>0</v>
      </c>
      <c r="D30" s="285">
        <f t="shared" si="4"/>
        <v>0</v>
      </c>
      <c r="E30" s="285">
        <f t="shared" si="5"/>
        <v>0</v>
      </c>
      <c r="F30" s="286">
        <f t="shared" si="6"/>
        <v>0</v>
      </c>
      <c r="G30" s="284">
        <f>'2.Equipe'!H29</f>
        <v>0</v>
      </c>
      <c r="H30" s="285">
        <f t="shared" si="7"/>
        <v>0</v>
      </c>
      <c r="I30" s="285">
        <f t="shared" si="8"/>
        <v>0</v>
      </c>
      <c r="J30" s="284">
        <f>'2.Equipe'!J29</f>
        <v>0</v>
      </c>
      <c r="K30" s="285">
        <f t="shared" si="9"/>
        <v>0</v>
      </c>
      <c r="L30" s="285">
        <f t="shared" si="10"/>
        <v>0</v>
      </c>
      <c r="M30" s="284">
        <f>'2.Equipe'!L29</f>
        <v>0</v>
      </c>
      <c r="N30" s="285">
        <f t="shared" si="11"/>
        <v>0</v>
      </c>
      <c r="O30" s="782">
        <f t="shared" si="12"/>
        <v>0</v>
      </c>
      <c r="P30" s="791">
        <f t="shared" si="13"/>
        <v>0</v>
      </c>
      <c r="Q30" s="792">
        <f t="shared" si="14"/>
        <v>0</v>
      </c>
      <c r="R30" s="795">
        <f t="shared" si="15"/>
        <v>0</v>
      </c>
      <c r="S30" s="793">
        <f t="shared" si="16"/>
        <v>0</v>
      </c>
      <c r="T30" s="284">
        <f>IF($B30=0,0,IF(AND('1.Stratégie'!$J30&gt;1,$B30&lt;&gt;"SSD"),1,0))</f>
        <v>0</v>
      </c>
      <c r="U30" s="814">
        <f>IF($B30=0,0,IF(AND('1.Stratégie'!$J30&gt;1,$B30&lt;&gt;"SSD"),1,0))</f>
        <v>0</v>
      </c>
      <c r="V30" s="812">
        <f>ROUNDUP(IF(P30&lt;=Data!$B$31,0,P30/Data!$B$31),0)</f>
        <v>0</v>
      </c>
      <c r="W30" s="285">
        <f t="shared" si="17"/>
        <v>0</v>
      </c>
      <c r="X30" s="113"/>
      <c r="Y30" s="160"/>
      <c r="Z30" s="114"/>
      <c r="AA30" s="30"/>
    </row>
    <row r="31" spans="1:27" s="38" customFormat="1" x14ac:dyDescent="0.15">
      <c r="A31" s="761">
        <v>24</v>
      </c>
      <c r="B31" s="287">
        <f>'1.Stratégie'!B31</f>
        <v>0</v>
      </c>
      <c r="C31" s="284">
        <f>'2.Equipe'!F30</f>
        <v>0</v>
      </c>
      <c r="D31" s="285">
        <f t="shared" si="4"/>
        <v>0</v>
      </c>
      <c r="E31" s="285">
        <f t="shared" si="5"/>
        <v>0</v>
      </c>
      <c r="F31" s="286">
        <f t="shared" si="6"/>
        <v>0</v>
      </c>
      <c r="G31" s="284">
        <f>'2.Equipe'!H30</f>
        <v>0</v>
      </c>
      <c r="H31" s="285">
        <f t="shared" si="7"/>
        <v>0</v>
      </c>
      <c r="I31" s="285">
        <f t="shared" si="8"/>
        <v>0</v>
      </c>
      <c r="J31" s="284">
        <f>'2.Equipe'!J30</f>
        <v>0</v>
      </c>
      <c r="K31" s="285">
        <f t="shared" si="9"/>
        <v>0</v>
      </c>
      <c r="L31" s="285">
        <f t="shared" si="10"/>
        <v>0</v>
      </c>
      <c r="M31" s="284">
        <f>'2.Equipe'!L30</f>
        <v>0</v>
      </c>
      <c r="N31" s="285">
        <f t="shared" si="11"/>
        <v>0</v>
      </c>
      <c r="O31" s="782">
        <f t="shared" si="12"/>
        <v>0</v>
      </c>
      <c r="P31" s="791">
        <f t="shared" si="13"/>
        <v>0</v>
      </c>
      <c r="Q31" s="792">
        <f t="shared" si="14"/>
        <v>0</v>
      </c>
      <c r="R31" s="795">
        <f t="shared" si="15"/>
        <v>0</v>
      </c>
      <c r="S31" s="793">
        <f t="shared" si="16"/>
        <v>0</v>
      </c>
      <c r="T31" s="284">
        <f>IF($B31=0,0,IF(AND('1.Stratégie'!$J31&gt;1,$B31&lt;&gt;"SSD"),1,0))</f>
        <v>0</v>
      </c>
      <c r="U31" s="814">
        <f>IF($B31=0,0,IF(AND('1.Stratégie'!$J31&gt;1,$B31&lt;&gt;"SSD"),1,0))</f>
        <v>0</v>
      </c>
      <c r="V31" s="812">
        <f>ROUNDUP(IF(P31&lt;=Data!$B$31,0,P31/Data!$B$31),0)</f>
        <v>0</v>
      </c>
      <c r="W31" s="285">
        <f t="shared" si="17"/>
        <v>0</v>
      </c>
      <c r="X31" s="113"/>
      <c r="Y31" s="160"/>
      <c r="Z31" s="114"/>
      <c r="AA31" s="30"/>
    </row>
    <row r="32" spans="1:27" s="38" customFormat="1" x14ac:dyDescent="0.15">
      <c r="A32" s="761">
        <v>25</v>
      </c>
      <c r="B32" s="287">
        <f>'1.Stratégie'!B32</f>
        <v>0</v>
      </c>
      <c r="C32" s="284">
        <f>'2.Equipe'!F31</f>
        <v>0</v>
      </c>
      <c r="D32" s="285">
        <f t="shared" si="4"/>
        <v>0</v>
      </c>
      <c r="E32" s="285">
        <f t="shared" si="5"/>
        <v>0</v>
      </c>
      <c r="F32" s="286">
        <f t="shared" si="6"/>
        <v>0</v>
      </c>
      <c r="G32" s="284">
        <f>'2.Equipe'!H31</f>
        <v>0</v>
      </c>
      <c r="H32" s="285">
        <f t="shared" si="7"/>
        <v>0</v>
      </c>
      <c r="I32" s="285">
        <f t="shared" si="8"/>
        <v>0</v>
      </c>
      <c r="J32" s="284">
        <f>'2.Equipe'!J31</f>
        <v>0</v>
      </c>
      <c r="K32" s="285">
        <f t="shared" si="9"/>
        <v>0</v>
      </c>
      <c r="L32" s="285">
        <f t="shared" si="10"/>
        <v>0</v>
      </c>
      <c r="M32" s="284">
        <f>'2.Equipe'!L31</f>
        <v>0</v>
      </c>
      <c r="N32" s="285">
        <f t="shared" si="11"/>
        <v>0</v>
      </c>
      <c r="O32" s="782">
        <f t="shared" si="12"/>
        <v>0</v>
      </c>
      <c r="P32" s="791">
        <f t="shared" si="13"/>
        <v>0</v>
      </c>
      <c r="Q32" s="792">
        <f t="shared" si="14"/>
        <v>0</v>
      </c>
      <c r="R32" s="795">
        <f t="shared" si="15"/>
        <v>0</v>
      </c>
      <c r="S32" s="793">
        <f t="shared" si="16"/>
        <v>0</v>
      </c>
      <c r="T32" s="284">
        <f>IF($B32=0,0,IF(AND('1.Stratégie'!$J32&gt;1,$B32&lt;&gt;"SSD"),1,0))</f>
        <v>0</v>
      </c>
      <c r="U32" s="814">
        <f>IF($B32=0,0,IF(AND('1.Stratégie'!$J32&gt;1,$B32&lt;&gt;"SSD"),1,0))</f>
        <v>0</v>
      </c>
      <c r="V32" s="812">
        <f>ROUNDUP(IF(P32&lt;=Data!$B$31,0,P32/Data!$B$31),0)</f>
        <v>0</v>
      </c>
      <c r="W32" s="285">
        <f t="shared" si="17"/>
        <v>0</v>
      </c>
      <c r="X32" s="113"/>
      <c r="Y32" s="160"/>
      <c r="Z32" s="114"/>
      <c r="AA32" s="30"/>
    </row>
    <row r="33" spans="1:27" s="38" customFormat="1" x14ac:dyDescent="0.15">
      <c r="A33" s="761">
        <v>26</v>
      </c>
      <c r="B33" s="287">
        <f>'1.Stratégie'!B33</f>
        <v>0</v>
      </c>
      <c r="C33" s="284">
        <f>'2.Equipe'!F32</f>
        <v>0</v>
      </c>
      <c r="D33" s="285">
        <f t="shared" si="4"/>
        <v>0</v>
      </c>
      <c r="E33" s="285">
        <f t="shared" si="5"/>
        <v>0</v>
      </c>
      <c r="F33" s="286">
        <f t="shared" si="6"/>
        <v>0</v>
      </c>
      <c r="G33" s="284">
        <f>'2.Equipe'!H32</f>
        <v>0</v>
      </c>
      <c r="H33" s="285">
        <f t="shared" si="7"/>
        <v>0</v>
      </c>
      <c r="I33" s="285">
        <f t="shared" si="8"/>
        <v>0</v>
      </c>
      <c r="J33" s="284">
        <f>'2.Equipe'!J32</f>
        <v>0</v>
      </c>
      <c r="K33" s="285">
        <f t="shared" si="9"/>
        <v>0</v>
      </c>
      <c r="L33" s="285">
        <f t="shared" si="10"/>
        <v>0</v>
      </c>
      <c r="M33" s="284">
        <f>'2.Equipe'!L32</f>
        <v>0</v>
      </c>
      <c r="N33" s="285">
        <f t="shared" si="11"/>
        <v>0</v>
      </c>
      <c r="O33" s="782">
        <f t="shared" si="12"/>
        <v>0</v>
      </c>
      <c r="P33" s="791">
        <f t="shared" si="13"/>
        <v>0</v>
      </c>
      <c r="Q33" s="792">
        <f t="shared" si="14"/>
        <v>0</v>
      </c>
      <c r="R33" s="795">
        <f t="shared" si="15"/>
        <v>0</v>
      </c>
      <c r="S33" s="793">
        <f t="shared" si="16"/>
        <v>0</v>
      </c>
      <c r="T33" s="284">
        <f>IF($B33=0,0,IF(AND('1.Stratégie'!$J33&gt;1,$B33&lt;&gt;"SSD"),1,0))</f>
        <v>0</v>
      </c>
      <c r="U33" s="814">
        <f>IF($B33=0,0,IF(AND('1.Stratégie'!$J33&gt;1,$B33&lt;&gt;"SSD"),1,0))</f>
        <v>0</v>
      </c>
      <c r="V33" s="812">
        <f>ROUNDUP(IF(P33&lt;=Data!$B$31,0,P33/Data!$B$31),0)</f>
        <v>0</v>
      </c>
      <c r="W33" s="285">
        <f t="shared" si="17"/>
        <v>0</v>
      </c>
      <c r="X33" s="113"/>
      <c r="Y33" s="160"/>
      <c r="Z33" s="114"/>
      <c r="AA33" s="30"/>
    </row>
    <row r="34" spans="1:27" s="38" customFormat="1" x14ac:dyDescent="0.15">
      <c r="A34" s="761">
        <v>27</v>
      </c>
      <c r="B34" s="287">
        <f>'1.Stratégie'!B34</f>
        <v>0</v>
      </c>
      <c r="C34" s="284">
        <f>'2.Equipe'!F33</f>
        <v>0</v>
      </c>
      <c r="D34" s="285">
        <f t="shared" si="4"/>
        <v>0</v>
      </c>
      <c r="E34" s="285">
        <f t="shared" si="5"/>
        <v>0</v>
      </c>
      <c r="F34" s="286">
        <f t="shared" si="6"/>
        <v>0</v>
      </c>
      <c r="G34" s="284">
        <f>'2.Equipe'!H33</f>
        <v>0</v>
      </c>
      <c r="H34" s="285">
        <f t="shared" si="7"/>
        <v>0</v>
      </c>
      <c r="I34" s="285">
        <f t="shared" si="8"/>
        <v>0</v>
      </c>
      <c r="J34" s="284">
        <f>'2.Equipe'!J33</f>
        <v>0</v>
      </c>
      <c r="K34" s="285">
        <f t="shared" si="9"/>
        <v>0</v>
      </c>
      <c r="L34" s="285">
        <f t="shared" si="10"/>
        <v>0</v>
      </c>
      <c r="M34" s="284">
        <f>'2.Equipe'!L33</f>
        <v>0</v>
      </c>
      <c r="N34" s="285">
        <f t="shared" si="11"/>
        <v>0</v>
      </c>
      <c r="O34" s="782">
        <f t="shared" si="12"/>
        <v>0</v>
      </c>
      <c r="P34" s="791">
        <f t="shared" si="13"/>
        <v>0</v>
      </c>
      <c r="Q34" s="792">
        <f t="shared" si="14"/>
        <v>0</v>
      </c>
      <c r="R34" s="795">
        <f t="shared" si="15"/>
        <v>0</v>
      </c>
      <c r="S34" s="793">
        <f t="shared" si="16"/>
        <v>0</v>
      </c>
      <c r="T34" s="284">
        <f>IF($B34=0,0,IF(AND('1.Stratégie'!$J34&gt;1,$B34&lt;&gt;"SSD"),1,0))</f>
        <v>0</v>
      </c>
      <c r="U34" s="814">
        <f>IF($B34=0,0,IF(AND('1.Stratégie'!$J34&gt;1,$B34&lt;&gt;"SSD"),1,0))</f>
        <v>0</v>
      </c>
      <c r="V34" s="812">
        <f>ROUNDUP(IF(P34&lt;=Data!$B$31,0,P34/Data!$B$31),0)</f>
        <v>0</v>
      </c>
      <c r="W34" s="285">
        <f t="shared" si="17"/>
        <v>0</v>
      </c>
      <c r="X34" s="113"/>
      <c r="Y34" s="160"/>
      <c r="Z34" s="114"/>
      <c r="AA34" s="30"/>
    </row>
    <row r="35" spans="1:27" s="38" customFormat="1" x14ac:dyDescent="0.15">
      <c r="A35" s="761">
        <v>28</v>
      </c>
      <c r="B35" s="287">
        <f>'1.Stratégie'!B35</f>
        <v>0</v>
      </c>
      <c r="C35" s="284">
        <f>'2.Equipe'!F34</f>
        <v>0</v>
      </c>
      <c r="D35" s="285">
        <f t="shared" si="4"/>
        <v>0</v>
      </c>
      <c r="E35" s="285">
        <f t="shared" si="5"/>
        <v>0</v>
      </c>
      <c r="F35" s="286">
        <f t="shared" si="6"/>
        <v>0</v>
      </c>
      <c r="G35" s="284">
        <f>'2.Equipe'!H34</f>
        <v>0</v>
      </c>
      <c r="H35" s="285">
        <f t="shared" si="7"/>
        <v>0</v>
      </c>
      <c r="I35" s="285">
        <f t="shared" si="8"/>
        <v>0</v>
      </c>
      <c r="J35" s="284">
        <f>'2.Equipe'!J34</f>
        <v>0</v>
      </c>
      <c r="K35" s="285">
        <f t="shared" si="9"/>
        <v>0</v>
      </c>
      <c r="L35" s="285">
        <f t="shared" si="10"/>
        <v>0</v>
      </c>
      <c r="M35" s="284">
        <f>'2.Equipe'!L34</f>
        <v>0</v>
      </c>
      <c r="N35" s="285">
        <f t="shared" si="11"/>
        <v>0</v>
      </c>
      <c r="O35" s="782">
        <f t="shared" si="12"/>
        <v>0</v>
      </c>
      <c r="P35" s="791">
        <f t="shared" si="13"/>
        <v>0</v>
      </c>
      <c r="Q35" s="792">
        <f t="shared" si="14"/>
        <v>0</v>
      </c>
      <c r="R35" s="795">
        <f t="shared" si="15"/>
        <v>0</v>
      </c>
      <c r="S35" s="793">
        <f t="shared" si="16"/>
        <v>0</v>
      </c>
      <c r="T35" s="284">
        <f>IF($B35=0,0,IF(AND('1.Stratégie'!$J35&gt;1,$B35&lt;&gt;"SSD"),1,0))</f>
        <v>0</v>
      </c>
      <c r="U35" s="814">
        <f>IF($B35=0,0,IF(AND('1.Stratégie'!$J35&gt;1,$B35&lt;&gt;"SSD"),1,0))</f>
        <v>0</v>
      </c>
      <c r="V35" s="812">
        <f>ROUNDUP(IF(P35&lt;=Data!$B$31,0,P35/Data!$B$31),0)</f>
        <v>0</v>
      </c>
      <c r="W35" s="285">
        <f t="shared" si="17"/>
        <v>0</v>
      </c>
      <c r="X35" s="113"/>
      <c r="Y35" s="160"/>
      <c r="Z35" s="114"/>
      <c r="AA35" s="30"/>
    </row>
    <row r="36" spans="1:27" s="38" customFormat="1" x14ac:dyDescent="0.15">
      <c r="A36" s="761">
        <v>29</v>
      </c>
      <c r="B36" s="287">
        <f>'1.Stratégie'!B36</f>
        <v>0</v>
      </c>
      <c r="C36" s="284">
        <f>'2.Equipe'!F35</f>
        <v>0</v>
      </c>
      <c r="D36" s="285">
        <f t="shared" si="4"/>
        <v>0</v>
      </c>
      <c r="E36" s="285">
        <f t="shared" si="5"/>
        <v>0</v>
      </c>
      <c r="F36" s="286">
        <f t="shared" si="6"/>
        <v>0</v>
      </c>
      <c r="G36" s="284">
        <f>'2.Equipe'!H35</f>
        <v>0</v>
      </c>
      <c r="H36" s="285">
        <f t="shared" si="7"/>
        <v>0</v>
      </c>
      <c r="I36" s="285">
        <f t="shared" si="8"/>
        <v>0</v>
      </c>
      <c r="J36" s="284">
        <f>'2.Equipe'!J35</f>
        <v>0</v>
      </c>
      <c r="K36" s="285">
        <f t="shared" si="9"/>
        <v>0</v>
      </c>
      <c r="L36" s="285">
        <f t="shared" si="10"/>
        <v>0</v>
      </c>
      <c r="M36" s="284">
        <f>'2.Equipe'!L35</f>
        <v>0</v>
      </c>
      <c r="N36" s="285">
        <f t="shared" si="11"/>
        <v>0</v>
      </c>
      <c r="O36" s="782">
        <f t="shared" si="12"/>
        <v>0</v>
      </c>
      <c r="P36" s="791">
        <f t="shared" si="13"/>
        <v>0</v>
      </c>
      <c r="Q36" s="792">
        <f t="shared" si="14"/>
        <v>0</v>
      </c>
      <c r="R36" s="795">
        <f t="shared" si="15"/>
        <v>0</v>
      </c>
      <c r="S36" s="793">
        <f t="shared" si="16"/>
        <v>0</v>
      </c>
      <c r="T36" s="284">
        <f>IF($B36=0,0,IF(AND('1.Stratégie'!$J36&gt;1,$B36&lt;&gt;"SSD"),1,0))</f>
        <v>0</v>
      </c>
      <c r="U36" s="814">
        <f>IF($B36=0,0,IF(AND('1.Stratégie'!$J36&gt;1,$B36&lt;&gt;"SSD"),1,0))</f>
        <v>0</v>
      </c>
      <c r="V36" s="812">
        <f>ROUNDUP(IF(P36&lt;=Data!$B$31,0,P36/Data!$B$31),0)</f>
        <v>0</v>
      </c>
      <c r="W36" s="285">
        <f t="shared" si="17"/>
        <v>0</v>
      </c>
      <c r="X36" s="113"/>
      <c r="Y36" s="160"/>
      <c r="Z36" s="114"/>
      <c r="AA36" s="30"/>
    </row>
    <row r="37" spans="1:27" s="38" customFormat="1" x14ac:dyDescent="0.15">
      <c r="A37" s="761">
        <v>30</v>
      </c>
      <c r="B37" s="287">
        <f>'1.Stratégie'!B37</f>
        <v>0</v>
      </c>
      <c r="C37" s="284">
        <f>'2.Equipe'!F36</f>
        <v>0</v>
      </c>
      <c r="D37" s="285">
        <f t="shared" si="4"/>
        <v>0</v>
      </c>
      <c r="E37" s="285">
        <f t="shared" si="5"/>
        <v>0</v>
      </c>
      <c r="F37" s="286">
        <f t="shared" si="6"/>
        <v>0</v>
      </c>
      <c r="G37" s="284">
        <f>'2.Equipe'!H36</f>
        <v>0</v>
      </c>
      <c r="H37" s="285">
        <f t="shared" si="7"/>
        <v>0</v>
      </c>
      <c r="I37" s="285">
        <f t="shared" si="8"/>
        <v>0</v>
      </c>
      <c r="J37" s="284">
        <f>'2.Equipe'!J36</f>
        <v>0</v>
      </c>
      <c r="K37" s="285">
        <f t="shared" si="9"/>
        <v>0</v>
      </c>
      <c r="L37" s="285">
        <f t="shared" si="10"/>
        <v>0</v>
      </c>
      <c r="M37" s="284">
        <f>'2.Equipe'!L36</f>
        <v>0</v>
      </c>
      <c r="N37" s="285">
        <f t="shared" si="11"/>
        <v>0</v>
      </c>
      <c r="O37" s="782">
        <f t="shared" si="12"/>
        <v>0</v>
      </c>
      <c r="P37" s="791">
        <f t="shared" si="13"/>
        <v>0</v>
      </c>
      <c r="Q37" s="792">
        <f t="shared" si="14"/>
        <v>0</v>
      </c>
      <c r="R37" s="795">
        <f t="shared" si="15"/>
        <v>0</v>
      </c>
      <c r="S37" s="793">
        <f t="shared" si="16"/>
        <v>0</v>
      </c>
      <c r="T37" s="284">
        <f>IF($B37=0,0,IF(AND('1.Stratégie'!$J37&gt;1,$B37&lt;&gt;"SSD"),1,0))</f>
        <v>0</v>
      </c>
      <c r="U37" s="814">
        <f>IF($B37=0,0,IF(AND('1.Stratégie'!$J37&gt;1,$B37&lt;&gt;"SSD"),1,0))</f>
        <v>0</v>
      </c>
      <c r="V37" s="812">
        <f>ROUNDUP(IF(P37&lt;=Data!$B$31,0,P37/Data!$B$31),0)</f>
        <v>0</v>
      </c>
      <c r="W37" s="285">
        <f t="shared" si="17"/>
        <v>0</v>
      </c>
      <c r="X37" s="113"/>
      <c r="Y37" s="160"/>
      <c r="Z37" s="114"/>
      <c r="AA37" s="30"/>
    </row>
    <row r="38" spans="1:27" s="38" customFormat="1" ht="13.5" thickBot="1" x14ac:dyDescent="0.2">
      <c r="A38" s="762"/>
      <c r="B38" s="288" t="str">
        <f>"TOTAL "&amp;$Q$4</f>
        <v>TOTAL 0</v>
      </c>
      <c r="C38" s="289">
        <f t="shared" ref="C38:Z38" si="18">SUM(C8:C37)</f>
        <v>0</v>
      </c>
      <c r="D38" s="290">
        <f t="shared" si="18"/>
        <v>0</v>
      </c>
      <c r="E38" s="290">
        <f t="shared" si="18"/>
        <v>0</v>
      </c>
      <c r="F38" s="291">
        <f t="shared" si="18"/>
        <v>0</v>
      </c>
      <c r="G38" s="292">
        <f t="shared" si="18"/>
        <v>0</v>
      </c>
      <c r="H38" s="292">
        <f t="shared" si="18"/>
        <v>0</v>
      </c>
      <c r="I38" s="293">
        <f t="shared" si="18"/>
        <v>0</v>
      </c>
      <c r="J38" s="289">
        <f t="shared" si="18"/>
        <v>0</v>
      </c>
      <c r="K38" s="290">
        <f t="shared" si="18"/>
        <v>0</v>
      </c>
      <c r="L38" s="291">
        <f t="shared" si="18"/>
        <v>0</v>
      </c>
      <c r="M38" s="292">
        <f t="shared" si="18"/>
        <v>0</v>
      </c>
      <c r="N38" s="292">
        <f t="shared" si="18"/>
        <v>0</v>
      </c>
      <c r="O38" s="293">
        <f t="shared" si="18"/>
        <v>0</v>
      </c>
      <c r="P38" s="289">
        <f t="shared" si="18"/>
        <v>0</v>
      </c>
      <c r="Q38" s="783">
        <f t="shared" si="18"/>
        <v>0</v>
      </c>
      <c r="R38" s="796"/>
      <c r="S38" s="784">
        <f t="shared" si="18"/>
        <v>0</v>
      </c>
      <c r="T38" s="289">
        <f t="shared" si="18"/>
        <v>0</v>
      </c>
      <c r="U38" s="289">
        <f t="shared" si="18"/>
        <v>0</v>
      </c>
      <c r="V38" s="289">
        <f t="shared" si="18"/>
        <v>0</v>
      </c>
      <c r="W38" s="290">
        <f t="shared" si="18"/>
        <v>0</v>
      </c>
      <c r="X38" s="290">
        <f t="shared" si="18"/>
        <v>0</v>
      </c>
      <c r="Y38" s="290">
        <f t="shared" si="18"/>
        <v>0</v>
      </c>
      <c r="Z38" s="291">
        <f t="shared" si="18"/>
        <v>0</v>
      </c>
      <c r="AA38" s="30"/>
    </row>
    <row r="39" spans="1:27" x14ac:dyDescent="0.15">
      <c r="A39" s="763"/>
      <c r="B39" s="764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</row>
    <row r="40" spans="1:27" x14ac:dyDescent="0.15">
      <c r="A40" s="763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25" t="s">
        <v>131</v>
      </c>
      <c r="M40" s="26"/>
      <c r="N40" s="33"/>
      <c r="O40" s="33"/>
      <c r="P40" s="33"/>
      <c r="Q40" s="34"/>
      <c r="R40" s="19"/>
      <c r="S40" s="19"/>
      <c r="T40" s="19"/>
      <c r="U40" s="19"/>
      <c r="V40" s="19"/>
      <c r="W40" s="19"/>
    </row>
    <row r="41" spans="1:27" x14ac:dyDescent="0.15">
      <c r="A41" s="76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8"/>
      <c r="M41" s="28"/>
      <c r="N41" s="19"/>
      <c r="O41" s="29" t="s">
        <v>132</v>
      </c>
      <c r="P41" s="30">
        <f>SUM(C38,G38,J38,M38)</f>
        <v>0</v>
      </c>
      <c r="Q41" s="19"/>
      <c r="R41" s="19"/>
      <c r="S41" s="19"/>
      <c r="T41" s="19"/>
      <c r="U41" s="19"/>
      <c r="V41" s="19"/>
      <c r="W41" s="19"/>
    </row>
    <row r="42" spans="1:27" x14ac:dyDescent="0.15">
      <c r="A42" s="19"/>
      <c r="B42" s="19"/>
      <c r="C42" s="19"/>
      <c r="D42" s="19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29" t="s">
        <v>71</v>
      </c>
      <c r="P42" s="30">
        <f>SUM(D38,H38,K38,N38)</f>
        <v>0</v>
      </c>
      <c r="Q42" s="19"/>
      <c r="R42" s="19"/>
      <c r="S42" s="19"/>
      <c r="T42" s="19"/>
      <c r="U42" s="19"/>
      <c r="V42" s="19"/>
      <c r="W42" s="19"/>
    </row>
    <row r="43" spans="1:27" x14ac:dyDescent="0.15">
      <c r="A43" s="19"/>
      <c r="B43" s="19"/>
      <c r="C43" s="19"/>
      <c r="D43" s="19"/>
      <c r="E43" s="18"/>
      <c r="F43" s="19"/>
      <c r="G43" s="19"/>
      <c r="H43" s="19"/>
      <c r="I43" s="19"/>
      <c r="J43" s="19"/>
      <c r="K43" s="19"/>
      <c r="L43" s="19"/>
      <c r="M43" s="19"/>
      <c r="N43" s="19"/>
      <c r="O43" s="29" t="s">
        <v>72</v>
      </c>
      <c r="P43" s="30">
        <f>SUM(E38,I38,L38,O38)</f>
        <v>0</v>
      </c>
      <c r="Q43" s="19"/>
      <c r="R43" s="19"/>
      <c r="S43" s="19"/>
      <c r="T43" s="19"/>
      <c r="U43" s="19"/>
      <c r="V43" s="19"/>
      <c r="W43" s="19"/>
    </row>
    <row r="44" spans="1:27" x14ac:dyDescent="0.15">
      <c r="A44" s="19"/>
      <c r="B44" s="19"/>
      <c r="C44" s="19"/>
      <c r="D44" s="19"/>
      <c r="E44" s="18"/>
      <c r="F44" s="19"/>
      <c r="G44" s="19"/>
      <c r="H44" s="18"/>
      <c r="I44" s="18"/>
      <c r="J44" s="18"/>
      <c r="K44" s="18"/>
      <c r="L44" s="19"/>
      <c r="M44" s="19"/>
      <c r="N44" s="19"/>
      <c r="O44" s="29" t="s">
        <v>136</v>
      </c>
      <c r="P44" s="30">
        <f>F38</f>
        <v>0</v>
      </c>
      <c r="Q44" s="19"/>
      <c r="R44" s="19"/>
      <c r="S44" s="19"/>
      <c r="T44" s="19"/>
      <c r="U44" s="19"/>
      <c r="V44" s="19"/>
      <c r="W44" s="19"/>
    </row>
    <row r="45" spans="1:27" x14ac:dyDescent="0.15">
      <c r="A45" s="19"/>
      <c r="B45" s="19"/>
      <c r="C45" s="19"/>
      <c r="D45" s="19"/>
      <c r="E45" s="18"/>
      <c r="F45" s="19"/>
      <c r="G45" s="19"/>
      <c r="H45" s="18"/>
      <c r="I45" s="18"/>
      <c r="J45" s="18"/>
      <c r="K45" s="18"/>
      <c r="L45" s="19"/>
      <c r="M45" s="19"/>
      <c r="N45" s="19"/>
      <c r="O45" s="29" t="s">
        <v>134</v>
      </c>
      <c r="P45" s="30">
        <f>W38</f>
        <v>0</v>
      </c>
      <c r="Q45" s="19"/>
      <c r="R45" s="19"/>
      <c r="S45" s="19"/>
      <c r="T45" s="19"/>
      <c r="U45" s="19"/>
      <c r="V45" s="19"/>
      <c r="W45" s="19"/>
    </row>
    <row r="46" spans="1:27" x14ac:dyDescent="0.15">
      <c r="A46" s="19"/>
      <c r="B46" s="19"/>
      <c r="C46" s="19"/>
      <c r="D46" s="19"/>
      <c r="E46" s="18"/>
      <c r="F46" s="19"/>
      <c r="G46" s="19"/>
      <c r="H46" s="18"/>
      <c r="I46" s="18"/>
      <c r="J46" s="18"/>
      <c r="K46" s="18"/>
      <c r="L46" s="19"/>
      <c r="M46" s="19"/>
      <c r="N46" s="19"/>
      <c r="O46" s="29" t="s">
        <v>268</v>
      </c>
      <c r="P46" s="30">
        <f>T38</f>
        <v>0</v>
      </c>
      <c r="Q46" s="19"/>
      <c r="R46" s="19"/>
      <c r="S46" s="19"/>
      <c r="T46" s="19"/>
      <c r="U46" s="19"/>
      <c r="V46" s="19"/>
      <c r="W46" s="19"/>
    </row>
    <row r="47" spans="1:27" x14ac:dyDescent="0.15">
      <c r="A47" s="19"/>
      <c r="B47" s="19"/>
      <c r="C47" s="19"/>
      <c r="D47" s="19"/>
      <c r="E47" s="18"/>
      <c r="F47" s="19"/>
      <c r="G47" s="19"/>
      <c r="H47" s="18"/>
      <c r="I47" s="18"/>
      <c r="J47" s="18"/>
      <c r="K47" s="18"/>
      <c r="L47" s="19"/>
      <c r="M47" s="19"/>
      <c r="N47" s="19"/>
      <c r="O47" s="29" t="s">
        <v>264</v>
      </c>
      <c r="P47" s="30">
        <f>Y38</f>
        <v>0</v>
      </c>
      <c r="Q47" s="19"/>
      <c r="R47" s="19"/>
      <c r="S47" s="19"/>
      <c r="T47" s="19"/>
      <c r="U47" s="19"/>
      <c r="V47" s="19"/>
      <c r="W47" s="19"/>
    </row>
    <row r="48" spans="1:27" x14ac:dyDescent="0.15">
      <c r="A48" s="19"/>
      <c r="B48" s="19"/>
      <c r="C48" s="19"/>
      <c r="D48" s="19"/>
      <c r="E48" s="18"/>
      <c r="F48" s="19"/>
      <c r="G48" s="19"/>
      <c r="H48" s="18"/>
      <c r="I48" s="18"/>
      <c r="J48" s="18"/>
      <c r="K48" s="18"/>
      <c r="L48" s="19"/>
      <c r="M48" s="19"/>
      <c r="N48" s="19"/>
      <c r="O48" s="29" t="s">
        <v>133</v>
      </c>
      <c r="P48" s="30">
        <f>X38</f>
        <v>0</v>
      </c>
      <c r="Q48" s="19"/>
      <c r="R48" s="19"/>
      <c r="S48" s="19"/>
      <c r="T48" s="19"/>
      <c r="U48" s="19"/>
      <c r="V48" s="19"/>
      <c r="W48" s="19"/>
    </row>
    <row r="49" spans="1:27" x14ac:dyDescent="0.15">
      <c r="A49" s="19"/>
      <c r="B49" s="19"/>
      <c r="C49" s="19"/>
      <c r="D49" s="19"/>
      <c r="E49" s="18"/>
      <c r="F49" s="19"/>
      <c r="G49" s="19"/>
      <c r="H49" s="18"/>
      <c r="I49" s="18"/>
      <c r="J49" s="18"/>
      <c r="K49" s="18"/>
      <c r="L49" s="19"/>
      <c r="M49" s="19"/>
      <c r="N49" s="19"/>
      <c r="O49" s="29" t="s">
        <v>135</v>
      </c>
      <c r="P49" s="30">
        <f>Z38</f>
        <v>0</v>
      </c>
      <c r="Q49" s="19"/>
      <c r="R49" s="19"/>
      <c r="S49" s="19"/>
      <c r="T49" s="19"/>
      <c r="U49" s="19"/>
      <c r="V49" s="19"/>
      <c r="W49" s="19"/>
    </row>
    <row r="50" spans="1:27" x14ac:dyDescent="0.1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7" x14ac:dyDescent="0.1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</row>
  </sheetData>
  <sheetProtection password="CD7B" sheet="1" objects="1" scenarios="1"/>
  <mergeCells count="6">
    <mergeCell ref="B3:C3"/>
    <mergeCell ref="Z6:Z7"/>
    <mergeCell ref="Y6:Y7"/>
    <mergeCell ref="T6:T7"/>
    <mergeCell ref="V6:V7"/>
    <mergeCell ref="U6:U7"/>
  </mergeCells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L40:M41 H4:S4" xr:uid="{00000000-0002-0000-0500-000000000000}"/>
  </dataValidations>
  <pageMargins left="0.27559055118110237" right="0.19685039370078741" top="0.27559055118110237" bottom="0.23622047244094491" header="0.19685039370078741" footer="0.19685039370078741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V40"/>
  <sheetViews>
    <sheetView showGridLines="0" zoomScaleSheetLayoutView="75" workbookViewId="0">
      <pane xSplit="3" ySplit="8" topLeftCell="D9" activePane="bottomRight" state="frozen"/>
      <selection activeCell="H14" sqref="H14"/>
      <selection pane="bottomLeft" activeCell="H14" sqref="H14"/>
      <selection pane="topRight" activeCell="H14" sqref="H14"/>
      <selection pane="bottomRight" activeCell="AH14" sqref="AH14"/>
    </sheetView>
  </sheetViews>
  <sheetFormatPr defaultColWidth="11.4609375" defaultRowHeight="12.75" x14ac:dyDescent="0.15"/>
  <cols>
    <col min="1" max="1" width="4.98828125" style="1" customWidth="1"/>
    <col min="2" max="2" width="34.38671875" style="1" customWidth="1"/>
    <col min="3" max="3" width="12.13671875" style="1" hidden="1" customWidth="1"/>
    <col min="4" max="4" width="11.8671875" style="1" hidden="1" customWidth="1"/>
    <col min="5" max="5" width="10.921875" style="1" hidden="1" customWidth="1"/>
    <col min="6" max="8" width="9.4375" style="1" hidden="1" customWidth="1"/>
    <col min="9" max="9" width="11.8671875" style="1" hidden="1" customWidth="1"/>
    <col min="10" max="13" width="9.4375" style="1" hidden="1" customWidth="1"/>
    <col min="14" max="14" width="12.13671875" style="1" hidden="1" customWidth="1"/>
    <col min="15" max="18" width="9.4375" style="1" hidden="1" customWidth="1"/>
    <col min="19" max="19" width="12.26953125" style="1" hidden="1" customWidth="1"/>
    <col min="20" max="22" width="9.4375" style="1" hidden="1" customWidth="1"/>
    <col min="23" max="23" width="11.59375" style="1" customWidth="1"/>
    <col min="24" max="24" width="12" style="1" customWidth="1"/>
    <col min="25" max="25" width="12.13671875" style="1" customWidth="1"/>
    <col min="26" max="26" width="9.4375" style="1" customWidth="1"/>
    <col min="27" max="27" width="9.70703125" style="1" customWidth="1"/>
    <col min="28" max="28" width="8.62890625" style="1" customWidth="1"/>
    <col min="29" max="30" width="9.4375" style="1" customWidth="1"/>
    <col min="31" max="31" width="8.4921875" style="1" customWidth="1"/>
    <col min="32" max="32" width="1.6171875" style="1" customWidth="1"/>
    <col min="33" max="16384" width="11.4609375" style="1"/>
  </cols>
  <sheetData>
    <row r="1" spans="1:32" s="16" customFormat="1" ht="13.5" thickBot="1" x14ac:dyDescent="0.2">
      <c r="A1" s="39"/>
      <c r="B1" s="43" t="s">
        <v>35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3" t="s">
        <v>1</v>
      </c>
      <c r="O1" s="43"/>
      <c r="P1" s="43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32" s="16" customFormat="1" ht="18.75" thickBot="1" x14ac:dyDescent="0.2">
      <c r="A2" s="42"/>
      <c r="B2" s="735" t="str">
        <f>'1.Stratégie'!$B$2</f>
        <v>Microplanification Campagne de vaccination préventive contre la Rougeole et la Rubeole (RR), 2023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5"/>
      <c r="AB2" s="39"/>
      <c r="AC2" s="39"/>
      <c r="AD2" s="39"/>
      <c r="AE2" s="39"/>
      <c r="AF2" s="39"/>
    </row>
    <row r="3" spans="1:32" s="16" customFormat="1" ht="18" x14ac:dyDescent="0.15">
      <c r="A3" s="39"/>
      <c r="B3" s="40" t="s">
        <v>281</v>
      </c>
      <c r="C3" s="41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s="16" customFormat="1" ht="21" thickBot="1" x14ac:dyDescent="0.2">
      <c r="A4" s="43"/>
      <c r="B4" s="131" t="str">
        <f>'1.Stratégie'!$B$4</f>
        <v>PAYS :</v>
      </c>
      <c r="C4" s="73" t="str">
        <f>'1.Stratégie'!C4</f>
        <v>CAMEROUN</v>
      </c>
      <c r="D4" s="43"/>
      <c r="E4" s="43"/>
      <c r="F4" s="21"/>
      <c r="G4" s="21"/>
      <c r="H4" s="129" t="str">
        <f>'1.Stratégie'!$D$4</f>
        <v>REGION :</v>
      </c>
      <c r="I4" s="657">
        <f>'1.Stratégie'!$E$4</f>
        <v>0</v>
      </c>
      <c r="J4" s="658"/>
      <c r="K4" s="658"/>
      <c r="L4" s="21"/>
      <c r="M4" s="128" t="str">
        <f>IF(('1.Stratégie'!$F$4)="","",'1.Stratégie'!$F$4)</f>
        <v>DISTRICT :</v>
      </c>
      <c r="N4" s="657">
        <f>IF(('1.Stratégie'!$G$4)="","",'1.Stratégie'!$G$4)</f>
        <v>0</v>
      </c>
      <c r="O4" s="657"/>
      <c r="P4" s="657"/>
      <c r="Q4" s="43"/>
      <c r="R4" s="43"/>
      <c r="S4" s="39"/>
      <c r="T4" s="39"/>
      <c r="U4" s="39"/>
      <c r="V4" s="39"/>
      <c r="W4" s="129" t="str">
        <f>'1.Stratégie'!$D$4</f>
        <v>REGION :</v>
      </c>
      <c r="X4" s="826">
        <f>'1.Stratégie'!$E$4</f>
        <v>0</v>
      </c>
      <c r="Y4" s="828"/>
      <c r="Z4" s="828"/>
      <c r="AA4" s="21"/>
      <c r="AB4" s="128" t="str">
        <f>IF(('1.Stratégie'!$F$4)="","",'1.Stratégie'!$F$4)</f>
        <v>DISTRICT :</v>
      </c>
      <c r="AC4" s="826">
        <f>IF(('1.Stratégie'!$G$4)="","",'1.Stratégie'!$G$4)</f>
        <v>0</v>
      </c>
      <c r="AD4" s="826"/>
      <c r="AE4" s="826"/>
      <c r="AF4" s="39"/>
    </row>
    <row r="5" spans="1:32" s="6" customFormat="1" ht="24" customHeight="1" x14ac:dyDescent="0.15">
      <c r="A5" s="911" t="s">
        <v>2</v>
      </c>
      <c r="B5" s="913" t="str">
        <f>'1.Stratégie'!B6</f>
        <v>AIRE DE SANTE</v>
      </c>
      <c r="C5" s="681" t="s">
        <v>20</v>
      </c>
      <c r="D5" s="681"/>
      <c r="E5" s="681"/>
      <c r="F5" s="681"/>
      <c r="G5" s="682"/>
      <c r="H5" s="683" t="s">
        <v>21</v>
      </c>
      <c r="I5" s="681"/>
      <c r="J5" s="681"/>
      <c r="K5" s="681"/>
      <c r="L5" s="682"/>
      <c r="M5" s="681" t="s">
        <v>22</v>
      </c>
      <c r="N5" s="681"/>
      <c r="O5" s="681"/>
      <c r="P5" s="681"/>
      <c r="Q5" s="682"/>
      <c r="R5" s="684" t="s">
        <v>32</v>
      </c>
      <c r="S5" s="681"/>
      <c r="T5" s="681"/>
      <c r="U5" s="681"/>
      <c r="V5" s="681"/>
      <c r="W5" s="685" t="s">
        <v>50</v>
      </c>
      <c r="X5" s="686"/>
      <c r="Y5" s="686"/>
      <c r="Z5" s="686"/>
      <c r="AA5" s="686"/>
      <c r="AB5" s="686"/>
      <c r="AC5" s="686"/>
      <c r="AD5" s="687"/>
      <c r="AE5" s="298"/>
      <c r="AF5" s="298"/>
    </row>
    <row r="6" spans="1:32" s="75" customFormat="1" ht="24" x14ac:dyDescent="0.15">
      <c r="A6" s="912"/>
      <c r="B6" s="914"/>
      <c r="C6" s="688" t="s">
        <v>38</v>
      </c>
      <c r="D6" s="689" t="str">
        <f>"Doses " &amp;'Page de garde'!$D$16</f>
        <v>Doses RR</v>
      </c>
      <c r="E6" s="689" t="s">
        <v>137</v>
      </c>
      <c r="F6" s="689" t="s">
        <v>138</v>
      </c>
      <c r="G6" s="690" t="s">
        <v>203</v>
      </c>
      <c r="H6" s="688" t="str">
        <f>$C$6</f>
        <v>Pop Cible</v>
      </c>
      <c r="I6" s="689" t="str">
        <f>$D$6</f>
        <v>Doses RR</v>
      </c>
      <c r="J6" s="689" t="str">
        <f>$E$6</f>
        <v>Ser. Auto</v>
      </c>
      <c r="K6" s="689" t="str">
        <f>$F$6</f>
        <v>Ser. Dilution</v>
      </c>
      <c r="L6" s="690" t="str">
        <f>$G$6</f>
        <v>Boîte sécu</v>
      </c>
      <c r="M6" s="688" t="str">
        <f>$C$6</f>
        <v>Pop Cible</v>
      </c>
      <c r="N6" s="689" t="str">
        <f>$D$6</f>
        <v>Doses RR</v>
      </c>
      <c r="O6" s="689" t="str">
        <f>$E$6</f>
        <v>Ser. Auto</v>
      </c>
      <c r="P6" s="689" t="str">
        <f>$F$6</f>
        <v>Ser. Dilution</v>
      </c>
      <c r="Q6" s="690" t="str">
        <f>$G$6</f>
        <v>Boîte sécu</v>
      </c>
      <c r="R6" s="688" t="str">
        <f>$C$6</f>
        <v>Pop Cible</v>
      </c>
      <c r="S6" s="689" t="str">
        <f>$D$6</f>
        <v>Doses RR</v>
      </c>
      <c r="T6" s="689" t="str">
        <f>$E$6</f>
        <v>Ser. Auto</v>
      </c>
      <c r="U6" s="689" t="str">
        <f>$F$6</f>
        <v>Ser. Dilution</v>
      </c>
      <c r="V6" s="690" t="str">
        <f>$G$6</f>
        <v>Boîte sécu</v>
      </c>
      <c r="W6" s="688" t="str">
        <f>$C$6</f>
        <v>Pop Cible</v>
      </c>
      <c r="X6" s="689" t="str">
        <f>$D$6</f>
        <v>Doses RR</v>
      </c>
      <c r="Y6" s="689" t="str">
        <f>$E$6</f>
        <v>Ser. Auto</v>
      </c>
      <c r="Z6" s="689" t="str">
        <f>$F$6</f>
        <v>Ser. Dilution</v>
      </c>
      <c r="AA6" s="690" t="str">
        <f>$G$6</f>
        <v>Boîte sécu</v>
      </c>
      <c r="AB6" s="689" t="s">
        <v>205</v>
      </c>
      <c r="AC6" s="691" t="s">
        <v>217</v>
      </c>
      <c r="AD6" s="690" t="s">
        <v>202</v>
      </c>
      <c r="AE6" s="520"/>
      <c r="AF6" s="520"/>
    </row>
    <row r="7" spans="1:32" s="6" customFormat="1" x14ac:dyDescent="0.15">
      <c r="A7" s="264"/>
      <c r="B7" s="265" t="s">
        <v>7</v>
      </c>
      <c r="C7" s="266" t="s">
        <v>8</v>
      </c>
      <c r="D7" s="267" t="s">
        <v>9</v>
      </c>
      <c r="E7" s="267" t="s">
        <v>10</v>
      </c>
      <c r="F7" s="267" t="s">
        <v>11</v>
      </c>
      <c r="G7" s="268" t="s">
        <v>12</v>
      </c>
      <c r="H7" s="269" t="s">
        <v>13</v>
      </c>
      <c r="I7" s="267" t="s">
        <v>14</v>
      </c>
      <c r="J7" s="267" t="s">
        <v>15</v>
      </c>
      <c r="K7" s="267" t="s">
        <v>16</v>
      </c>
      <c r="L7" s="268" t="s">
        <v>17</v>
      </c>
      <c r="M7" s="270" t="s">
        <v>18</v>
      </c>
      <c r="N7" s="271" t="s">
        <v>19</v>
      </c>
      <c r="O7" s="271" t="s">
        <v>27</v>
      </c>
      <c r="P7" s="271" t="s">
        <v>29</v>
      </c>
      <c r="Q7" s="268" t="s">
        <v>30</v>
      </c>
      <c r="R7" s="271" t="s">
        <v>31</v>
      </c>
      <c r="S7" s="271" t="s">
        <v>26</v>
      </c>
      <c r="T7" s="271" t="s">
        <v>37</v>
      </c>
      <c r="U7" s="271" t="s">
        <v>183</v>
      </c>
      <c r="V7" s="268" t="s">
        <v>194</v>
      </c>
      <c r="W7" s="267" t="s">
        <v>195</v>
      </c>
      <c r="X7" s="267" t="s">
        <v>196</v>
      </c>
      <c r="Y7" s="267" t="s">
        <v>197</v>
      </c>
      <c r="Z7" s="267" t="s">
        <v>198</v>
      </c>
      <c r="AA7" s="267" t="s">
        <v>199</v>
      </c>
      <c r="AB7" s="267" t="s">
        <v>200</v>
      </c>
      <c r="AC7" s="271" t="s">
        <v>201</v>
      </c>
      <c r="AD7" s="268" t="s">
        <v>185</v>
      </c>
      <c r="AE7" s="298"/>
      <c r="AF7" s="298"/>
    </row>
    <row r="8" spans="1:32" s="115" customFormat="1" x14ac:dyDescent="0.15">
      <c r="A8" s="272">
        <v>1</v>
      </c>
      <c r="B8" s="273">
        <f>'1.Stratégie'!B8</f>
        <v>0</v>
      </c>
      <c r="C8" s="274">
        <f>'2.Equipe'!E7</f>
        <v>0</v>
      </c>
      <c r="D8" s="275">
        <f>ROUND(C8*1.11,-1)</f>
        <v>0</v>
      </c>
      <c r="E8" s="275">
        <f>D8</f>
        <v>0</v>
      </c>
      <c r="F8" s="275">
        <f>ROUNDUP(D8/10,0)</f>
        <v>0</v>
      </c>
      <c r="G8" s="276">
        <f>ROUNDUP((E8+F8)/100,0)</f>
        <v>0</v>
      </c>
      <c r="H8" s="277">
        <f>'2.Equipe'!G7</f>
        <v>0</v>
      </c>
      <c r="I8" s="275">
        <f>ROUND(H8*1.11,-1)</f>
        <v>0</v>
      </c>
      <c r="J8" s="275">
        <f>I8</f>
        <v>0</v>
      </c>
      <c r="K8" s="275">
        <f>ROUNDUP(I8/10,0)</f>
        <v>0</v>
      </c>
      <c r="L8" s="276">
        <f>ROUNDUP((J8+K8)/100,0)</f>
        <v>0</v>
      </c>
      <c r="M8" s="278">
        <f>'2.Equipe'!I7</f>
        <v>0</v>
      </c>
      <c r="N8" s="275">
        <f>ROUND(M8*1.11,-1)</f>
        <v>0</v>
      </c>
      <c r="O8" s="275">
        <f>N8</f>
        <v>0</v>
      </c>
      <c r="P8" s="275">
        <f>ROUNDUP(N8/10,0)</f>
        <v>0</v>
      </c>
      <c r="Q8" s="276">
        <f>ROUNDUP((O8+P8)/100,0)</f>
        <v>0</v>
      </c>
      <c r="R8" s="279">
        <f>'2.Equipe'!K7</f>
        <v>0</v>
      </c>
      <c r="S8" s="275">
        <f>ROUND(R8*1.11,-1)</f>
        <v>0</v>
      </c>
      <c r="T8" s="275">
        <f>S8</f>
        <v>0</v>
      </c>
      <c r="U8" s="275">
        <f>ROUNDUP(S8/10,0)</f>
        <v>0</v>
      </c>
      <c r="V8" s="276">
        <f>ROUNDUP((T8+U8)/100,0)</f>
        <v>0</v>
      </c>
      <c r="W8" s="280">
        <f>C8+H8+M8+R8</f>
        <v>0</v>
      </c>
      <c r="X8" s="279">
        <f>D8+I8+N8+S8</f>
        <v>0</v>
      </c>
      <c r="Y8" s="279">
        <f>E8+J8+O8+T8</f>
        <v>0</v>
      </c>
      <c r="Z8" s="279">
        <f>F8+K8+P8+U8</f>
        <v>0</v>
      </c>
      <c r="AA8" s="279">
        <f>G8+L8+Q8+V8</f>
        <v>0</v>
      </c>
      <c r="AB8" s="279">
        <f>ROUNDUP(W8*1.11/1000,0)</f>
        <v>0</v>
      </c>
      <c r="AC8" s="281">
        <f>ROUNDUP(SUM('2.Equipe'!$F7,'2.Equipe'!$H7,'2.Equipe'!$J7,'2.Equipe'!$L7)*1.11*Data!$H$14,-1)</f>
        <v>0</v>
      </c>
      <c r="AD8" s="282">
        <f>ROUNDUP(SUM('2.Equipe'!$F7,'2.Equipe'!$H7,'2.Equipe'!$J7,'2.Equipe'!$L7)*2*1.05,0)</f>
        <v>0</v>
      </c>
      <c r="AE8" s="312"/>
      <c r="AF8" s="312"/>
    </row>
    <row r="9" spans="1:32" s="115" customFormat="1" x14ac:dyDescent="0.15">
      <c r="A9" s="272">
        <v>2</v>
      </c>
      <c r="B9" s="273">
        <f>'1.Stratégie'!B9</f>
        <v>0</v>
      </c>
      <c r="C9" s="274">
        <f>'2.Equipe'!E8</f>
        <v>0</v>
      </c>
      <c r="D9" s="275">
        <f t="shared" ref="D9:D37" si="0">ROUND(C9*1.11,-1)</f>
        <v>0</v>
      </c>
      <c r="E9" s="275">
        <f t="shared" ref="E9:E37" si="1">D9</f>
        <v>0</v>
      </c>
      <c r="F9" s="275">
        <f t="shared" ref="F9:F37" si="2">ROUNDUP(D9/10,0)</f>
        <v>0</v>
      </c>
      <c r="G9" s="276">
        <f t="shared" ref="G9:G37" si="3">ROUNDUP((E9+F9)/100,0)</f>
        <v>0</v>
      </c>
      <c r="H9" s="277">
        <f>'2.Equipe'!G8</f>
        <v>0</v>
      </c>
      <c r="I9" s="279">
        <f t="shared" ref="I9:I37" si="4">ROUND(H9*1.11,-1)</f>
        <v>0</v>
      </c>
      <c r="J9" s="279">
        <f t="shared" ref="J9:J37" si="5">I9</f>
        <v>0</v>
      </c>
      <c r="K9" s="279">
        <f t="shared" ref="K9:K37" si="6">ROUNDUP(I9/10,0)</f>
        <v>0</v>
      </c>
      <c r="L9" s="282">
        <f t="shared" ref="L9:L37" si="7">ROUNDUP((J9+K9)/100,0)</f>
        <v>0</v>
      </c>
      <c r="M9" s="278">
        <f>'2.Equipe'!I8</f>
        <v>0</v>
      </c>
      <c r="N9" s="279">
        <f t="shared" ref="N9:N37" si="8">ROUND(M9*1.11,-1)</f>
        <v>0</v>
      </c>
      <c r="O9" s="272">
        <f t="shared" ref="O9:O37" si="9">N9</f>
        <v>0</v>
      </c>
      <c r="P9" s="272">
        <f t="shared" ref="P9:P37" si="10">ROUNDUP(N9/10,0)</f>
        <v>0</v>
      </c>
      <c r="Q9" s="282">
        <f t="shared" ref="Q9:Q37" si="11">ROUNDUP((O9+P9)/100,0)</f>
        <v>0</v>
      </c>
      <c r="R9" s="279">
        <f>'2.Equipe'!K8</f>
        <v>0</v>
      </c>
      <c r="S9" s="279">
        <f t="shared" ref="S9:S37" si="12">ROUND(R9*1.11,-1)</f>
        <v>0</v>
      </c>
      <c r="T9" s="272">
        <f t="shared" ref="T9:T37" si="13">S9</f>
        <v>0</v>
      </c>
      <c r="U9" s="272">
        <f t="shared" ref="U9:U37" si="14">ROUNDUP(S9/10,0)</f>
        <v>0</v>
      </c>
      <c r="V9" s="282">
        <f t="shared" ref="V9:V37" si="15">ROUNDUP((T9+U9)/100,0)</f>
        <v>0</v>
      </c>
      <c r="W9" s="280">
        <f t="shared" ref="W9:W37" si="16">C9+H9+M9+R9</f>
        <v>0</v>
      </c>
      <c r="X9" s="279">
        <f t="shared" ref="X9:X37" si="17">D9+I9+N9+S9</f>
        <v>0</v>
      </c>
      <c r="Y9" s="279">
        <f t="shared" ref="Y9:Y37" si="18">E9+J9+O9+T9</f>
        <v>0</v>
      </c>
      <c r="Z9" s="279">
        <f t="shared" ref="Z9:Z37" si="19">F9+K9+P9+U9</f>
        <v>0</v>
      </c>
      <c r="AA9" s="279">
        <f t="shared" ref="AA9:AA37" si="20">G9+L9+Q9+V9</f>
        <v>0</v>
      </c>
      <c r="AB9" s="279">
        <f t="shared" ref="AB9:AB37" si="21">ROUNDUP(W9*1.11/1000,0)</f>
        <v>0</v>
      </c>
      <c r="AC9" s="281">
        <f>ROUNDUP(SUM('2.Equipe'!$F8,'2.Equipe'!$H8,'2.Equipe'!$J8,'2.Equipe'!$L8)*1.11*Data!$H$14,-1)</f>
        <v>0</v>
      </c>
      <c r="AD9" s="282">
        <f>ROUNDUP(SUM('2.Equipe'!$F8,'2.Equipe'!$H8,'2.Equipe'!$J8,'2.Equipe'!$L8)*2*1.05,0)</f>
        <v>0</v>
      </c>
      <c r="AE9" s="312"/>
      <c r="AF9" s="312"/>
    </row>
    <row r="10" spans="1:32" s="115" customFormat="1" x14ac:dyDescent="0.15">
      <c r="A10" s="272">
        <v>3</v>
      </c>
      <c r="B10" s="273">
        <f>'1.Stratégie'!B10</f>
        <v>0</v>
      </c>
      <c r="C10" s="274">
        <f>'2.Equipe'!E9</f>
        <v>0</v>
      </c>
      <c r="D10" s="275">
        <f t="shared" si="0"/>
        <v>0</v>
      </c>
      <c r="E10" s="275">
        <f t="shared" si="1"/>
        <v>0</v>
      </c>
      <c r="F10" s="275">
        <f t="shared" si="2"/>
        <v>0</v>
      </c>
      <c r="G10" s="276">
        <f t="shared" si="3"/>
        <v>0</v>
      </c>
      <c r="H10" s="277">
        <f>'2.Equipe'!G9</f>
        <v>0</v>
      </c>
      <c r="I10" s="279">
        <f t="shared" si="4"/>
        <v>0</v>
      </c>
      <c r="J10" s="279">
        <f t="shared" si="5"/>
        <v>0</v>
      </c>
      <c r="K10" s="279">
        <f t="shared" si="6"/>
        <v>0</v>
      </c>
      <c r="L10" s="282">
        <f t="shared" si="7"/>
        <v>0</v>
      </c>
      <c r="M10" s="278">
        <f>'2.Equipe'!I9</f>
        <v>0</v>
      </c>
      <c r="N10" s="279">
        <f t="shared" si="8"/>
        <v>0</v>
      </c>
      <c r="O10" s="272">
        <f t="shared" si="9"/>
        <v>0</v>
      </c>
      <c r="P10" s="272">
        <f t="shared" si="10"/>
        <v>0</v>
      </c>
      <c r="Q10" s="282">
        <f t="shared" si="11"/>
        <v>0</v>
      </c>
      <c r="R10" s="279">
        <f>'2.Equipe'!K9</f>
        <v>0</v>
      </c>
      <c r="S10" s="279">
        <f t="shared" si="12"/>
        <v>0</v>
      </c>
      <c r="T10" s="272">
        <f t="shared" si="13"/>
        <v>0</v>
      </c>
      <c r="U10" s="272">
        <f t="shared" si="14"/>
        <v>0</v>
      </c>
      <c r="V10" s="282">
        <f t="shared" si="15"/>
        <v>0</v>
      </c>
      <c r="W10" s="280">
        <f t="shared" si="16"/>
        <v>0</v>
      </c>
      <c r="X10" s="279">
        <f t="shared" si="17"/>
        <v>0</v>
      </c>
      <c r="Y10" s="279">
        <f t="shared" si="18"/>
        <v>0</v>
      </c>
      <c r="Z10" s="279">
        <f t="shared" si="19"/>
        <v>0</v>
      </c>
      <c r="AA10" s="279">
        <f t="shared" si="20"/>
        <v>0</v>
      </c>
      <c r="AB10" s="279">
        <f t="shared" si="21"/>
        <v>0</v>
      </c>
      <c r="AC10" s="281">
        <f>ROUNDUP(SUM('2.Equipe'!$F9,'2.Equipe'!$H9,'2.Equipe'!$J9,'2.Equipe'!$L9)*1.11*Data!$H$14,-1)</f>
        <v>0</v>
      </c>
      <c r="AD10" s="282">
        <f>ROUNDUP(SUM('2.Equipe'!$F9,'2.Equipe'!$H9,'2.Equipe'!$J9,'2.Equipe'!$L9)*2*1.05,0)</f>
        <v>0</v>
      </c>
      <c r="AE10" s="312"/>
      <c r="AF10" s="312"/>
    </row>
    <row r="11" spans="1:32" s="115" customFormat="1" x14ac:dyDescent="0.15">
      <c r="A11" s="272">
        <v>4</v>
      </c>
      <c r="B11" s="273">
        <f>'1.Stratégie'!B11</f>
        <v>0</v>
      </c>
      <c r="C11" s="274">
        <f>'2.Equipe'!E10</f>
        <v>0</v>
      </c>
      <c r="D11" s="275">
        <f t="shared" si="0"/>
        <v>0</v>
      </c>
      <c r="E11" s="275">
        <f t="shared" si="1"/>
        <v>0</v>
      </c>
      <c r="F11" s="275">
        <f t="shared" si="2"/>
        <v>0</v>
      </c>
      <c r="G11" s="276">
        <f t="shared" si="3"/>
        <v>0</v>
      </c>
      <c r="H11" s="277">
        <f>'2.Equipe'!G10</f>
        <v>0</v>
      </c>
      <c r="I11" s="279">
        <f t="shared" si="4"/>
        <v>0</v>
      </c>
      <c r="J11" s="279">
        <f t="shared" si="5"/>
        <v>0</v>
      </c>
      <c r="K11" s="279">
        <f t="shared" si="6"/>
        <v>0</v>
      </c>
      <c r="L11" s="282">
        <f t="shared" si="7"/>
        <v>0</v>
      </c>
      <c r="M11" s="278">
        <f>'2.Equipe'!I10</f>
        <v>0</v>
      </c>
      <c r="N11" s="279">
        <f t="shared" si="8"/>
        <v>0</v>
      </c>
      <c r="O11" s="272">
        <f t="shared" si="9"/>
        <v>0</v>
      </c>
      <c r="P11" s="272">
        <f t="shared" si="10"/>
        <v>0</v>
      </c>
      <c r="Q11" s="282">
        <f t="shared" si="11"/>
        <v>0</v>
      </c>
      <c r="R11" s="279">
        <f>'2.Equipe'!K10</f>
        <v>0</v>
      </c>
      <c r="S11" s="279">
        <f t="shared" si="12"/>
        <v>0</v>
      </c>
      <c r="T11" s="272">
        <f t="shared" si="13"/>
        <v>0</v>
      </c>
      <c r="U11" s="272">
        <f t="shared" si="14"/>
        <v>0</v>
      </c>
      <c r="V11" s="282">
        <f t="shared" si="15"/>
        <v>0</v>
      </c>
      <c r="W11" s="280">
        <f t="shared" si="16"/>
        <v>0</v>
      </c>
      <c r="X11" s="279">
        <f t="shared" si="17"/>
        <v>0</v>
      </c>
      <c r="Y11" s="279">
        <f t="shared" si="18"/>
        <v>0</v>
      </c>
      <c r="Z11" s="279">
        <f t="shared" si="19"/>
        <v>0</v>
      </c>
      <c r="AA11" s="279">
        <f t="shared" si="20"/>
        <v>0</v>
      </c>
      <c r="AB11" s="279">
        <f t="shared" si="21"/>
        <v>0</v>
      </c>
      <c r="AC11" s="281">
        <f>ROUNDUP(SUM('2.Equipe'!$F10,'2.Equipe'!$H10,'2.Equipe'!$J10,'2.Equipe'!$L10)*1.11*Data!$H$14,-1)</f>
        <v>0</v>
      </c>
      <c r="AD11" s="282">
        <f>ROUNDUP(SUM('2.Equipe'!$F10,'2.Equipe'!$H10,'2.Equipe'!$J10,'2.Equipe'!$L10)*2*1.05,0)</f>
        <v>0</v>
      </c>
      <c r="AE11" s="312"/>
      <c r="AF11" s="312"/>
    </row>
    <row r="12" spans="1:32" s="115" customFormat="1" x14ac:dyDescent="0.15">
      <c r="A12" s="272">
        <v>5</v>
      </c>
      <c r="B12" s="273">
        <f>'1.Stratégie'!B12</f>
        <v>0</v>
      </c>
      <c r="C12" s="274">
        <f>'2.Equipe'!E11</f>
        <v>0</v>
      </c>
      <c r="D12" s="275">
        <f t="shared" si="0"/>
        <v>0</v>
      </c>
      <c r="E12" s="275">
        <f t="shared" si="1"/>
        <v>0</v>
      </c>
      <c r="F12" s="275">
        <f t="shared" si="2"/>
        <v>0</v>
      </c>
      <c r="G12" s="276">
        <f t="shared" si="3"/>
        <v>0</v>
      </c>
      <c r="H12" s="277">
        <f>'2.Equipe'!G11</f>
        <v>0</v>
      </c>
      <c r="I12" s="279">
        <f t="shared" si="4"/>
        <v>0</v>
      </c>
      <c r="J12" s="279">
        <f t="shared" si="5"/>
        <v>0</v>
      </c>
      <c r="K12" s="279">
        <f t="shared" si="6"/>
        <v>0</v>
      </c>
      <c r="L12" s="282">
        <f t="shared" si="7"/>
        <v>0</v>
      </c>
      <c r="M12" s="278">
        <f>'2.Equipe'!I11</f>
        <v>0</v>
      </c>
      <c r="N12" s="279">
        <f t="shared" si="8"/>
        <v>0</v>
      </c>
      <c r="O12" s="272">
        <f t="shared" si="9"/>
        <v>0</v>
      </c>
      <c r="P12" s="272">
        <f t="shared" si="10"/>
        <v>0</v>
      </c>
      <c r="Q12" s="282">
        <f t="shared" si="11"/>
        <v>0</v>
      </c>
      <c r="R12" s="279">
        <f>'2.Equipe'!K11</f>
        <v>0</v>
      </c>
      <c r="S12" s="279">
        <f t="shared" si="12"/>
        <v>0</v>
      </c>
      <c r="T12" s="272">
        <f t="shared" si="13"/>
        <v>0</v>
      </c>
      <c r="U12" s="272">
        <f t="shared" si="14"/>
        <v>0</v>
      </c>
      <c r="V12" s="282">
        <f t="shared" si="15"/>
        <v>0</v>
      </c>
      <c r="W12" s="280">
        <f t="shared" si="16"/>
        <v>0</v>
      </c>
      <c r="X12" s="279">
        <f t="shared" si="17"/>
        <v>0</v>
      </c>
      <c r="Y12" s="279">
        <f t="shared" si="18"/>
        <v>0</v>
      </c>
      <c r="Z12" s="279">
        <f t="shared" si="19"/>
        <v>0</v>
      </c>
      <c r="AA12" s="279">
        <f t="shared" si="20"/>
        <v>0</v>
      </c>
      <c r="AB12" s="279">
        <f t="shared" si="21"/>
        <v>0</v>
      </c>
      <c r="AC12" s="281">
        <f>ROUNDUP(SUM('2.Equipe'!$F11,'2.Equipe'!$H11,'2.Equipe'!$J11,'2.Equipe'!$L11)*1.11*Data!$H$14,-1)</f>
        <v>0</v>
      </c>
      <c r="AD12" s="282">
        <f>ROUNDUP(SUM('2.Equipe'!$F11,'2.Equipe'!$H11,'2.Equipe'!$J11,'2.Equipe'!$L11)*2*1.05,0)</f>
        <v>0</v>
      </c>
      <c r="AE12" s="312"/>
      <c r="AF12" s="312"/>
    </row>
    <row r="13" spans="1:32" s="115" customFormat="1" x14ac:dyDescent="0.15">
      <c r="A13" s="272">
        <v>6</v>
      </c>
      <c r="B13" s="273">
        <f>'1.Stratégie'!B13</f>
        <v>0</v>
      </c>
      <c r="C13" s="274">
        <f>'2.Equipe'!E12</f>
        <v>0</v>
      </c>
      <c r="D13" s="275">
        <f t="shared" si="0"/>
        <v>0</v>
      </c>
      <c r="E13" s="275">
        <f t="shared" si="1"/>
        <v>0</v>
      </c>
      <c r="F13" s="275">
        <f t="shared" si="2"/>
        <v>0</v>
      </c>
      <c r="G13" s="276">
        <f t="shared" si="3"/>
        <v>0</v>
      </c>
      <c r="H13" s="277">
        <f>'2.Equipe'!G12</f>
        <v>0</v>
      </c>
      <c r="I13" s="279">
        <f t="shared" si="4"/>
        <v>0</v>
      </c>
      <c r="J13" s="279">
        <f t="shared" si="5"/>
        <v>0</v>
      </c>
      <c r="K13" s="279">
        <f t="shared" si="6"/>
        <v>0</v>
      </c>
      <c r="L13" s="282">
        <f t="shared" si="7"/>
        <v>0</v>
      </c>
      <c r="M13" s="278">
        <f>'2.Equipe'!I12</f>
        <v>0</v>
      </c>
      <c r="N13" s="279">
        <f t="shared" si="8"/>
        <v>0</v>
      </c>
      <c r="O13" s="272">
        <f t="shared" si="9"/>
        <v>0</v>
      </c>
      <c r="P13" s="272">
        <f t="shared" si="10"/>
        <v>0</v>
      </c>
      <c r="Q13" s="282">
        <f t="shared" si="11"/>
        <v>0</v>
      </c>
      <c r="R13" s="279">
        <f>'2.Equipe'!K12</f>
        <v>0</v>
      </c>
      <c r="S13" s="279">
        <f t="shared" si="12"/>
        <v>0</v>
      </c>
      <c r="T13" s="272">
        <f t="shared" si="13"/>
        <v>0</v>
      </c>
      <c r="U13" s="272">
        <f t="shared" si="14"/>
        <v>0</v>
      </c>
      <c r="V13" s="282">
        <f t="shared" si="15"/>
        <v>0</v>
      </c>
      <c r="W13" s="280">
        <f t="shared" si="16"/>
        <v>0</v>
      </c>
      <c r="X13" s="279">
        <f t="shared" si="17"/>
        <v>0</v>
      </c>
      <c r="Y13" s="279">
        <f t="shared" si="18"/>
        <v>0</v>
      </c>
      <c r="Z13" s="279">
        <f t="shared" si="19"/>
        <v>0</v>
      </c>
      <c r="AA13" s="279">
        <f t="shared" si="20"/>
        <v>0</v>
      </c>
      <c r="AB13" s="279">
        <f t="shared" si="21"/>
        <v>0</v>
      </c>
      <c r="AC13" s="281">
        <f>ROUNDUP(SUM('2.Equipe'!$F12,'2.Equipe'!$H12,'2.Equipe'!$J12,'2.Equipe'!$L12)*1.11*Data!$H$14,-1)</f>
        <v>0</v>
      </c>
      <c r="AD13" s="282">
        <f>ROUNDUP(SUM('2.Equipe'!$F12,'2.Equipe'!$H12,'2.Equipe'!$J12,'2.Equipe'!$L12)*2*1.05,0)</f>
        <v>0</v>
      </c>
      <c r="AE13" s="312"/>
      <c r="AF13" s="312"/>
    </row>
    <row r="14" spans="1:32" s="115" customFormat="1" x14ac:dyDescent="0.15">
      <c r="A14" s="272">
        <v>7</v>
      </c>
      <c r="B14" s="273">
        <f>'1.Stratégie'!B14</f>
        <v>0</v>
      </c>
      <c r="C14" s="274">
        <f>'2.Equipe'!E13</f>
        <v>0</v>
      </c>
      <c r="D14" s="275">
        <f t="shared" si="0"/>
        <v>0</v>
      </c>
      <c r="E14" s="275">
        <f t="shared" si="1"/>
        <v>0</v>
      </c>
      <c r="F14" s="275">
        <f t="shared" si="2"/>
        <v>0</v>
      </c>
      <c r="G14" s="276">
        <f t="shared" si="3"/>
        <v>0</v>
      </c>
      <c r="H14" s="277">
        <f>'2.Equipe'!G13</f>
        <v>0</v>
      </c>
      <c r="I14" s="279">
        <f t="shared" si="4"/>
        <v>0</v>
      </c>
      <c r="J14" s="279">
        <f t="shared" si="5"/>
        <v>0</v>
      </c>
      <c r="K14" s="279">
        <f t="shared" si="6"/>
        <v>0</v>
      </c>
      <c r="L14" s="282">
        <f t="shared" si="7"/>
        <v>0</v>
      </c>
      <c r="M14" s="278">
        <f>'2.Equipe'!I13</f>
        <v>0</v>
      </c>
      <c r="N14" s="279">
        <f t="shared" si="8"/>
        <v>0</v>
      </c>
      <c r="O14" s="272">
        <f t="shared" si="9"/>
        <v>0</v>
      </c>
      <c r="P14" s="272">
        <f t="shared" si="10"/>
        <v>0</v>
      </c>
      <c r="Q14" s="282">
        <f t="shared" si="11"/>
        <v>0</v>
      </c>
      <c r="R14" s="279">
        <f>'2.Equipe'!K13</f>
        <v>0</v>
      </c>
      <c r="S14" s="279">
        <f t="shared" si="12"/>
        <v>0</v>
      </c>
      <c r="T14" s="272">
        <f t="shared" si="13"/>
        <v>0</v>
      </c>
      <c r="U14" s="272">
        <f t="shared" si="14"/>
        <v>0</v>
      </c>
      <c r="V14" s="282">
        <f t="shared" si="15"/>
        <v>0</v>
      </c>
      <c r="W14" s="280">
        <f t="shared" si="16"/>
        <v>0</v>
      </c>
      <c r="X14" s="279">
        <f t="shared" si="17"/>
        <v>0</v>
      </c>
      <c r="Y14" s="279">
        <f t="shared" si="18"/>
        <v>0</v>
      </c>
      <c r="Z14" s="279">
        <f t="shared" si="19"/>
        <v>0</v>
      </c>
      <c r="AA14" s="279">
        <f t="shared" si="20"/>
        <v>0</v>
      </c>
      <c r="AB14" s="279">
        <f t="shared" si="21"/>
        <v>0</v>
      </c>
      <c r="AC14" s="281">
        <f>ROUNDUP(SUM('2.Equipe'!$F13,'2.Equipe'!$H13,'2.Equipe'!$J13,'2.Equipe'!$L13)*1.11*Data!$H$14,-1)</f>
        <v>0</v>
      </c>
      <c r="AD14" s="282">
        <f>ROUNDUP(SUM('2.Equipe'!$F13,'2.Equipe'!$H13,'2.Equipe'!$J13,'2.Equipe'!$L13)*2*1.05,0)</f>
        <v>0</v>
      </c>
      <c r="AE14" s="312"/>
      <c r="AF14" s="312"/>
    </row>
    <row r="15" spans="1:32" s="115" customFormat="1" x14ac:dyDescent="0.15">
      <c r="A15" s="272">
        <v>8</v>
      </c>
      <c r="B15" s="273">
        <f>'1.Stratégie'!B15</f>
        <v>0</v>
      </c>
      <c r="C15" s="274">
        <f>'2.Equipe'!E14</f>
        <v>0</v>
      </c>
      <c r="D15" s="275">
        <f t="shared" si="0"/>
        <v>0</v>
      </c>
      <c r="E15" s="275">
        <f t="shared" si="1"/>
        <v>0</v>
      </c>
      <c r="F15" s="275">
        <f t="shared" si="2"/>
        <v>0</v>
      </c>
      <c r="G15" s="276">
        <f t="shared" si="3"/>
        <v>0</v>
      </c>
      <c r="H15" s="277">
        <f>'2.Equipe'!G14</f>
        <v>0</v>
      </c>
      <c r="I15" s="279">
        <f t="shared" si="4"/>
        <v>0</v>
      </c>
      <c r="J15" s="279">
        <f t="shared" si="5"/>
        <v>0</v>
      </c>
      <c r="K15" s="279">
        <f t="shared" si="6"/>
        <v>0</v>
      </c>
      <c r="L15" s="282">
        <f t="shared" si="7"/>
        <v>0</v>
      </c>
      <c r="M15" s="278">
        <f>'2.Equipe'!I14</f>
        <v>0</v>
      </c>
      <c r="N15" s="279">
        <f t="shared" si="8"/>
        <v>0</v>
      </c>
      <c r="O15" s="272">
        <f t="shared" si="9"/>
        <v>0</v>
      </c>
      <c r="P15" s="272">
        <f t="shared" si="10"/>
        <v>0</v>
      </c>
      <c r="Q15" s="282">
        <f t="shared" si="11"/>
        <v>0</v>
      </c>
      <c r="R15" s="279">
        <f>'2.Equipe'!K14</f>
        <v>0</v>
      </c>
      <c r="S15" s="279">
        <f t="shared" si="12"/>
        <v>0</v>
      </c>
      <c r="T15" s="272">
        <f t="shared" si="13"/>
        <v>0</v>
      </c>
      <c r="U15" s="272">
        <f t="shared" si="14"/>
        <v>0</v>
      </c>
      <c r="V15" s="282">
        <f t="shared" si="15"/>
        <v>0</v>
      </c>
      <c r="W15" s="280">
        <f t="shared" si="16"/>
        <v>0</v>
      </c>
      <c r="X15" s="279">
        <f t="shared" si="17"/>
        <v>0</v>
      </c>
      <c r="Y15" s="279">
        <f t="shared" si="18"/>
        <v>0</v>
      </c>
      <c r="Z15" s="279">
        <f t="shared" si="19"/>
        <v>0</v>
      </c>
      <c r="AA15" s="279">
        <f t="shared" si="20"/>
        <v>0</v>
      </c>
      <c r="AB15" s="279">
        <f t="shared" si="21"/>
        <v>0</v>
      </c>
      <c r="AC15" s="281">
        <f>ROUNDUP(SUM('2.Equipe'!$F14,'2.Equipe'!$H14,'2.Equipe'!$J14,'2.Equipe'!$L14)*1.11*Data!$H$14,-1)</f>
        <v>0</v>
      </c>
      <c r="AD15" s="282">
        <f>ROUNDUP(SUM('2.Equipe'!$F14,'2.Equipe'!$H14,'2.Equipe'!$J14,'2.Equipe'!$L14)*2*1.05,0)</f>
        <v>0</v>
      </c>
      <c r="AE15" s="312"/>
      <c r="AF15" s="312"/>
    </row>
    <row r="16" spans="1:32" s="115" customFormat="1" x14ac:dyDescent="0.15">
      <c r="A16" s="272">
        <v>9</v>
      </c>
      <c r="B16" s="273">
        <f>'1.Stratégie'!B16</f>
        <v>0</v>
      </c>
      <c r="C16" s="274">
        <f>'2.Equipe'!E15</f>
        <v>0</v>
      </c>
      <c r="D16" s="275">
        <f t="shared" si="0"/>
        <v>0</v>
      </c>
      <c r="E16" s="275">
        <f t="shared" si="1"/>
        <v>0</v>
      </c>
      <c r="F16" s="275">
        <f t="shared" si="2"/>
        <v>0</v>
      </c>
      <c r="G16" s="276">
        <f t="shared" si="3"/>
        <v>0</v>
      </c>
      <c r="H16" s="277">
        <f>'2.Equipe'!G15</f>
        <v>0</v>
      </c>
      <c r="I16" s="279">
        <f t="shared" si="4"/>
        <v>0</v>
      </c>
      <c r="J16" s="279">
        <f t="shared" si="5"/>
        <v>0</v>
      </c>
      <c r="K16" s="279">
        <f t="shared" si="6"/>
        <v>0</v>
      </c>
      <c r="L16" s="282">
        <f t="shared" si="7"/>
        <v>0</v>
      </c>
      <c r="M16" s="278">
        <f>'2.Equipe'!I15</f>
        <v>0</v>
      </c>
      <c r="N16" s="279">
        <f t="shared" si="8"/>
        <v>0</v>
      </c>
      <c r="O16" s="272">
        <f t="shared" si="9"/>
        <v>0</v>
      </c>
      <c r="P16" s="272">
        <f t="shared" si="10"/>
        <v>0</v>
      </c>
      <c r="Q16" s="282">
        <f t="shared" si="11"/>
        <v>0</v>
      </c>
      <c r="R16" s="279">
        <f>'2.Equipe'!K15</f>
        <v>0</v>
      </c>
      <c r="S16" s="279">
        <f t="shared" si="12"/>
        <v>0</v>
      </c>
      <c r="T16" s="272">
        <f t="shared" si="13"/>
        <v>0</v>
      </c>
      <c r="U16" s="272">
        <f t="shared" si="14"/>
        <v>0</v>
      </c>
      <c r="V16" s="282">
        <f t="shared" si="15"/>
        <v>0</v>
      </c>
      <c r="W16" s="280">
        <f t="shared" si="16"/>
        <v>0</v>
      </c>
      <c r="X16" s="279">
        <f t="shared" si="17"/>
        <v>0</v>
      </c>
      <c r="Y16" s="279">
        <f t="shared" si="18"/>
        <v>0</v>
      </c>
      <c r="Z16" s="279">
        <f t="shared" si="19"/>
        <v>0</v>
      </c>
      <c r="AA16" s="279">
        <f t="shared" si="20"/>
        <v>0</v>
      </c>
      <c r="AB16" s="279">
        <f t="shared" si="21"/>
        <v>0</v>
      </c>
      <c r="AC16" s="281">
        <f>ROUNDUP(SUM('2.Equipe'!$F15,'2.Equipe'!$H15,'2.Equipe'!$J15,'2.Equipe'!$L15)*1.11*Data!$H$14,-1)</f>
        <v>0</v>
      </c>
      <c r="AD16" s="282">
        <f>ROUNDUP(SUM('2.Equipe'!$F15,'2.Equipe'!$H15,'2.Equipe'!$J15,'2.Equipe'!$L15)*2*1.05,0)</f>
        <v>0</v>
      </c>
      <c r="AE16" s="312"/>
      <c r="AF16" s="312"/>
    </row>
    <row r="17" spans="1:126" s="115" customFormat="1" x14ac:dyDescent="0.15">
      <c r="A17" s="272">
        <v>10</v>
      </c>
      <c r="B17" s="273">
        <f>'1.Stratégie'!B17</f>
        <v>0</v>
      </c>
      <c r="C17" s="274">
        <f>'2.Equipe'!E16</f>
        <v>0</v>
      </c>
      <c r="D17" s="275">
        <f t="shared" si="0"/>
        <v>0</v>
      </c>
      <c r="E17" s="275">
        <f t="shared" si="1"/>
        <v>0</v>
      </c>
      <c r="F17" s="275">
        <f t="shared" si="2"/>
        <v>0</v>
      </c>
      <c r="G17" s="276">
        <f t="shared" si="3"/>
        <v>0</v>
      </c>
      <c r="H17" s="277">
        <f>'2.Equipe'!G16</f>
        <v>0</v>
      </c>
      <c r="I17" s="279">
        <f t="shared" si="4"/>
        <v>0</v>
      </c>
      <c r="J17" s="279">
        <f t="shared" si="5"/>
        <v>0</v>
      </c>
      <c r="K17" s="279">
        <f t="shared" si="6"/>
        <v>0</v>
      </c>
      <c r="L17" s="282">
        <f t="shared" si="7"/>
        <v>0</v>
      </c>
      <c r="M17" s="278">
        <f>'2.Equipe'!I16</f>
        <v>0</v>
      </c>
      <c r="N17" s="279">
        <f t="shared" si="8"/>
        <v>0</v>
      </c>
      <c r="O17" s="272">
        <f t="shared" si="9"/>
        <v>0</v>
      </c>
      <c r="P17" s="272">
        <f t="shared" si="10"/>
        <v>0</v>
      </c>
      <c r="Q17" s="282">
        <f t="shared" si="11"/>
        <v>0</v>
      </c>
      <c r="R17" s="279">
        <f>'2.Equipe'!K16</f>
        <v>0</v>
      </c>
      <c r="S17" s="279">
        <f t="shared" si="12"/>
        <v>0</v>
      </c>
      <c r="T17" s="272">
        <f t="shared" si="13"/>
        <v>0</v>
      </c>
      <c r="U17" s="272">
        <f t="shared" si="14"/>
        <v>0</v>
      </c>
      <c r="V17" s="282">
        <f t="shared" si="15"/>
        <v>0</v>
      </c>
      <c r="W17" s="280">
        <f t="shared" si="16"/>
        <v>0</v>
      </c>
      <c r="X17" s="279">
        <f t="shared" si="17"/>
        <v>0</v>
      </c>
      <c r="Y17" s="279">
        <f t="shared" si="18"/>
        <v>0</v>
      </c>
      <c r="Z17" s="279">
        <f t="shared" si="19"/>
        <v>0</v>
      </c>
      <c r="AA17" s="279">
        <f t="shared" si="20"/>
        <v>0</v>
      </c>
      <c r="AB17" s="279">
        <f t="shared" si="21"/>
        <v>0</v>
      </c>
      <c r="AC17" s="281">
        <f>ROUNDUP(SUM('2.Equipe'!$F16,'2.Equipe'!$H16,'2.Equipe'!$J16,'2.Equipe'!$L16)*1.11*Data!$H$14,-1)</f>
        <v>0</v>
      </c>
      <c r="AD17" s="282">
        <f>ROUNDUP(SUM('2.Equipe'!$F16,'2.Equipe'!$H16,'2.Equipe'!$J16,'2.Equipe'!$L16)*2*1.05,0)</f>
        <v>0</v>
      </c>
      <c r="AE17" s="312"/>
      <c r="AF17" s="312"/>
    </row>
    <row r="18" spans="1:126" s="116" customFormat="1" x14ac:dyDescent="0.15">
      <c r="A18" s="272">
        <v>11</v>
      </c>
      <c r="B18" s="273">
        <f>'1.Stratégie'!B18</f>
        <v>0</v>
      </c>
      <c r="C18" s="274">
        <f>'2.Equipe'!E17</f>
        <v>0</v>
      </c>
      <c r="D18" s="275">
        <f t="shared" si="0"/>
        <v>0</v>
      </c>
      <c r="E18" s="275">
        <f t="shared" si="1"/>
        <v>0</v>
      </c>
      <c r="F18" s="275">
        <f t="shared" si="2"/>
        <v>0</v>
      </c>
      <c r="G18" s="276">
        <f t="shared" si="3"/>
        <v>0</v>
      </c>
      <c r="H18" s="277">
        <f>'2.Equipe'!G17</f>
        <v>0</v>
      </c>
      <c r="I18" s="279">
        <f t="shared" si="4"/>
        <v>0</v>
      </c>
      <c r="J18" s="279">
        <f t="shared" si="5"/>
        <v>0</v>
      </c>
      <c r="K18" s="279">
        <f t="shared" si="6"/>
        <v>0</v>
      </c>
      <c r="L18" s="282">
        <f t="shared" si="7"/>
        <v>0</v>
      </c>
      <c r="M18" s="278">
        <f>'2.Equipe'!I17</f>
        <v>0</v>
      </c>
      <c r="N18" s="279">
        <f t="shared" si="8"/>
        <v>0</v>
      </c>
      <c r="O18" s="272">
        <f t="shared" si="9"/>
        <v>0</v>
      </c>
      <c r="P18" s="272">
        <f t="shared" si="10"/>
        <v>0</v>
      </c>
      <c r="Q18" s="282">
        <f t="shared" si="11"/>
        <v>0</v>
      </c>
      <c r="R18" s="279">
        <f>'2.Equipe'!K17</f>
        <v>0</v>
      </c>
      <c r="S18" s="279">
        <f t="shared" si="12"/>
        <v>0</v>
      </c>
      <c r="T18" s="272">
        <f t="shared" si="13"/>
        <v>0</v>
      </c>
      <c r="U18" s="272">
        <f t="shared" si="14"/>
        <v>0</v>
      </c>
      <c r="V18" s="282">
        <f t="shared" si="15"/>
        <v>0</v>
      </c>
      <c r="W18" s="280">
        <f t="shared" si="16"/>
        <v>0</v>
      </c>
      <c r="X18" s="279">
        <f t="shared" si="17"/>
        <v>0</v>
      </c>
      <c r="Y18" s="279">
        <f t="shared" si="18"/>
        <v>0</v>
      </c>
      <c r="Z18" s="279">
        <f t="shared" si="19"/>
        <v>0</v>
      </c>
      <c r="AA18" s="279">
        <f t="shared" si="20"/>
        <v>0</v>
      </c>
      <c r="AB18" s="279">
        <f t="shared" si="21"/>
        <v>0</v>
      </c>
      <c r="AC18" s="281">
        <f>ROUNDUP(SUM('2.Equipe'!$F17,'2.Equipe'!$H17,'2.Equipe'!$J17,'2.Equipe'!$L17)*1.11*Data!$H$14,-1)</f>
        <v>0</v>
      </c>
      <c r="AD18" s="282">
        <f>ROUNDUP(SUM('2.Equipe'!$F17,'2.Equipe'!$H17,'2.Equipe'!$J17,'2.Equipe'!$L17)*2*1.05,0)</f>
        <v>0</v>
      </c>
      <c r="AE18" s="312"/>
      <c r="AF18" s="312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  <c r="BW18" s="115"/>
      <c r="BX18" s="115"/>
      <c r="BY18" s="115"/>
      <c r="BZ18" s="115"/>
      <c r="CA18" s="115"/>
      <c r="CB18" s="115"/>
      <c r="CC18" s="115"/>
      <c r="CD18" s="115"/>
      <c r="CE18" s="115"/>
      <c r="CF18" s="115"/>
      <c r="CG18" s="115"/>
      <c r="CH18" s="115"/>
      <c r="CI18" s="115"/>
      <c r="CJ18" s="115"/>
      <c r="CK18" s="115"/>
      <c r="CL18" s="115"/>
      <c r="CM18" s="115"/>
      <c r="CN18" s="115"/>
      <c r="CO18" s="115"/>
      <c r="CP18" s="115"/>
      <c r="CQ18" s="115"/>
      <c r="CR18" s="115"/>
      <c r="CS18" s="115"/>
      <c r="CT18" s="115"/>
      <c r="CU18" s="115"/>
      <c r="CV18" s="115"/>
      <c r="CW18" s="115"/>
      <c r="CX18" s="115"/>
      <c r="CY18" s="115"/>
      <c r="CZ18" s="115"/>
      <c r="DA18" s="115"/>
      <c r="DB18" s="115"/>
      <c r="DC18" s="115"/>
      <c r="DD18" s="115"/>
      <c r="DE18" s="115"/>
      <c r="DF18" s="115"/>
      <c r="DG18" s="115"/>
      <c r="DH18" s="115"/>
      <c r="DI18" s="115"/>
      <c r="DJ18" s="115"/>
      <c r="DK18" s="115"/>
      <c r="DL18" s="115"/>
      <c r="DM18" s="115"/>
      <c r="DN18" s="115"/>
      <c r="DO18" s="115"/>
      <c r="DP18" s="115"/>
      <c r="DQ18" s="115"/>
      <c r="DR18" s="115"/>
      <c r="DS18" s="115"/>
      <c r="DT18" s="115"/>
      <c r="DU18" s="115"/>
      <c r="DV18" s="115"/>
    </row>
    <row r="19" spans="1:126" s="116" customFormat="1" x14ac:dyDescent="0.15">
      <c r="A19" s="272">
        <v>12</v>
      </c>
      <c r="B19" s="273">
        <f>'1.Stratégie'!B19</f>
        <v>0</v>
      </c>
      <c r="C19" s="274">
        <f>'2.Equipe'!E18</f>
        <v>0</v>
      </c>
      <c r="D19" s="275">
        <f t="shared" si="0"/>
        <v>0</v>
      </c>
      <c r="E19" s="275">
        <f t="shared" si="1"/>
        <v>0</v>
      </c>
      <c r="F19" s="275">
        <f t="shared" si="2"/>
        <v>0</v>
      </c>
      <c r="G19" s="276">
        <f t="shared" si="3"/>
        <v>0</v>
      </c>
      <c r="H19" s="277">
        <f>'2.Equipe'!G18</f>
        <v>0</v>
      </c>
      <c r="I19" s="279">
        <f t="shared" si="4"/>
        <v>0</v>
      </c>
      <c r="J19" s="279">
        <f t="shared" si="5"/>
        <v>0</v>
      </c>
      <c r="K19" s="279">
        <f t="shared" si="6"/>
        <v>0</v>
      </c>
      <c r="L19" s="282">
        <f t="shared" si="7"/>
        <v>0</v>
      </c>
      <c r="M19" s="278">
        <f>'2.Equipe'!I18</f>
        <v>0</v>
      </c>
      <c r="N19" s="279">
        <f t="shared" si="8"/>
        <v>0</v>
      </c>
      <c r="O19" s="272">
        <f t="shared" si="9"/>
        <v>0</v>
      </c>
      <c r="P19" s="272">
        <f t="shared" si="10"/>
        <v>0</v>
      </c>
      <c r="Q19" s="282">
        <f t="shared" si="11"/>
        <v>0</v>
      </c>
      <c r="R19" s="279">
        <f>'2.Equipe'!K18</f>
        <v>0</v>
      </c>
      <c r="S19" s="279">
        <f t="shared" si="12"/>
        <v>0</v>
      </c>
      <c r="T19" s="272">
        <f t="shared" si="13"/>
        <v>0</v>
      </c>
      <c r="U19" s="272">
        <f t="shared" si="14"/>
        <v>0</v>
      </c>
      <c r="V19" s="282">
        <f t="shared" si="15"/>
        <v>0</v>
      </c>
      <c r="W19" s="280">
        <f t="shared" si="16"/>
        <v>0</v>
      </c>
      <c r="X19" s="279">
        <f t="shared" si="17"/>
        <v>0</v>
      </c>
      <c r="Y19" s="279">
        <f t="shared" si="18"/>
        <v>0</v>
      </c>
      <c r="Z19" s="279">
        <f t="shared" si="19"/>
        <v>0</v>
      </c>
      <c r="AA19" s="279">
        <f t="shared" si="20"/>
        <v>0</v>
      </c>
      <c r="AB19" s="279">
        <f t="shared" si="21"/>
        <v>0</v>
      </c>
      <c r="AC19" s="281">
        <f>ROUNDUP(SUM('2.Equipe'!$F18,'2.Equipe'!$H18,'2.Equipe'!$J18,'2.Equipe'!$L18)*1.11*Data!$H$14,-1)</f>
        <v>0</v>
      </c>
      <c r="AD19" s="282">
        <f>ROUNDUP(SUM('2.Equipe'!$F18,'2.Equipe'!$H18,'2.Equipe'!$J18,'2.Equipe'!$L18)*2*1.05,0)</f>
        <v>0</v>
      </c>
      <c r="AE19" s="312"/>
      <c r="AF19" s="312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  <c r="BW19" s="115"/>
      <c r="BX19" s="115"/>
      <c r="BY19" s="115"/>
      <c r="BZ19" s="115"/>
      <c r="CA19" s="115"/>
      <c r="CB19" s="115"/>
      <c r="CC19" s="115"/>
      <c r="CD19" s="115"/>
      <c r="CE19" s="115"/>
      <c r="CF19" s="115"/>
      <c r="CG19" s="115"/>
      <c r="CH19" s="115"/>
      <c r="CI19" s="115"/>
      <c r="CJ19" s="115"/>
      <c r="CK19" s="115"/>
      <c r="CL19" s="115"/>
      <c r="CM19" s="115"/>
      <c r="CN19" s="115"/>
      <c r="CO19" s="115"/>
      <c r="CP19" s="115"/>
      <c r="CQ19" s="115"/>
      <c r="CR19" s="115"/>
      <c r="CS19" s="115"/>
      <c r="CT19" s="115"/>
      <c r="CU19" s="115"/>
      <c r="CV19" s="115"/>
      <c r="CW19" s="115"/>
      <c r="CX19" s="115"/>
      <c r="CY19" s="115"/>
      <c r="CZ19" s="115"/>
      <c r="DA19" s="115"/>
      <c r="DB19" s="115"/>
      <c r="DC19" s="115"/>
      <c r="DD19" s="115"/>
      <c r="DE19" s="115"/>
      <c r="DF19" s="115"/>
      <c r="DG19" s="115"/>
      <c r="DH19" s="115"/>
      <c r="DI19" s="115"/>
      <c r="DJ19" s="115"/>
      <c r="DK19" s="115"/>
      <c r="DL19" s="115"/>
      <c r="DM19" s="115"/>
      <c r="DN19" s="115"/>
      <c r="DO19" s="115"/>
      <c r="DP19" s="115"/>
      <c r="DQ19" s="115"/>
      <c r="DR19" s="115"/>
      <c r="DS19" s="115"/>
      <c r="DT19" s="115"/>
      <c r="DU19" s="115"/>
      <c r="DV19" s="115"/>
    </row>
    <row r="20" spans="1:126" s="116" customFormat="1" x14ac:dyDescent="0.15">
      <c r="A20" s="272">
        <v>13</v>
      </c>
      <c r="B20" s="273">
        <f>'1.Stratégie'!B20</f>
        <v>0</v>
      </c>
      <c r="C20" s="274">
        <f>'2.Equipe'!E19</f>
        <v>0</v>
      </c>
      <c r="D20" s="275">
        <f t="shared" si="0"/>
        <v>0</v>
      </c>
      <c r="E20" s="275">
        <f t="shared" si="1"/>
        <v>0</v>
      </c>
      <c r="F20" s="275">
        <f t="shared" si="2"/>
        <v>0</v>
      </c>
      <c r="G20" s="276">
        <f t="shared" si="3"/>
        <v>0</v>
      </c>
      <c r="H20" s="277">
        <f>'2.Equipe'!G19</f>
        <v>0</v>
      </c>
      <c r="I20" s="279">
        <f t="shared" si="4"/>
        <v>0</v>
      </c>
      <c r="J20" s="279">
        <f t="shared" si="5"/>
        <v>0</v>
      </c>
      <c r="K20" s="279">
        <f t="shared" si="6"/>
        <v>0</v>
      </c>
      <c r="L20" s="282">
        <f t="shared" si="7"/>
        <v>0</v>
      </c>
      <c r="M20" s="278">
        <f>'2.Equipe'!I19</f>
        <v>0</v>
      </c>
      <c r="N20" s="279">
        <f t="shared" si="8"/>
        <v>0</v>
      </c>
      <c r="O20" s="272">
        <f t="shared" si="9"/>
        <v>0</v>
      </c>
      <c r="P20" s="272">
        <f t="shared" si="10"/>
        <v>0</v>
      </c>
      <c r="Q20" s="282">
        <f t="shared" si="11"/>
        <v>0</v>
      </c>
      <c r="R20" s="279">
        <f>'2.Equipe'!K19</f>
        <v>0</v>
      </c>
      <c r="S20" s="279">
        <f t="shared" si="12"/>
        <v>0</v>
      </c>
      <c r="T20" s="272">
        <f t="shared" si="13"/>
        <v>0</v>
      </c>
      <c r="U20" s="272">
        <f t="shared" si="14"/>
        <v>0</v>
      </c>
      <c r="V20" s="282">
        <f t="shared" si="15"/>
        <v>0</v>
      </c>
      <c r="W20" s="280">
        <f t="shared" si="16"/>
        <v>0</v>
      </c>
      <c r="X20" s="279">
        <f t="shared" si="17"/>
        <v>0</v>
      </c>
      <c r="Y20" s="279">
        <f t="shared" si="18"/>
        <v>0</v>
      </c>
      <c r="Z20" s="279">
        <f t="shared" si="19"/>
        <v>0</v>
      </c>
      <c r="AA20" s="279">
        <f t="shared" si="20"/>
        <v>0</v>
      </c>
      <c r="AB20" s="279">
        <f t="shared" si="21"/>
        <v>0</v>
      </c>
      <c r="AC20" s="281">
        <f>ROUNDUP(SUM('2.Equipe'!$F19,'2.Equipe'!$H19,'2.Equipe'!$J19,'2.Equipe'!$L19)*1.11*Data!$H$14,-1)</f>
        <v>0</v>
      </c>
      <c r="AD20" s="282">
        <f>ROUNDUP(SUM('2.Equipe'!$F19,'2.Equipe'!$H19,'2.Equipe'!$J19,'2.Equipe'!$L19)*2*1.05,0)</f>
        <v>0</v>
      </c>
      <c r="AE20" s="312"/>
      <c r="AF20" s="312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  <c r="BW20" s="115"/>
      <c r="BX20" s="115"/>
      <c r="BY20" s="115"/>
      <c r="BZ20" s="115"/>
      <c r="CA20" s="115"/>
      <c r="CB20" s="115"/>
      <c r="CC20" s="115"/>
      <c r="CD20" s="115"/>
      <c r="CE20" s="115"/>
      <c r="CF20" s="115"/>
      <c r="CG20" s="115"/>
      <c r="CH20" s="115"/>
      <c r="CI20" s="115"/>
      <c r="CJ20" s="115"/>
      <c r="CK20" s="115"/>
      <c r="CL20" s="115"/>
      <c r="CM20" s="115"/>
      <c r="CN20" s="115"/>
      <c r="CO20" s="115"/>
      <c r="CP20" s="115"/>
      <c r="CQ20" s="115"/>
      <c r="CR20" s="115"/>
      <c r="CS20" s="115"/>
      <c r="CT20" s="115"/>
      <c r="CU20" s="115"/>
      <c r="CV20" s="115"/>
      <c r="CW20" s="115"/>
      <c r="CX20" s="115"/>
      <c r="CY20" s="115"/>
      <c r="CZ20" s="115"/>
      <c r="DA20" s="115"/>
      <c r="DB20" s="115"/>
      <c r="DC20" s="115"/>
      <c r="DD20" s="115"/>
      <c r="DE20" s="115"/>
      <c r="DF20" s="115"/>
      <c r="DG20" s="115"/>
      <c r="DH20" s="115"/>
      <c r="DI20" s="115"/>
      <c r="DJ20" s="115"/>
      <c r="DK20" s="115"/>
      <c r="DL20" s="115"/>
      <c r="DM20" s="115"/>
      <c r="DN20" s="115"/>
      <c r="DO20" s="115"/>
      <c r="DP20" s="115"/>
      <c r="DQ20" s="115"/>
      <c r="DR20" s="115"/>
      <c r="DS20" s="115"/>
      <c r="DT20" s="115"/>
      <c r="DU20" s="115"/>
      <c r="DV20" s="115"/>
    </row>
    <row r="21" spans="1:126" s="116" customFormat="1" x14ac:dyDescent="0.15">
      <c r="A21" s="272">
        <v>14</v>
      </c>
      <c r="B21" s="273">
        <f>'1.Stratégie'!B21</f>
        <v>0</v>
      </c>
      <c r="C21" s="274">
        <f>'2.Equipe'!E20</f>
        <v>0</v>
      </c>
      <c r="D21" s="275">
        <f t="shared" si="0"/>
        <v>0</v>
      </c>
      <c r="E21" s="275">
        <f t="shared" si="1"/>
        <v>0</v>
      </c>
      <c r="F21" s="275">
        <f t="shared" si="2"/>
        <v>0</v>
      </c>
      <c r="G21" s="276">
        <f t="shared" si="3"/>
        <v>0</v>
      </c>
      <c r="H21" s="277">
        <f>'2.Equipe'!G20</f>
        <v>0</v>
      </c>
      <c r="I21" s="279">
        <f t="shared" si="4"/>
        <v>0</v>
      </c>
      <c r="J21" s="279">
        <f t="shared" si="5"/>
        <v>0</v>
      </c>
      <c r="K21" s="279">
        <f t="shared" si="6"/>
        <v>0</v>
      </c>
      <c r="L21" s="282">
        <f t="shared" si="7"/>
        <v>0</v>
      </c>
      <c r="M21" s="278">
        <f>'2.Equipe'!I20</f>
        <v>0</v>
      </c>
      <c r="N21" s="279">
        <f t="shared" si="8"/>
        <v>0</v>
      </c>
      <c r="O21" s="272">
        <f t="shared" si="9"/>
        <v>0</v>
      </c>
      <c r="P21" s="272">
        <f t="shared" si="10"/>
        <v>0</v>
      </c>
      <c r="Q21" s="282">
        <f t="shared" si="11"/>
        <v>0</v>
      </c>
      <c r="R21" s="279">
        <f>'2.Equipe'!K20</f>
        <v>0</v>
      </c>
      <c r="S21" s="279">
        <f t="shared" si="12"/>
        <v>0</v>
      </c>
      <c r="T21" s="272">
        <f t="shared" si="13"/>
        <v>0</v>
      </c>
      <c r="U21" s="272">
        <f t="shared" si="14"/>
        <v>0</v>
      </c>
      <c r="V21" s="282">
        <f t="shared" si="15"/>
        <v>0</v>
      </c>
      <c r="W21" s="280">
        <f t="shared" si="16"/>
        <v>0</v>
      </c>
      <c r="X21" s="279">
        <f t="shared" si="17"/>
        <v>0</v>
      </c>
      <c r="Y21" s="279">
        <f t="shared" si="18"/>
        <v>0</v>
      </c>
      <c r="Z21" s="279">
        <f t="shared" si="19"/>
        <v>0</v>
      </c>
      <c r="AA21" s="279">
        <f t="shared" si="20"/>
        <v>0</v>
      </c>
      <c r="AB21" s="279">
        <f t="shared" si="21"/>
        <v>0</v>
      </c>
      <c r="AC21" s="281">
        <f>ROUNDUP(SUM('2.Equipe'!$F20,'2.Equipe'!$H20,'2.Equipe'!$J20,'2.Equipe'!$L20)*1.11*Data!$H$14,-1)</f>
        <v>0</v>
      </c>
      <c r="AD21" s="282">
        <f>ROUNDUP(SUM('2.Equipe'!$F20,'2.Equipe'!$H20,'2.Equipe'!$J20,'2.Equipe'!$L20)*2*1.05,0)</f>
        <v>0</v>
      </c>
      <c r="AE21" s="312"/>
      <c r="AF21" s="312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15"/>
      <c r="CG21" s="115"/>
      <c r="CH21" s="115"/>
      <c r="CI21" s="115"/>
      <c r="CJ21" s="115"/>
      <c r="CK21" s="115"/>
      <c r="CL21" s="115"/>
      <c r="CM21" s="115"/>
      <c r="CN21" s="115"/>
      <c r="CO21" s="115"/>
      <c r="CP21" s="115"/>
      <c r="CQ21" s="115"/>
      <c r="CR21" s="115"/>
      <c r="CS21" s="115"/>
      <c r="CT21" s="115"/>
      <c r="CU21" s="115"/>
      <c r="CV21" s="115"/>
      <c r="CW21" s="115"/>
      <c r="CX21" s="115"/>
      <c r="CY21" s="115"/>
      <c r="CZ21" s="115"/>
      <c r="DA21" s="115"/>
      <c r="DB21" s="115"/>
      <c r="DC21" s="115"/>
      <c r="DD21" s="115"/>
      <c r="DE21" s="115"/>
      <c r="DF21" s="115"/>
      <c r="DG21" s="115"/>
      <c r="DH21" s="115"/>
      <c r="DI21" s="115"/>
      <c r="DJ21" s="115"/>
      <c r="DK21" s="115"/>
      <c r="DL21" s="115"/>
      <c r="DM21" s="115"/>
      <c r="DN21" s="115"/>
      <c r="DO21" s="115"/>
      <c r="DP21" s="115"/>
      <c r="DQ21" s="115"/>
      <c r="DR21" s="115"/>
      <c r="DS21" s="115"/>
      <c r="DT21" s="115"/>
      <c r="DU21" s="115"/>
      <c r="DV21" s="115"/>
    </row>
    <row r="22" spans="1:126" s="116" customFormat="1" x14ac:dyDescent="0.15">
      <c r="A22" s="272">
        <v>15</v>
      </c>
      <c r="B22" s="273">
        <f>'1.Stratégie'!B22</f>
        <v>0</v>
      </c>
      <c r="C22" s="274">
        <f>'2.Equipe'!E21</f>
        <v>0</v>
      </c>
      <c r="D22" s="275">
        <f t="shared" si="0"/>
        <v>0</v>
      </c>
      <c r="E22" s="275">
        <f t="shared" si="1"/>
        <v>0</v>
      </c>
      <c r="F22" s="275">
        <f t="shared" si="2"/>
        <v>0</v>
      </c>
      <c r="G22" s="276">
        <f t="shared" si="3"/>
        <v>0</v>
      </c>
      <c r="H22" s="277">
        <f>'2.Equipe'!G21</f>
        <v>0</v>
      </c>
      <c r="I22" s="279">
        <f t="shared" si="4"/>
        <v>0</v>
      </c>
      <c r="J22" s="279">
        <f t="shared" si="5"/>
        <v>0</v>
      </c>
      <c r="K22" s="279">
        <f t="shared" si="6"/>
        <v>0</v>
      </c>
      <c r="L22" s="282">
        <f t="shared" si="7"/>
        <v>0</v>
      </c>
      <c r="M22" s="278">
        <f>'2.Equipe'!I21</f>
        <v>0</v>
      </c>
      <c r="N22" s="279">
        <f t="shared" si="8"/>
        <v>0</v>
      </c>
      <c r="O22" s="272">
        <f t="shared" si="9"/>
        <v>0</v>
      </c>
      <c r="P22" s="272">
        <f t="shared" si="10"/>
        <v>0</v>
      </c>
      <c r="Q22" s="282">
        <f t="shared" si="11"/>
        <v>0</v>
      </c>
      <c r="R22" s="279">
        <f>'2.Equipe'!K21</f>
        <v>0</v>
      </c>
      <c r="S22" s="279">
        <f t="shared" si="12"/>
        <v>0</v>
      </c>
      <c r="T22" s="272">
        <f t="shared" si="13"/>
        <v>0</v>
      </c>
      <c r="U22" s="272">
        <f t="shared" si="14"/>
        <v>0</v>
      </c>
      <c r="V22" s="282">
        <f t="shared" si="15"/>
        <v>0</v>
      </c>
      <c r="W22" s="280">
        <f t="shared" si="16"/>
        <v>0</v>
      </c>
      <c r="X22" s="279">
        <f t="shared" si="17"/>
        <v>0</v>
      </c>
      <c r="Y22" s="279">
        <f t="shared" si="18"/>
        <v>0</v>
      </c>
      <c r="Z22" s="279">
        <f t="shared" si="19"/>
        <v>0</v>
      </c>
      <c r="AA22" s="279">
        <f t="shared" si="20"/>
        <v>0</v>
      </c>
      <c r="AB22" s="279">
        <f t="shared" si="21"/>
        <v>0</v>
      </c>
      <c r="AC22" s="281">
        <f>ROUNDUP(SUM('2.Equipe'!$F21,'2.Equipe'!$H21,'2.Equipe'!$J21,'2.Equipe'!$L21)*1.11*Data!$H$14,-1)</f>
        <v>0</v>
      </c>
      <c r="AD22" s="282">
        <f>ROUNDUP(SUM('2.Equipe'!$F21,'2.Equipe'!$H21,'2.Equipe'!$J21,'2.Equipe'!$L21)*2*1.05,0)</f>
        <v>0</v>
      </c>
      <c r="AE22" s="312"/>
      <c r="AF22" s="312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  <c r="BW22" s="115"/>
      <c r="BX22" s="115"/>
      <c r="BY22" s="115"/>
      <c r="BZ22" s="115"/>
      <c r="CA22" s="115"/>
      <c r="CB22" s="115"/>
      <c r="CC22" s="115"/>
      <c r="CD22" s="115"/>
      <c r="CE22" s="115"/>
      <c r="CF22" s="115"/>
      <c r="CG22" s="115"/>
      <c r="CH22" s="115"/>
      <c r="CI22" s="115"/>
      <c r="CJ22" s="115"/>
      <c r="CK22" s="115"/>
      <c r="CL22" s="115"/>
      <c r="CM22" s="115"/>
      <c r="CN22" s="115"/>
      <c r="CO22" s="115"/>
      <c r="CP22" s="115"/>
      <c r="CQ22" s="115"/>
      <c r="CR22" s="115"/>
      <c r="CS22" s="115"/>
      <c r="CT22" s="115"/>
      <c r="CU22" s="115"/>
      <c r="CV22" s="115"/>
      <c r="CW22" s="115"/>
      <c r="CX22" s="115"/>
      <c r="CY22" s="115"/>
      <c r="CZ22" s="115"/>
      <c r="DA22" s="115"/>
      <c r="DB22" s="115"/>
      <c r="DC22" s="115"/>
      <c r="DD22" s="115"/>
      <c r="DE22" s="115"/>
      <c r="DF22" s="115"/>
      <c r="DG22" s="115"/>
      <c r="DH22" s="115"/>
      <c r="DI22" s="115"/>
      <c r="DJ22" s="115"/>
      <c r="DK22" s="115"/>
      <c r="DL22" s="115"/>
      <c r="DM22" s="115"/>
      <c r="DN22" s="115"/>
      <c r="DO22" s="115"/>
      <c r="DP22" s="115"/>
      <c r="DQ22" s="115"/>
      <c r="DR22" s="115"/>
      <c r="DS22" s="115"/>
      <c r="DT22" s="115"/>
      <c r="DU22" s="115"/>
      <c r="DV22" s="115"/>
    </row>
    <row r="23" spans="1:126" s="116" customFormat="1" x14ac:dyDescent="0.15">
      <c r="A23" s="272">
        <v>16</v>
      </c>
      <c r="B23" s="273">
        <f>'1.Stratégie'!B23</f>
        <v>0</v>
      </c>
      <c r="C23" s="274">
        <f>'2.Equipe'!E22</f>
        <v>0</v>
      </c>
      <c r="D23" s="275">
        <f t="shared" si="0"/>
        <v>0</v>
      </c>
      <c r="E23" s="275">
        <f t="shared" si="1"/>
        <v>0</v>
      </c>
      <c r="F23" s="275">
        <f t="shared" si="2"/>
        <v>0</v>
      </c>
      <c r="G23" s="276">
        <f t="shared" si="3"/>
        <v>0</v>
      </c>
      <c r="H23" s="277">
        <f>'2.Equipe'!G22</f>
        <v>0</v>
      </c>
      <c r="I23" s="279">
        <f t="shared" si="4"/>
        <v>0</v>
      </c>
      <c r="J23" s="279">
        <f t="shared" si="5"/>
        <v>0</v>
      </c>
      <c r="K23" s="279">
        <f t="shared" si="6"/>
        <v>0</v>
      </c>
      <c r="L23" s="282">
        <f t="shared" si="7"/>
        <v>0</v>
      </c>
      <c r="M23" s="278">
        <f>'2.Equipe'!I22</f>
        <v>0</v>
      </c>
      <c r="N23" s="279">
        <f t="shared" si="8"/>
        <v>0</v>
      </c>
      <c r="O23" s="272">
        <f t="shared" si="9"/>
        <v>0</v>
      </c>
      <c r="P23" s="272">
        <f t="shared" si="10"/>
        <v>0</v>
      </c>
      <c r="Q23" s="282">
        <f t="shared" si="11"/>
        <v>0</v>
      </c>
      <c r="R23" s="279">
        <f>'2.Equipe'!K22</f>
        <v>0</v>
      </c>
      <c r="S23" s="279">
        <f t="shared" si="12"/>
        <v>0</v>
      </c>
      <c r="T23" s="272">
        <f t="shared" si="13"/>
        <v>0</v>
      </c>
      <c r="U23" s="272">
        <f t="shared" si="14"/>
        <v>0</v>
      </c>
      <c r="V23" s="282">
        <f t="shared" si="15"/>
        <v>0</v>
      </c>
      <c r="W23" s="280">
        <f t="shared" si="16"/>
        <v>0</v>
      </c>
      <c r="X23" s="279">
        <f t="shared" si="17"/>
        <v>0</v>
      </c>
      <c r="Y23" s="279">
        <f t="shared" si="18"/>
        <v>0</v>
      </c>
      <c r="Z23" s="279">
        <f t="shared" si="19"/>
        <v>0</v>
      </c>
      <c r="AA23" s="279">
        <f t="shared" si="20"/>
        <v>0</v>
      </c>
      <c r="AB23" s="279">
        <f t="shared" si="21"/>
        <v>0</v>
      </c>
      <c r="AC23" s="281">
        <f>ROUNDUP(SUM('2.Equipe'!$F22,'2.Equipe'!$H22,'2.Equipe'!$J22,'2.Equipe'!$L22)*1.11*Data!$H$14,-1)</f>
        <v>0</v>
      </c>
      <c r="AD23" s="282">
        <f>ROUNDUP(SUM('2.Equipe'!$F22,'2.Equipe'!$H22,'2.Equipe'!$J22,'2.Equipe'!$L22)*2*1.05,0)</f>
        <v>0</v>
      </c>
      <c r="AE23" s="312"/>
      <c r="AF23" s="312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5"/>
      <c r="CQ23" s="115"/>
      <c r="CR23" s="115"/>
      <c r="CS23" s="115"/>
      <c r="CT23" s="115"/>
      <c r="CU23" s="115"/>
      <c r="CV23" s="115"/>
      <c r="CW23" s="115"/>
      <c r="CX23" s="115"/>
      <c r="CY23" s="115"/>
      <c r="CZ23" s="115"/>
      <c r="DA23" s="115"/>
      <c r="DB23" s="115"/>
      <c r="DC23" s="115"/>
      <c r="DD23" s="115"/>
      <c r="DE23" s="115"/>
      <c r="DF23" s="115"/>
      <c r="DG23" s="115"/>
      <c r="DH23" s="115"/>
      <c r="DI23" s="115"/>
      <c r="DJ23" s="115"/>
      <c r="DK23" s="115"/>
      <c r="DL23" s="115"/>
      <c r="DM23" s="115"/>
      <c r="DN23" s="115"/>
      <c r="DO23" s="115"/>
      <c r="DP23" s="115"/>
      <c r="DQ23" s="115"/>
      <c r="DR23" s="115"/>
      <c r="DS23" s="115"/>
      <c r="DT23" s="115"/>
      <c r="DU23" s="115"/>
      <c r="DV23" s="115"/>
    </row>
    <row r="24" spans="1:126" s="116" customFormat="1" x14ac:dyDescent="0.15">
      <c r="A24" s="272">
        <v>17</v>
      </c>
      <c r="B24" s="273">
        <f>'1.Stratégie'!B24</f>
        <v>0</v>
      </c>
      <c r="C24" s="274">
        <f>'2.Equipe'!E23</f>
        <v>0</v>
      </c>
      <c r="D24" s="275">
        <f t="shared" si="0"/>
        <v>0</v>
      </c>
      <c r="E24" s="275">
        <f t="shared" si="1"/>
        <v>0</v>
      </c>
      <c r="F24" s="275">
        <f t="shared" si="2"/>
        <v>0</v>
      </c>
      <c r="G24" s="276">
        <f t="shared" si="3"/>
        <v>0</v>
      </c>
      <c r="H24" s="277">
        <f>'2.Equipe'!G23</f>
        <v>0</v>
      </c>
      <c r="I24" s="279">
        <f t="shared" si="4"/>
        <v>0</v>
      </c>
      <c r="J24" s="279">
        <f t="shared" si="5"/>
        <v>0</v>
      </c>
      <c r="K24" s="279">
        <f t="shared" si="6"/>
        <v>0</v>
      </c>
      <c r="L24" s="282">
        <f t="shared" si="7"/>
        <v>0</v>
      </c>
      <c r="M24" s="278">
        <f>'2.Equipe'!I23</f>
        <v>0</v>
      </c>
      <c r="N24" s="279">
        <f t="shared" si="8"/>
        <v>0</v>
      </c>
      <c r="O24" s="272">
        <f t="shared" si="9"/>
        <v>0</v>
      </c>
      <c r="P24" s="272">
        <f t="shared" si="10"/>
        <v>0</v>
      </c>
      <c r="Q24" s="282">
        <f t="shared" si="11"/>
        <v>0</v>
      </c>
      <c r="R24" s="279">
        <f>'2.Equipe'!K23</f>
        <v>0</v>
      </c>
      <c r="S24" s="279">
        <f t="shared" si="12"/>
        <v>0</v>
      </c>
      <c r="T24" s="272">
        <f t="shared" si="13"/>
        <v>0</v>
      </c>
      <c r="U24" s="272">
        <f t="shared" si="14"/>
        <v>0</v>
      </c>
      <c r="V24" s="282">
        <f t="shared" si="15"/>
        <v>0</v>
      </c>
      <c r="W24" s="280">
        <f t="shared" si="16"/>
        <v>0</v>
      </c>
      <c r="X24" s="279">
        <f t="shared" si="17"/>
        <v>0</v>
      </c>
      <c r="Y24" s="279">
        <f t="shared" si="18"/>
        <v>0</v>
      </c>
      <c r="Z24" s="279">
        <f t="shared" si="19"/>
        <v>0</v>
      </c>
      <c r="AA24" s="279">
        <f t="shared" si="20"/>
        <v>0</v>
      </c>
      <c r="AB24" s="279">
        <f t="shared" si="21"/>
        <v>0</v>
      </c>
      <c r="AC24" s="281">
        <f>ROUNDUP(SUM('2.Equipe'!$F23,'2.Equipe'!$H23,'2.Equipe'!$J23,'2.Equipe'!$L23)*1.11*Data!$H$14,-1)</f>
        <v>0</v>
      </c>
      <c r="AD24" s="282">
        <f>ROUNDUP(SUM('2.Equipe'!$F23,'2.Equipe'!$H23,'2.Equipe'!$J23,'2.Equipe'!$L23)*2*1.05,0)</f>
        <v>0</v>
      </c>
      <c r="AE24" s="312"/>
      <c r="AF24" s="312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  <c r="BW24" s="115"/>
      <c r="BX24" s="115"/>
      <c r="BY24" s="115"/>
      <c r="BZ24" s="115"/>
      <c r="CA24" s="115"/>
      <c r="CB24" s="115"/>
      <c r="CC24" s="115"/>
      <c r="CD24" s="115"/>
      <c r="CE24" s="115"/>
      <c r="CF24" s="115"/>
      <c r="CG24" s="115"/>
      <c r="CH24" s="115"/>
      <c r="CI24" s="115"/>
      <c r="CJ24" s="115"/>
      <c r="CK24" s="115"/>
      <c r="CL24" s="115"/>
      <c r="CM24" s="115"/>
      <c r="CN24" s="115"/>
      <c r="CO24" s="115"/>
      <c r="CP24" s="115"/>
      <c r="CQ24" s="115"/>
      <c r="CR24" s="115"/>
      <c r="CS24" s="115"/>
      <c r="CT24" s="115"/>
      <c r="CU24" s="115"/>
      <c r="CV24" s="115"/>
      <c r="CW24" s="115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</row>
    <row r="25" spans="1:126" s="116" customFormat="1" x14ac:dyDescent="0.15">
      <c r="A25" s="272">
        <v>18</v>
      </c>
      <c r="B25" s="273">
        <f>'1.Stratégie'!B25</f>
        <v>0</v>
      </c>
      <c r="C25" s="274">
        <f>'2.Equipe'!E24</f>
        <v>0</v>
      </c>
      <c r="D25" s="275">
        <f t="shared" si="0"/>
        <v>0</v>
      </c>
      <c r="E25" s="275">
        <f t="shared" si="1"/>
        <v>0</v>
      </c>
      <c r="F25" s="275">
        <f t="shared" si="2"/>
        <v>0</v>
      </c>
      <c r="G25" s="276">
        <f t="shared" si="3"/>
        <v>0</v>
      </c>
      <c r="H25" s="277">
        <f>'2.Equipe'!G24</f>
        <v>0</v>
      </c>
      <c r="I25" s="279">
        <f t="shared" si="4"/>
        <v>0</v>
      </c>
      <c r="J25" s="279">
        <f t="shared" si="5"/>
        <v>0</v>
      </c>
      <c r="K25" s="279">
        <f t="shared" si="6"/>
        <v>0</v>
      </c>
      <c r="L25" s="282">
        <f t="shared" si="7"/>
        <v>0</v>
      </c>
      <c r="M25" s="278">
        <f>'2.Equipe'!I24</f>
        <v>0</v>
      </c>
      <c r="N25" s="279">
        <f t="shared" si="8"/>
        <v>0</v>
      </c>
      <c r="O25" s="272">
        <f t="shared" si="9"/>
        <v>0</v>
      </c>
      <c r="P25" s="272">
        <f t="shared" si="10"/>
        <v>0</v>
      </c>
      <c r="Q25" s="282">
        <f t="shared" si="11"/>
        <v>0</v>
      </c>
      <c r="R25" s="279">
        <f>'2.Equipe'!K24</f>
        <v>0</v>
      </c>
      <c r="S25" s="279">
        <f t="shared" si="12"/>
        <v>0</v>
      </c>
      <c r="T25" s="272">
        <f t="shared" si="13"/>
        <v>0</v>
      </c>
      <c r="U25" s="272">
        <f t="shared" si="14"/>
        <v>0</v>
      </c>
      <c r="V25" s="282">
        <f t="shared" si="15"/>
        <v>0</v>
      </c>
      <c r="W25" s="280">
        <f t="shared" si="16"/>
        <v>0</v>
      </c>
      <c r="X25" s="279">
        <f t="shared" si="17"/>
        <v>0</v>
      </c>
      <c r="Y25" s="279">
        <f t="shared" si="18"/>
        <v>0</v>
      </c>
      <c r="Z25" s="279">
        <f t="shared" si="19"/>
        <v>0</v>
      </c>
      <c r="AA25" s="279">
        <f t="shared" si="20"/>
        <v>0</v>
      </c>
      <c r="AB25" s="279">
        <f t="shared" si="21"/>
        <v>0</v>
      </c>
      <c r="AC25" s="281">
        <f>ROUNDUP(SUM('2.Equipe'!$F24,'2.Equipe'!$H24,'2.Equipe'!$J24,'2.Equipe'!$L24)*1.11*Data!$H$14,-1)</f>
        <v>0</v>
      </c>
      <c r="AD25" s="282">
        <f>ROUNDUP(SUM('2.Equipe'!$F24,'2.Equipe'!$H24,'2.Equipe'!$J24,'2.Equipe'!$L24)*2*1.05,0)</f>
        <v>0</v>
      </c>
      <c r="AE25" s="312"/>
      <c r="AF25" s="312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  <c r="BW25" s="115"/>
      <c r="BX25" s="115"/>
      <c r="BY25" s="115"/>
      <c r="BZ25" s="115"/>
      <c r="CA25" s="115"/>
      <c r="CB25" s="115"/>
      <c r="CC25" s="115"/>
      <c r="CD25" s="115"/>
      <c r="CE25" s="115"/>
      <c r="CF25" s="115"/>
      <c r="CG25" s="115"/>
      <c r="CH25" s="115"/>
      <c r="CI25" s="115"/>
      <c r="CJ25" s="115"/>
      <c r="CK25" s="115"/>
      <c r="CL25" s="115"/>
      <c r="CM25" s="115"/>
      <c r="CN25" s="115"/>
      <c r="CO25" s="115"/>
      <c r="CP25" s="115"/>
      <c r="CQ25" s="115"/>
      <c r="CR25" s="115"/>
      <c r="CS25" s="115"/>
      <c r="CT25" s="115"/>
      <c r="CU25" s="115"/>
      <c r="CV25" s="115"/>
      <c r="CW25" s="115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</row>
    <row r="26" spans="1:126" s="116" customFormat="1" x14ac:dyDescent="0.15">
      <c r="A26" s="272">
        <v>19</v>
      </c>
      <c r="B26" s="273">
        <f>'1.Stratégie'!B26</f>
        <v>0</v>
      </c>
      <c r="C26" s="274">
        <f>'2.Equipe'!E25</f>
        <v>0</v>
      </c>
      <c r="D26" s="275">
        <f t="shared" si="0"/>
        <v>0</v>
      </c>
      <c r="E26" s="275">
        <f t="shared" si="1"/>
        <v>0</v>
      </c>
      <c r="F26" s="275">
        <f t="shared" si="2"/>
        <v>0</v>
      </c>
      <c r="G26" s="276">
        <f t="shared" si="3"/>
        <v>0</v>
      </c>
      <c r="H26" s="277">
        <f>'2.Equipe'!G25</f>
        <v>0</v>
      </c>
      <c r="I26" s="279">
        <f t="shared" si="4"/>
        <v>0</v>
      </c>
      <c r="J26" s="279">
        <f t="shared" si="5"/>
        <v>0</v>
      </c>
      <c r="K26" s="279">
        <f t="shared" si="6"/>
        <v>0</v>
      </c>
      <c r="L26" s="282">
        <f t="shared" si="7"/>
        <v>0</v>
      </c>
      <c r="M26" s="278">
        <f>'2.Equipe'!I25</f>
        <v>0</v>
      </c>
      <c r="N26" s="279">
        <f t="shared" si="8"/>
        <v>0</v>
      </c>
      <c r="O26" s="272">
        <f t="shared" si="9"/>
        <v>0</v>
      </c>
      <c r="P26" s="272">
        <f t="shared" si="10"/>
        <v>0</v>
      </c>
      <c r="Q26" s="282">
        <f t="shared" si="11"/>
        <v>0</v>
      </c>
      <c r="R26" s="279">
        <f>'2.Equipe'!K25</f>
        <v>0</v>
      </c>
      <c r="S26" s="279">
        <f t="shared" si="12"/>
        <v>0</v>
      </c>
      <c r="T26" s="272">
        <f t="shared" si="13"/>
        <v>0</v>
      </c>
      <c r="U26" s="272">
        <f t="shared" si="14"/>
        <v>0</v>
      </c>
      <c r="V26" s="282">
        <f t="shared" si="15"/>
        <v>0</v>
      </c>
      <c r="W26" s="280">
        <f t="shared" si="16"/>
        <v>0</v>
      </c>
      <c r="X26" s="279">
        <f t="shared" si="17"/>
        <v>0</v>
      </c>
      <c r="Y26" s="279">
        <f t="shared" si="18"/>
        <v>0</v>
      </c>
      <c r="Z26" s="279">
        <f t="shared" si="19"/>
        <v>0</v>
      </c>
      <c r="AA26" s="279">
        <f t="shared" si="20"/>
        <v>0</v>
      </c>
      <c r="AB26" s="279">
        <f t="shared" si="21"/>
        <v>0</v>
      </c>
      <c r="AC26" s="281">
        <f>ROUNDUP(SUM('2.Equipe'!$F25,'2.Equipe'!$H25,'2.Equipe'!$J25,'2.Equipe'!$L25)*1.11*Data!$H$14,-1)</f>
        <v>0</v>
      </c>
      <c r="AD26" s="282">
        <f>ROUNDUP(SUM('2.Equipe'!$F25,'2.Equipe'!$H25,'2.Equipe'!$J25,'2.Equipe'!$L25)*2*1.05,0)</f>
        <v>0</v>
      </c>
      <c r="AE26" s="312"/>
      <c r="AF26" s="312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  <c r="BW26" s="115"/>
      <c r="BX26" s="115"/>
      <c r="BY26" s="115"/>
      <c r="BZ26" s="115"/>
      <c r="CA26" s="115"/>
      <c r="CB26" s="115"/>
      <c r="CC26" s="115"/>
      <c r="CD26" s="115"/>
      <c r="CE26" s="115"/>
      <c r="CF26" s="115"/>
      <c r="CG26" s="115"/>
      <c r="CH26" s="115"/>
      <c r="CI26" s="115"/>
      <c r="CJ26" s="115"/>
      <c r="CK26" s="115"/>
      <c r="CL26" s="115"/>
      <c r="CM26" s="115"/>
      <c r="CN26" s="115"/>
      <c r="CO26" s="115"/>
      <c r="CP26" s="115"/>
      <c r="CQ26" s="115"/>
      <c r="CR26" s="115"/>
      <c r="CS26" s="115"/>
      <c r="CT26" s="115"/>
      <c r="CU26" s="115"/>
      <c r="CV26" s="115"/>
      <c r="CW26" s="115"/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</row>
    <row r="27" spans="1:126" s="116" customFormat="1" x14ac:dyDescent="0.15">
      <c r="A27" s="272">
        <v>20</v>
      </c>
      <c r="B27" s="273">
        <f>'1.Stratégie'!B27</f>
        <v>0</v>
      </c>
      <c r="C27" s="274">
        <f>'2.Equipe'!E26</f>
        <v>0</v>
      </c>
      <c r="D27" s="275">
        <f t="shared" si="0"/>
        <v>0</v>
      </c>
      <c r="E27" s="275">
        <f t="shared" si="1"/>
        <v>0</v>
      </c>
      <c r="F27" s="275">
        <f t="shared" si="2"/>
        <v>0</v>
      </c>
      <c r="G27" s="276">
        <f t="shared" si="3"/>
        <v>0</v>
      </c>
      <c r="H27" s="277">
        <f>'2.Equipe'!G26</f>
        <v>0</v>
      </c>
      <c r="I27" s="279">
        <f t="shared" si="4"/>
        <v>0</v>
      </c>
      <c r="J27" s="279">
        <f t="shared" si="5"/>
        <v>0</v>
      </c>
      <c r="K27" s="279">
        <f t="shared" si="6"/>
        <v>0</v>
      </c>
      <c r="L27" s="282">
        <f t="shared" si="7"/>
        <v>0</v>
      </c>
      <c r="M27" s="278">
        <f>'2.Equipe'!I26</f>
        <v>0</v>
      </c>
      <c r="N27" s="279">
        <f t="shared" si="8"/>
        <v>0</v>
      </c>
      <c r="O27" s="272">
        <f t="shared" si="9"/>
        <v>0</v>
      </c>
      <c r="P27" s="272">
        <f t="shared" si="10"/>
        <v>0</v>
      </c>
      <c r="Q27" s="282">
        <f t="shared" si="11"/>
        <v>0</v>
      </c>
      <c r="R27" s="279">
        <f>'2.Equipe'!K26</f>
        <v>0</v>
      </c>
      <c r="S27" s="279">
        <f t="shared" si="12"/>
        <v>0</v>
      </c>
      <c r="T27" s="272">
        <f t="shared" si="13"/>
        <v>0</v>
      </c>
      <c r="U27" s="272">
        <f t="shared" si="14"/>
        <v>0</v>
      </c>
      <c r="V27" s="282">
        <f t="shared" si="15"/>
        <v>0</v>
      </c>
      <c r="W27" s="280">
        <f t="shared" si="16"/>
        <v>0</v>
      </c>
      <c r="X27" s="279">
        <f t="shared" si="17"/>
        <v>0</v>
      </c>
      <c r="Y27" s="279">
        <f t="shared" si="18"/>
        <v>0</v>
      </c>
      <c r="Z27" s="279">
        <f t="shared" si="19"/>
        <v>0</v>
      </c>
      <c r="AA27" s="279">
        <f t="shared" si="20"/>
        <v>0</v>
      </c>
      <c r="AB27" s="279">
        <f t="shared" si="21"/>
        <v>0</v>
      </c>
      <c r="AC27" s="281">
        <f>ROUNDUP(SUM('2.Equipe'!$F26,'2.Equipe'!$H26,'2.Equipe'!$J26,'2.Equipe'!$L26)*1.11*Data!$H$14,-1)</f>
        <v>0</v>
      </c>
      <c r="AD27" s="282">
        <f>ROUNDUP(SUM('2.Equipe'!$F26,'2.Equipe'!$H26,'2.Equipe'!$J26,'2.Equipe'!$L26)*2*1.05,0)</f>
        <v>0</v>
      </c>
      <c r="AE27" s="312"/>
      <c r="AF27" s="312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  <c r="BW27" s="115"/>
      <c r="BX27" s="115"/>
      <c r="BY27" s="115"/>
      <c r="BZ27" s="115"/>
      <c r="CA27" s="115"/>
      <c r="CB27" s="115"/>
      <c r="CC27" s="115"/>
      <c r="CD27" s="115"/>
      <c r="CE27" s="115"/>
      <c r="CF27" s="115"/>
      <c r="CG27" s="115"/>
      <c r="CH27" s="115"/>
      <c r="CI27" s="115"/>
      <c r="CJ27" s="115"/>
      <c r="CK27" s="115"/>
      <c r="CL27" s="115"/>
      <c r="CM27" s="115"/>
      <c r="CN27" s="115"/>
      <c r="CO27" s="115"/>
      <c r="CP27" s="115"/>
      <c r="CQ27" s="115"/>
      <c r="CR27" s="115"/>
      <c r="CS27" s="115"/>
      <c r="CT27" s="115"/>
      <c r="CU27" s="115"/>
      <c r="CV27" s="115"/>
      <c r="CW27" s="115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</row>
    <row r="28" spans="1:126" s="116" customFormat="1" x14ac:dyDescent="0.15">
      <c r="A28" s="272">
        <v>21</v>
      </c>
      <c r="B28" s="273">
        <f>'1.Stratégie'!B28</f>
        <v>0</v>
      </c>
      <c r="C28" s="274">
        <f>'2.Equipe'!E27</f>
        <v>0</v>
      </c>
      <c r="D28" s="275">
        <f t="shared" si="0"/>
        <v>0</v>
      </c>
      <c r="E28" s="275">
        <f t="shared" si="1"/>
        <v>0</v>
      </c>
      <c r="F28" s="275">
        <f t="shared" si="2"/>
        <v>0</v>
      </c>
      <c r="G28" s="276">
        <f t="shared" si="3"/>
        <v>0</v>
      </c>
      <c r="H28" s="277">
        <f>'2.Equipe'!G27</f>
        <v>0</v>
      </c>
      <c r="I28" s="279">
        <f t="shared" si="4"/>
        <v>0</v>
      </c>
      <c r="J28" s="279">
        <f t="shared" si="5"/>
        <v>0</v>
      </c>
      <c r="K28" s="279">
        <f t="shared" si="6"/>
        <v>0</v>
      </c>
      <c r="L28" s="282">
        <f t="shared" si="7"/>
        <v>0</v>
      </c>
      <c r="M28" s="278">
        <f>'2.Equipe'!I27</f>
        <v>0</v>
      </c>
      <c r="N28" s="279">
        <f t="shared" si="8"/>
        <v>0</v>
      </c>
      <c r="O28" s="272">
        <f t="shared" si="9"/>
        <v>0</v>
      </c>
      <c r="P28" s="272">
        <f t="shared" si="10"/>
        <v>0</v>
      </c>
      <c r="Q28" s="282">
        <f t="shared" si="11"/>
        <v>0</v>
      </c>
      <c r="R28" s="279">
        <f>'2.Equipe'!K27</f>
        <v>0</v>
      </c>
      <c r="S28" s="279">
        <f t="shared" si="12"/>
        <v>0</v>
      </c>
      <c r="T28" s="272">
        <f t="shared" si="13"/>
        <v>0</v>
      </c>
      <c r="U28" s="272">
        <f t="shared" si="14"/>
        <v>0</v>
      </c>
      <c r="V28" s="282">
        <f t="shared" si="15"/>
        <v>0</v>
      </c>
      <c r="W28" s="280">
        <f t="shared" si="16"/>
        <v>0</v>
      </c>
      <c r="X28" s="279">
        <f t="shared" si="17"/>
        <v>0</v>
      </c>
      <c r="Y28" s="279">
        <f t="shared" si="18"/>
        <v>0</v>
      </c>
      <c r="Z28" s="279">
        <f t="shared" si="19"/>
        <v>0</v>
      </c>
      <c r="AA28" s="279">
        <f t="shared" si="20"/>
        <v>0</v>
      </c>
      <c r="AB28" s="279">
        <f t="shared" si="21"/>
        <v>0</v>
      </c>
      <c r="AC28" s="281">
        <f>ROUNDUP(SUM('2.Equipe'!$F27,'2.Equipe'!$H27,'2.Equipe'!$J27,'2.Equipe'!$L27)*1.11*Data!$H$14,-1)</f>
        <v>0</v>
      </c>
      <c r="AD28" s="282">
        <f>ROUNDUP(SUM('2.Equipe'!$F27,'2.Equipe'!$H27,'2.Equipe'!$J27,'2.Equipe'!$L27)*2*1.05,0)</f>
        <v>0</v>
      </c>
      <c r="AE28" s="312"/>
      <c r="AF28" s="312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  <c r="BW28" s="115"/>
      <c r="BX28" s="115"/>
      <c r="BY28" s="115"/>
      <c r="BZ28" s="115"/>
      <c r="CA28" s="115"/>
      <c r="CB28" s="115"/>
      <c r="CC28" s="115"/>
      <c r="CD28" s="115"/>
      <c r="CE28" s="115"/>
      <c r="CF28" s="115"/>
      <c r="CG28" s="115"/>
      <c r="CH28" s="115"/>
      <c r="CI28" s="115"/>
      <c r="CJ28" s="115"/>
      <c r="CK28" s="115"/>
      <c r="CL28" s="115"/>
      <c r="CM28" s="115"/>
      <c r="CN28" s="115"/>
      <c r="CO28" s="115"/>
      <c r="CP28" s="115"/>
      <c r="CQ28" s="115"/>
      <c r="CR28" s="115"/>
      <c r="CS28" s="115"/>
      <c r="CT28" s="115"/>
      <c r="CU28" s="115"/>
      <c r="CV28" s="115"/>
      <c r="CW28" s="115"/>
      <c r="CX28" s="115"/>
      <c r="CY28" s="115"/>
      <c r="CZ28" s="115"/>
      <c r="DA28" s="115"/>
      <c r="DB28" s="115"/>
      <c r="DC28" s="115"/>
      <c r="DD28" s="115"/>
      <c r="DE28" s="115"/>
      <c r="DF28" s="115"/>
      <c r="DG28" s="115"/>
      <c r="DH28" s="115"/>
      <c r="DI28" s="115"/>
      <c r="DJ28" s="115"/>
      <c r="DK28" s="115"/>
      <c r="DL28" s="115"/>
      <c r="DM28" s="115"/>
      <c r="DN28" s="115"/>
      <c r="DO28" s="115"/>
      <c r="DP28" s="115"/>
      <c r="DQ28" s="115"/>
      <c r="DR28" s="115"/>
      <c r="DS28" s="115"/>
      <c r="DT28" s="115"/>
      <c r="DU28" s="115"/>
      <c r="DV28" s="115"/>
    </row>
    <row r="29" spans="1:126" s="116" customFormat="1" x14ac:dyDescent="0.15">
      <c r="A29" s="272">
        <v>22</v>
      </c>
      <c r="B29" s="273">
        <f>'1.Stratégie'!B29</f>
        <v>0</v>
      </c>
      <c r="C29" s="274">
        <f>'2.Equipe'!E28</f>
        <v>0</v>
      </c>
      <c r="D29" s="275">
        <f t="shared" si="0"/>
        <v>0</v>
      </c>
      <c r="E29" s="275">
        <f t="shared" si="1"/>
        <v>0</v>
      </c>
      <c r="F29" s="275">
        <f t="shared" si="2"/>
        <v>0</v>
      </c>
      <c r="G29" s="276">
        <f t="shared" si="3"/>
        <v>0</v>
      </c>
      <c r="H29" s="277">
        <f>'2.Equipe'!G28</f>
        <v>0</v>
      </c>
      <c r="I29" s="279">
        <f t="shared" si="4"/>
        <v>0</v>
      </c>
      <c r="J29" s="279">
        <f t="shared" si="5"/>
        <v>0</v>
      </c>
      <c r="K29" s="279">
        <f t="shared" si="6"/>
        <v>0</v>
      </c>
      <c r="L29" s="282">
        <f t="shared" si="7"/>
        <v>0</v>
      </c>
      <c r="M29" s="278">
        <f>'2.Equipe'!I28</f>
        <v>0</v>
      </c>
      <c r="N29" s="279">
        <f t="shared" si="8"/>
        <v>0</v>
      </c>
      <c r="O29" s="272">
        <f t="shared" si="9"/>
        <v>0</v>
      </c>
      <c r="P29" s="272">
        <f t="shared" si="10"/>
        <v>0</v>
      </c>
      <c r="Q29" s="282">
        <f t="shared" si="11"/>
        <v>0</v>
      </c>
      <c r="R29" s="279">
        <f>'2.Equipe'!K28</f>
        <v>0</v>
      </c>
      <c r="S29" s="279">
        <f t="shared" si="12"/>
        <v>0</v>
      </c>
      <c r="T29" s="272">
        <f t="shared" si="13"/>
        <v>0</v>
      </c>
      <c r="U29" s="272">
        <f t="shared" si="14"/>
        <v>0</v>
      </c>
      <c r="V29" s="282">
        <f t="shared" si="15"/>
        <v>0</v>
      </c>
      <c r="W29" s="280">
        <f t="shared" si="16"/>
        <v>0</v>
      </c>
      <c r="X29" s="279">
        <f t="shared" si="17"/>
        <v>0</v>
      </c>
      <c r="Y29" s="279">
        <f t="shared" si="18"/>
        <v>0</v>
      </c>
      <c r="Z29" s="279">
        <f t="shared" si="19"/>
        <v>0</v>
      </c>
      <c r="AA29" s="279">
        <f t="shared" si="20"/>
        <v>0</v>
      </c>
      <c r="AB29" s="279">
        <f t="shared" si="21"/>
        <v>0</v>
      </c>
      <c r="AC29" s="281">
        <f>ROUNDUP(SUM('2.Equipe'!$F28,'2.Equipe'!$H28,'2.Equipe'!$J28,'2.Equipe'!$L28)*1.11*Data!$H$14,-1)</f>
        <v>0</v>
      </c>
      <c r="AD29" s="282">
        <f>ROUNDUP(SUM('2.Equipe'!$F28,'2.Equipe'!$H28,'2.Equipe'!$J28,'2.Equipe'!$L28)*2*1.05,0)</f>
        <v>0</v>
      </c>
      <c r="AE29" s="312"/>
      <c r="AF29" s="312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  <c r="BW29" s="115"/>
      <c r="BX29" s="115"/>
      <c r="BY29" s="115"/>
      <c r="BZ29" s="115"/>
      <c r="CA29" s="115"/>
      <c r="CB29" s="115"/>
      <c r="CC29" s="115"/>
      <c r="CD29" s="115"/>
      <c r="CE29" s="115"/>
      <c r="CF29" s="115"/>
      <c r="CG29" s="115"/>
      <c r="CH29" s="115"/>
      <c r="CI29" s="115"/>
      <c r="CJ29" s="115"/>
      <c r="CK29" s="115"/>
      <c r="CL29" s="115"/>
      <c r="CM29" s="115"/>
      <c r="CN29" s="115"/>
      <c r="CO29" s="115"/>
      <c r="CP29" s="115"/>
      <c r="CQ29" s="115"/>
      <c r="CR29" s="115"/>
      <c r="CS29" s="115"/>
      <c r="CT29" s="115"/>
      <c r="CU29" s="115"/>
      <c r="CV29" s="115"/>
      <c r="CW29" s="115"/>
      <c r="CX29" s="115"/>
      <c r="CY29" s="115"/>
      <c r="CZ29" s="115"/>
      <c r="DA29" s="115"/>
      <c r="DB29" s="115"/>
      <c r="DC29" s="115"/>
      <c r="DD29" s="115"/>
      <c r="DE29" s="115"/>
      <c r="DF29" s="115"/>
      <c r="DG29" s="115"/>
      <c r="DH29" s="115"/>
      <c r="DI29" s="115"/>
      <c r="DJ29" s="115"/>
      <c r="DK29" s="115"/>
      <c r="DL29" s="115"/>
      <c r="DM29" s="115"/>
      <c r="DN29" s="115"/>
      <c r="DO29" s="115"/>
      <c r="DP29" s="115"/>
      <c r="DQ29" s="115"/>
      <c r="DR29" s="115"/>
      <c r="DS29" s="115"/>
      <c r="DT29" s="115"/>
      <c r="DU29" s="115"/>
      <c r="DV29" s="115"/>
    </row>
    <row r="30" spans="1:126" s="116" customFormat="1" x14ac:dyDescent="0.15">
      <c r="A30" s="272">
        <v>23</v>
      </c>
      <c r="B30" s="273">
        <f>'1.Stratégie'!B30</f>
        <v>0</v>
      </c>
      <c r="C30" s="274">
        <f>'2.Equipe'!E29</f>
        <v>0</v>
      </c>
      <c r="D30" s="275">
        <f t="shared" si="0"/>
        <v>0</v>
      </c>
      <c r="E30" s="275">
        <f t="shared" si="1"/>
        <v>0</v>
      </c>
      <c r="F30" s="275">
        <f t="shared" si="2"/>
        <v>0</v>
      </c>
      <c r="G30" s="276">
        <f t="shared" si="3"/>
        <v>0</v>
      </c>
      <c r="H30" s="277">
        <f>'2.Equipe'!G29</f>
        <v>0</v>
      </c>
      <c r="I30" s="279">
        <f t="shared" si="4"/>
        <v>0</v>
      </c>
      <c r="J30" s="279">
        <f t="shared" si="5"/>
        <v>0</v>
      </c>
      <c r="K30" s="279">
        <f t="shared" si="6"/>
        <v>0</v>
      </c>
      <c r="L30" s="282">
        <f t="shared" si="7"/>
        <v>0</v>
      </c>
      <c r="M30" s="278">
        <f>'2.Equipe'!I29</f>
        <v>0</v>
      </c>
      <c r="N30" s="279">
        <f t="shared" si="8"/>
        <v>0</v>
      </c>
      <c r="O30" s="272">
        <f t="shared" si="9"/>
        <v>0</v>
      </c>
      <c r="P30" s="272">
        <f t="shared" si="10"/>
        <v>0</v>
      </c>
      <c r="Q30" s="282">
        <f t="shared" si="11"/>
        <v>0</v>
      </c>
      <c r="R30" s="279">
        <f>'2.Equipe'!K29</f>
        <v>0</v>
      </c>
      <c r="S30" s="279">
        <f t="shared" si="12"/>
        <v>0</v>
      </c>
      <c r="T30" s="272">
        <f t="shared" si="13"/>
        <v>0</v>
      </c>
      <c r="U30" s="272">
        <f t="shared" si="14"/>
        <v>0</v>
      </c>
      <c r="V30" s="282">
        <f t="shared" si="15"/>
        <v>0</v>
      </c>
      <c r="W30" s="280">
        <f t="shared" si="16"/>
        <v>0</v>
      </c>
      <c r="X30" s="279">
        <f t="shared" si="17"/>
        <v>0</v>
      </c>
      <c r="Y30" s="279">
        <f t="shared" si="18"/>
        <v>0</v>
      </c>
      <c r="Z30" s="279">
        <f t="shared" si="19"/>
        <v>0</v>
      </c>
      <c r="AA30" s="279">
        <f t="shared" si="20"/>
        <v>0</v>
      </c>
      <c r="AB30" s="279">
        <f t="shared" si="21"/>
        <v>0</v>
      </c>
      <c r="AC30" s="281">
        <f>ROUNDUP(SUM('2.Equipe'!$F29,'2.Equipe'!$H29,'2.Equipe'!$J29,'2.Equipe'!$L29)*1.11*Data!$H$14,-1)</f>
        <v>0</v>
      </c>
      <c r="AD30" s="282">
        <f>ROUNDUP(SUM('2.Equipe'!$F29,'2.Equipe'!$H29,'2.Equipe'!$J29,'2.Equipe'!$L29)*2*1.05,0)</f>
        <v>0</v>
      </c>
      <c r="AE30" s="312"/>
      <c r="AF30" s="312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</row>
    <row r="31" spans="1:126" s="116" customFormat="1" x14ac:dyDescent="0.15">
      <c r="A31" s="272">
        <v>24</v>
      </c>
      <c r="B31" s="273">
        <f>'1.Stratégie'!B31</f>
        <v>0</v>
      </c>
      <c r="C31" s="274">
        <f>'2.Equipe'!E30</f>
        <v>0</v>
      </c>
      <c r="D31" s="275">
        <f t="shared" si="0"/>
        <v>0</v>
      </c>
      <c r="E31" s="275">
        <f t="shared" si="1"/>
        <v>0</v>
      </c>
      <c r="F31" s="275">
        <f t="shared" si="2"/>
        <v>0</v>
      </c>
      <c r="G31" s="276">
        <f t="shared" si="3"/>
        <v>0</v>
      </c>
      <c r="H31" s="277">
        <f>'2.Equipe'!G30</f>
        <v>0</v>
      </c>
      <c r="I31" s="279">
        <f t="shared" si="4"/>
        <v>0</v>
      </c>
      <c r="J31" s="279">
        <f t="shared" si="5"/>
        <v>0</v>
      </c>
      <c r="K31" s="279">
        <f t="shared" si="6"/>
        <v>0</v>
      </c>
      <c r="L31" s="282">
        <f t="shared" si="7"/>
        <v>0</v>
      </c>
      <c r="M31" s="278">
        <f>'2.Equipe'!I30</f>
        <v>0</v>
      </c>
      <c r="N31" s="279">
        <f t="shared" si="8"/>
        <v>0</v>
      </c>
      <c r="O31" s="272">
        <f t="shared" si="9"/>
        <v>0</v>
      </c>
      <c r="P31" s="272">
        <f t="shared" si="10"/>
        <v>0</v>
      </c>
      <c r="Q31" s="282">
        <f t="shared" si="11"/>
        <v>0</v>
      </c>
      <c r="R31" s="279">
        <f>'2.Equipe'!K30</f>
        <v>0</v>
      </c>
      <c r="S31" s="279">
        <f t="shared" si="12"/>
        <v>0</v>
      </c>
      <c r="T31" s="272">
        <f t="shared" si="13"/>
        <v>0</v>
      </c>
      <c r="U31" s="272">
        <f t="shared" si="14"/>
        <v>0</v>
      </c>
      <c r="V31" s="282">
        <f t="shared" si="15"/>
        <v>0</v>
      </c>
      <c r="W31" s="280">
        <f t="shared" si="16"/>
        <v>0</v>
      </c>
      <c r="X31" s="279">
        <f t="shared" si="17"/>
        <v>0</v>
      </c>
      <c r="Y31" s="279">
        <f t="shared" si="18"/>
        <v>0</v>
      </c>
      <c r="Z31" s="279">
        <f t="shared" si="19"/>
        <v>0</v>
      </c>
      <c r="AA31" s="279">
        <f t="shared" si="20"/>
        <v>0</v>
      </c>
      <c r="AB31" s="279">
        <f t="shared" si="21"/>
        <v>0</v>
      </c>
      <c r="AC31" s="281">
        <f>ROUNDUP(SUM('2.Equipe'!$F30,'2.Equipe'!$H30,'2.Equipe'!$J30,'2.Equipe'!$L30)*1.11*Data!$H$14,-1)</f>
        <v>0</v>
      </c>
      <c r="AD31" s="282">
        <f>ROUNDUP(SUM('2.Equipe'!$F30,'2.Equipe'!$H30,'2.Equipe'!$J30,'2.Equipe'!$L30)*2*1.05,0)</f>
        <v>0</v>
      </c>
      <c r="AE31" s="312"/>
      <c r="AF31" s="312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  <c r="BW31" s="115"/>
      <c r="BX31" s="115"/>
      <c r="BY31" s="115"/>
      <c r="BZ31" s="115"/>
      <c r="CA31" s="115"/>
      <c r="CB31" s="115"/>
      <c r="CC31" s="115"/>
      <c r="CD31" s="115"/>
      <c r="CE31" s="115"/>
      <c r="CF31" s="115"/>
      <c r="CG31" s="115"/>
      <c r="CH31" s="115"/>
      <c r="CI31" s="115"/>
      <c r="CJ31" s="115"/>
      <c r="CK31" s="115"/>
      <c r="CL31" s="115"/>
      <c r="CM31" s="115"/>
      <c r="CN31" s="115"/>
      <c r="CO31" s="115"/>
      <c r="CP31" s="115"/>
      <c r="CQ31" s="115"/>
      <c r="CR31" s="115"/>
      <c r="CS31" s="115"/>
      <c r="CT31" s="115"/>
      <c r="CU31" s="115"/>
      <c r="CV31" s="115"/>
      <c r="CW31" s="115"/>
      <c r="CX31" s="115"/>
      <c r="CY31" s="115"/>
      <c r="CZ31" s="115"/>
      <c r="DA31" s="115"/>
      <c r="DB31" s="115"/>
      <c r="DC31" s="115"/>
      <c r="DD31" s="115"/>
      <c r="DE31" s="115"/>
      <c r="DF31" s="115"/>
      <c r="DG31" s="115"/>
      <c r="DH31" s="115"/>
      <c r="DI31" s="115"/>
      <c r="DJ31" s="115"/>
      <c r="DK31" s="115"/>
      <c r="DL31" s="115"/>
      <c r="DM31" s="115"/>
      <c r="DN31" s="115"/>
      <c r="DO31" s="115"/>
      <c r="DP31" s="115"/>
      <c r="DQ31" s="115"/>
      <c r="DR31" s="115"/>
      <c r="DS31" s="115"/>
      <c r="DT31" s="115"/>
      <c r="DU31" s="115"/>
      <c r="DV31" s="115"/>
    </row>
    <row r="32" spans="1:126" s="116" customFormat="1" x14ac:dyDescent="0.15">
      <c r="A32" s="272">
        <v>25</v>
      </c>
      <c r="B32" s="273">
        <f>'1.Stratégie'!B32</f>
        <v>0</v>
      </c>
      <c r="C32" s="274">
        <f>'2.Equipe'!E31</f>
        <v>0</v>
      </c>
      <c r="D32" s="275">
        <f t="shared" si="0"/>
        <v>0</v>
      </c>
      <c r="E32" s="275">
        <f t="shared" si="1"/>
        <v>0</v>
      </c>
      <c r="F32" s="275">
        <f t="shared" si="2"/>
        <v>0</v>
      </c>
      <c r="G32" s="276">
        <f t="shared" si="3"/>
        <v>0</v>
      </c>
      <c r="H32" s="277">
        <f>'2.Equipe'!G31</f>
        <v>0</v>
      </c>
      <c r="I32" s="279">
        <f t="shared" si="4"/>
        <v>0</v>
      </c>
      <c r="J32" s="279">
        <f t="shared" si="5"/>
        <v>0</v>
      </c>
      <c r="K32" s="279">
        <f t="shared" si="6"/>
        <v>0</v>
      </c>
      <c r="L32" s="282">
        <f t="shared" si="7"/>
        <v>0</v>
      </c>
      <c r="M32" s="278">
        <f>'2.Equipe'!I31</f>
        <v>0</v>
      </c>
      <c r="N32" s="279">
        <f t="shared" si="8"/>
        <v>0</v>
      </c>
      <c r="O32" s="272">
        <f t="shared" si="9"/>
        <v>0</v>
      </c>
      <c r="P32" s="272">
        <f t="shared" si="10"/>
        <v>0</v>
      </c>
      <c r="Q32" s="282">
        <f t="shared" si="11"/>
        <v>0</v>
      </c>
      <c r="R32" s="279">
        <f>'2.Equipe'!K31</f>
        <v>0</v>
      </c>
      <c r="S32" s="279">
        <f t="shared" si="12"/>
        <v>0</v>
      </c>
      <c r="T32" s="272">
        <f t="shared" si="13"/>
        <v>0</v>
      </c>
      <c r="U32" s="272">
        <f t="shared" si="14"/>
        <v>0</v>
      </c>
      <c r="V32" s="282">
        <f t="shared" si="15"/>
        <v>0</v>
      </c>
      <c r="W32" s="280">
        <f t="shared" si="16"/>
        <v>0</v>
      </c>
      <c r="X32" s="279">
        <f t="shared" si="17"/>
        <v>0</v>
      </c>
      <c r="Y32" s="279">
        <f t="shared" si="18"/>
        <v>0</v>
      </c>
      <c r="Z32" s="279">
        <f t="shared" si="19"/>
        <v>0</v>
      </c>
      <c r="AA32" s="279">
        <f t="shared" si="20"/>
        <v>0</v>
      </c>
      <c r="AB32" s="279">
        <f t="shared" si="21"/>
        <v>0</v>
      </c>
      <c r="AC32" s="281">
        <f>ROUNDUP(SUM('2.Equipe'!$F31,'2.Equipe'!$H31,'2.Equipe'!$J31,'2.Equipe'!$L31)*1.11*Data!$H$14,-1)</f>
        <v>0</v>
      </c>
      <c r="AD32" s="282">
        <f>ROUNDUP(SUM('2.Equipe'!$F31,'2.Equipe'!$H31,'2.Equipe'!$J31,'2.Equipe'!$L31)*2*1.05,0)</f>
        <v>0</v>
      </c>
      <c r="AE32" s="312"/>
      <c r="AF32" s="312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  <c r="BW32" s="115"/>
      <c r="BX32" s="115"/>
      <c r="BY32" s="115"/>
      <c r="BZ32" s="115"/>
      <c r="CA32" s="115"/>
      <c r="CB32" s="115"/>
      <c r="CC32" s="115"/>
      <c r="CD32" s="115"/>
      <c r="CE32" s="115"/>
      <c r="CF32" s="115"/>
      <c r="CG32" s="115"/>
      <c r="CH32" s="115"/>
      <c r="CI32" s="115"/>
      <c r="CJ32" s="115"/>
      <c r="CK32" s="115"/>
      <c r="CL32" s="115"/>
      <c r="CM32" s="115"/>
      <c r="CN32" s="115"/>
      <c r="CO32" s="115"/>
      <c r="CP32" s="115"/>
      <c r="CQ32" s="115"/>
      <c r="CR32" s="115"/>
      <c r="CS32" s="115"/>
      <c r="CT32" s="115"/>
      <c r="CU32" s="115"/>
      <c r="CV32" s="115"/>
      <c r="CW32" s="115"/>
      <c r="CX32" s="115"/>
      <c r="CY32" s="115"/>
      <c r="CZ32" s="115"/>
      <c r="DA32" s="115"/>
      <c r="DB32" s="115"/>
      <c r="DC32" s="115"/>
      <c r="DD32" s="115"/>
      <c r="DE32" s="115"/>
      <c r="DF32" s="115"/>
      <c r="DG32" s="115"/>
      <c r="DH32" s="115"/>
      <c r="DI32" s="115"/>
      <c r="DJ32" s="115"/>
      <c r="DK32" s="115"/>
      <c r="DL32" s="115"/>
      <c r="DM32" s="115"/>
      <c r="DN32" s="115"/>
      <c r="DO32" s="115"/>
      <c r="DP32" s="115"/>
      <c r="DQ32" s="115"/>
      <c r="DR32" s="115"/>
      <c r="DS32" s="115"/>
      <c r="DT32" s="115"/>
      <c r="DU32" s="115"/>
      <c r="DV32" s="115"/>
    </row>
    <row r="33" spans="1:126" s="116" customFormat="1" x14ac:dyDescent="0.15">
      <c r="A33" s="272">
        <v>26</v>
      </c>
      <c r="B33" s="273">
        <f>'1.Stratégie'!B33</f>
        <v>0</v>
      </c>
      <c r="C33" s="274">
        <f>'2.Equipe'!E32</f>
        <v>0</v>
      </c>
      <c r="D33" s="275">
        <f t="shared" si="0"/>
        <v>0</v>
      </c>
      <c r="E33" s="275">
        <f t="shared" si="1"/>
        <v>0</v>
      </c>
      <c r="F33" s="275">
        <f t="shared" si="2"/>
        <v>0</v>
      </c>
      <c r="G33" s="276">
        <f t="shared" si="3"/>
        <v>0</v>
      </c>
      <c r="H33" s="277">
        <f>'2.Equipe'!G32</f>
        <v>0</v>
      </c>
      <c r="I33" s="279">
        <f t="shared" si="4"/>
        <v>0</v>
      </c>
      <c r="J33" s="279">
        <f t="shared" si="5"/>
        <v>0</v>
      </c>
      <c r="K33" s="279">
        <f t="shared" si="6"/>
        <v>0</v>
      </c>
      <c r="L33" s="282">
        <f t="shared" si="7"/>
        <v>0</v>
      </c>
      <c r="M33" s="278">
        <f>'2.Equipe'!I32</f>
        <v>0</v>
      </c>
      <c r="N33" s="279">
        <f t="shared" si="8"/>
        <v>0</v>
      </c>
      <c r="O33" s="272">
        <f t="shared" si="9"/>
        <v>0</v>
      </c>
      <c r="P33" s="272">
        <f t="shared" si="10"/>
        <v>0</v>
      </c>
      <c r="Q33" s="282">
        <f t="shared" si="11"/>
        <v>0</v>
      </c>
      <c r="R33" s="279">
        <f>'2.Equipe'!K32</f>
        <v>0</v>
      </c>
      <c r="S33" s="279">
        <f t="shared" si="12"/>
        <v>0</v>
      </c>
      <c r="T33" s="272">
        <f t="shared" si="13"/>
        <v>0</v>
      </c>
      <c r="U33" s="272">
        <f t="shared" si="14"/>
        <v>0</v>
      </c>
      <c r="V33" s="282">
        <f t="shared" si="15"/>
        <v>0</v>
      </c>
      <c r="W33" s="280">
        <f t="shared" si="16"/>
        <v>0</v>
      </c>
      <c r="X33" s="279">
        <f t="shared" si="17"/>
        <v>0</v>
      </c>
      <c r="Y33" s="279">
        <f t="shared" si="18"/>
        <v>0</v>
      </c>
      <c r="Z33" s="279">
        <f t="shared" si="19"/>
        <v>0</v>
      </c>
      <c r="AA33" s="279">
        <f t="shared" si="20"/>
        <v>0</v>
      </c>
      <c r="AB33" s="279">
        <f t="shared" si="21"/>
        <v>0</v>
      </c>
      <c r="AC33" s="281">
        <f>ROUNDUP(SUM('2.Equipe'!$F32,'2.Equipe'!$H32,'2.Equipe'!$J32,'2.Equipe'!$L32)*1.11*Data!$H$14,-1)</f>
        <v>0</v>
      </c>
      <c r="AD33" s="282">
        <f>ROUNDUP(SUM('2.Equipe'!$F32,'2.Equipe'!$H32,'2.Equipe'!$J32,'2.Equipe'!$L32)*2*1.05,0)</f>
        <v>0</v>
      </c>
      <c r="AE33" s="312"/>
      <c r="AF33" s="312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  <c r="BW33" s="115"/>
      <c r="BX33" s="115"/>
      <c r="BY33" s="115"/>
      <c r="BZ33" s="115"/>
      <c r="CA33" s="115"/>
      <c r="CB33" s="115"/>
      <c r="CC33" s="115"/>
      <c r="CD33" s="115"/>
      <c r="CE33" s="115"/>
      <c r="CF33" s="115"/>
      <c r="CG33" s="115"/>
      <c r="CH33" s="115"/>
      <c r="CI33" s="115"/>
      <c r="CJ33" s="115"/>
      <c r="CK33" s="115"/>
      <c r="CL33" s="115"/>
      <c r="CM33" s="115"/>
      <c r="CN33" s="115"/>
      <c r="CO33" s="115"/>
      <c r="CP33" s="115"/>
      <c r="CQ33" s="115"/>
      <c r="CR33" s="115"/>
      <c r="CS33" s="115"/>
      <c r="CT33" s="115"/>
      <c r="CU33" s="115"/>
      <c r="CV33" s="115"/>
      <c r="CW33" s="115"/>
      <c r="CX33" s="115"/>
      <c r="CY33" s="115"/>
      <c r="CZ33" s="115"/>
      <c r="DA33" s="115"/>
      <c r="DB33" s="115"/>
      <c r="DC33" s="115"/>
      <c r="DD33" s="115"/>
      <c r="DE33" s="115"/>
      <c r="DF33" s="115"/>
      <c r="DG33" s="115"/>
      <c r="DH33" s="115"/>
      <c r="DI33" s="115"/>
      <c r="DJ33" s="115"/>
      <c r="DK33" s="115"/>
      <c r="DL33" s="115"/>
      <c r="DM33" s="115"/>
      <c r="DN33" s="115"/>
      <c r="DO33" s="115"/>
      <c r="DP33" s="115"/>
      <c r="DQ33" s="115"/>
      <c r="DR33" s="115"/>
      <c r="DS33" s="115"/>
      <c r="DT33" s="115"/>
      <c r="DU33" s="115"/>
      <c r="DV33" s="115"/>
    </row>
    <row r="34" spans="1:126" s="116" customFormat="1" x14ac:dyDescent="0.15">
      <c r="A34" s="272">
        <v>27</v>
      </c>
      <c r="B34" s="273">
        <f>'1.Stratégie'!B34</f>
        <v>0</v>
      </c>
      <c r="C34" s="274">
        <f>'2.Equipe'!E33</f>
        <v>0</v>
      </c>
      <c r="D34" s="275">
        <f t="shared" si="0"/>
        <v>0</v>
      </c>
      <c r="E34" s="275">
        <f t="shared" si="1"/>
        <v>0</v>
      </c>
      <c r="F34" s="275">
        <f t="shared" si="2"/>
        <v>0</v>
      </c>
      <c r="G34" s="276">
        <f t="shared" si="3"/>
        <v>0</v>
      </c>
      <c r="H34" s="277">
        <f>'2.Equipe'!G33</f>
        <v>0</v>
      </c>
      <c r="I34" s="279">
        <f t="shared" si="4"/>
        <v>0</v>
      </c>
      <c r="J34" s="279">
        <f t="shared" si="5"/>
        <v>0</v>
      </c>
      <c r="K34" s="279">
        <f t="shared" si="6"/>
        <v>0</v>
      </c>
      <c r="L34" s="282">
        <f t="shared" si="7"/>
        <v>0</v>
      </c>
      <c r="M34" s="278">
        <f>'2.Equipe'!I33</f>
        <v>0</v>
      </c>
      <c r="N34" s="279">
        <f t="shared" si="8"/>
        <v>0</v>
      </c>
      <c r="O34" s="272">
        <f t="shared" si="9"/>
        <v>0</v>
      </c>
      <c r="P34" s="272">
        <f t="shared" si="10"/>
        <v>0</v>
      </c>
      <c r="Q34" s="282">
        <f t="shared" si="11"/>
        <v>0</v>
      </c>
      <c r="R34" s="279">
        <f>'2.Equipe'!K33</f>
        <v>0</v>
      </c>
      <c r="S34" s="279">
        <f t="shared" si="12"/>
        <v>0</v>
      </c>
      <c r="T34" s="272">
        <f t="shared" si="13"/>
        <v>0</v>
      </c>
      <c r="U34" s="272">
        <f t="shared" si="14"/>
        <v>0</v>
      </c>
      <c r="V34" s="282">
        <f t="shared" si="15"/>
        <v>0</v>
      </c>
      <c r="W34" s="280">
        <f t="shared" si="16"/>
        <v>0</v>
      </c>
      <c r="X34" s="279">
        <f t="shared" si="17"/>
        <v>0</v>
      </c>
      <c r="Y34" s="279">
        <f t="shared" si="18"/>
        <v>0</v>
      </c>
      <c r="Z34" s="279">
        <f t="shared" si="19"/>
        <v>0</v>
      </c>
      <c r="AA34" s="279">
        <f t="shared" si="20"/>
        <v>0</v>
      </c>
      <c r="AB34" s="279">
        <f t="shared" si="21"/>
        <v>0</v>
      </c>
      <c r="AC34" s="281">
        <f>ROUNDUP(SUM('2.Equipe'!$F33,'2.Equipe'!$H33,'2.Equipe'!$J33,'2.Equipe'!$L33)*1.11*Data!$H$14,-1)</f>
        <v>0</v>
      </c>
      <c r="AD34" s="282">
        <f>ROUNDUP(SUM('2.Equipe'!$F33,'2.Equipe'!$H33,'2.Equipe'!$J33,'2.Equipe'!$L33)*2*1.05,0)</f>
        <v>0</v>
      </c>
      <c r="AE34" s="312"/>
      <c r="AF34" s="312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  <c r="BW34" s="115"/>
      <c r="BX34" s="115"/>
      <c r="BY34" s="115"/>
      <c r="BZ34" s="115"/>
      <c r="CA34" s="115"/>
      <c r="CB34" s="115"/>
      <c r="CC34" s="115"/>
      <c r="CD34" s="115"/>
      <c r="CE34" s="115"/>
      <c r="CF34" s="115"/>
      <c r="CG34" s="115"/>
      <c r="CH34" s="115"/>
      <c r="CI34" s="115"/>
      <c r="CJ34" s="115"/>
      <c r="CK34" s="115"/>
      <c r="CL34" s="115"/>
      <c r="CM34" s="115"/>
      <c r="CN34" s="115"/>
      <c r="CO34" s="115"/>
      <c r="CP34" s="115"/>
      <c r="CQ34" s="115"/>
      <c r="CR34" s="115"/>
      <c r="CS34" s="115"/>
      <c r="CT34" s="115"/>
      <c r="CU34" s="115"/>
      <c r="CV34" s="115"/>
      <c r="CW34" s="115"/>
      <c r="CX34" s="115"/>
      <c r="CY34" s="115"/>
      <c r="CZ34" s="115"/>
      <c r="DA34" s="115"/>
      <c r="DB34" s="115"/>
      <c r="DC34" s="115"/>
      <c r="DD34" s="115"/>
      <c r="DE34" s="115"/>
      <c r="DF34" s="115"/>
      <c r="DG34" s="115"/>
      <c r="DH34" s="115"/>
      <c r="DI34" s="115"/>
      <c r="DJ34" s="115"/>
      <c r="DK34" s="115"/>
      <c r="DL34" s="115"/>
      <c r="DM34" s="115"/>
      <c r="DN34" s="115"/>
      <c r="DO34" s="115"/>
      <c r="DP34" s="115"/>
      <c r="DQ34" s="115"/>
      <c r="DR34" s="115"/>
      <c r="DS34" s="115"/>
      <c r="DT34" s="115"/>
      <c r="DU34" s="115"/>
      <c r="DV34" s="115"/>
    </row>
    <row r="35" spans="1:126" s="116" customFormat="1" x14ac:dyDescent="0.15">
      <c r="A35" s="272">
        <v>28</v>
      </c>
      <c r="B35" s="273">
        <f>'1.Stratégie'!B35</f>
        <v>0</v>
      </c>
      <c r="C35" s="274">
        <f>'2.Equipe'!E34</f>
        <v>0</v>
      </c>
      <c r="D35" s="275">
        <f t="shared" si="0"/>
        <v>0</v>
      </c>
      <c r="E35" s="275">
        <f t="shared" si="1"/>
        <v>0</v>
      </c>
      <c r="F35" s="275">
        <f t="shared" si="2"/>
        <v>0</v>
      </c>
      <c r="G35" s="276">
        <f t="shared" si="3"/>
        <v>0</v>
      </c>
      <c r="H35" s="277">
        <f>'2.Equipe'!G34</f>
        <v>0</v>
      </c>
      <c r="I35" s="279">
        <f t="shared" si="4"/>
        <v>0</v>
      </c>
      <c r="J35" s="279">
        <f t="shared" si="5"/>
        <v>0</v>
      </c>
      <c r="K35" s="279">
        <f t="shared" si="6"/>
        <v>0</v>
      </c>
      <c r="L35" s="282">
        <f t="shared" si="7"/>
        <v>0</v>
      </c>
      <c r="M35" s="278">
        <f>'2.Equipe'!I34</f>
        <v>0</v>
      </c>
      <c r="N35" s="279">
        <f t="shared" si="8"/>
        <v>0</v>
      </c>
      <c r="O35" s="272">
        <f t="shared" si="9"/>
        <v>0</v>
      </c>
      <c r="P35" s="272">
        <f t="shared" si="10"/>
        <v>0</v>
      </c>
      <c r="Q35" s="282">
        <f t="shared" si="11"/>
        <v>0</v>
      </c>
      <c r="R35" s="279">
        <f>'2.Equipe'!K34</f>
        <v>0</v>
      </c>
      <c r="S35" s="279">
        <f t="shared" si="12"/>
        <v>0</v>
      </c>
      <c r="T35" s="272">
        <f t="shared" si="13"/>
        <v>0</v>
      </c>
      <c r="U35" s="272">
        <f t="shared" si="14"/>
        <v>0</v>
      </c>
      <c r="V35" s="282">
        <f t="shared" si="15"/>
        <v>0</v>
      </c>
      <c r="W35" s="280">
        <f t="shared" si="16"/>
        <v>0</v>
      </c>
      <c r="X35" s="279">
        <f t="shared" si="17"/>
        <v>0</v>
      </c>
      <c r="Y35" s="279">
        <f t="shared" si="18"/>
        <v>0</v>
      </c>
      <c r="Z35" s="279">
        <f t="shared" si="19"/>
        <v>0</v>
      </c>
      <c r="AA35" s="279">
        <f t="shared" si="20"/>
        <v>0</v>
      </c>
      <c r="AB35" s="279">
        <f t="shared" si="21"/>
        <v>0</v>
      </c>
      <c r="AC35" s="281">
        <f>ROUNDUP(SUM('2.Equipe'!$F34,'2.Equipe'!$H34,'2.Equipe'!$J34,'2.Equipe'!$L34)*1.11*Data!$H$14,-1)</f>
        <v>0</v>
      </c>
      <c r="AD35" s="282">
        <f>ROUNDUP(SUM('2.Equipe'!$F34,'2.Equipe'!$H34,'2.Equipe'!$J34,'2.Equipe'!$L34)*2*1.05,0)</f>
        <v>0</v>
      </c>
      <c r="AE35" s="312"/>
      <c r="AF35" s="312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  <c r="BW35" s="115"/>
      <c r="BX35" s="115"/>
      <c r="BY35" s="115"/>
      <c r="BZ35" s="115"/>
      <c r="CA35" s="115"/>
      <c r="CB35" s="115"/>
      <c r="CC35" s="115"/>
      <c r="CD35" s="115"/>
      <c r="CE35" s="115"/>
      <c r="CF35" s="115"/>
      <c r="CG35" s="115"/>
      <c r="CH35" s="115"/>
      <c r="CI35" s="115"/>
      <c r="CJ35" s="115"/>
      <c r="CK35" s="115"/>
      <c r="CL35" s="115"/>
      <c r="CM35" s="115"/>
      <c r="CN35" s="115"/>
      <c r="CO35" s="115"/>
      <c r="CP35" s="115"/>
      <c r="CQ35" s="115"/>
      <c r="CR35" s="115"/>
      <c r="CS35" s="115"/>
      <c r="CT35" s="115"/>
      <c r="CU35" s="115"/>
      <c r="CV35" s="115"/>
      <c r="CW35" s="115"/>
      <c r="CX35" s="115"/>
      <c r="CY35" s="115"/>
      <c r="CZ35" s="115"/>
      <c r="DA35" s="115"/>
      <c r="DB35" s="115"/>
      <c r="DC35" s="115"/>
      <c r="DD35" s="115"/>
      <c r="DE35" s="115"/>
      <c r="DF35" s="115"/>
      <c r="DG35" s="115"/>
      <c r="DH35" s="115"/>
      <c r="DI35" s="115"/>
      <c r="DJ35" s="115"/>
      <c r="DK35" s="115"/>
      <c r="DL35" s="115"/>
      <c r="DM35" s="115"/>
      <c r="DN35" s="115"/>
      <c r="DO35" s="115"/>
      <c r="DP35" s="115"/>
      <c r="DQ35" s="115"/>
      <c r="DR35" s="115"/>
      <c r="DS35" s="115"/>
      <c r="DT35" s="115"/>
      <c r="DU35" s="115"/>
      <c r="DV35" s="115"/>
    </row>
    <row r="36" spans="1:126" s="116" customFormat="1" x14ac:dyDescent="0.15">
      <c r="A36" s="272">
        <v>29</v>
      </c>
      <c r="B36" s="273">
        <f>'1.Stratégie'!B36</f>
        <v>0</v>
      </c>
      <c r="C36" s="274">
        <f>'2.Equipe'!E35</f>
        <v>0</v>
      </c>
      <c r="D36" s="275">
        <f t="shared" si="0"/>
        <v>0</v>
      </c>
      <c r="E36" s="275">
        <f t="shared" si="1"/>
        <v>0</v>
      </c>
      <c r="F36" s="275">
        <f t="shared" si="2"/>
        <v>0</v>
      </c>
      <c r="G36" s="276">
        <f t="shared" si="3"/>
        <v>0</v>
      </c>
      <c r="H36" s="277">
        <f>'2.Equipe'!G35</f>
        <v>0</v>
      </c>
      <c r="I36" s="279">
        <f t="shared" si="4"/>
        <v>0</v>
      </c>
      <c r="J36" s="279">
        <f t="shared" si="5"/>
        <v>0</v>
      </c>
      <c r="K36" s="279">
        <f t="shared" si="6"/>
        <v>0</v>
      </c>
      <c r="L36" s="282">
        <f t="shared" si="7"/>
        <v>0</v>
      </c>
      <c r="M36" s="278">
        <f>'2.Equipe'!I35</f>
        <v>0</v>
      </c>
      <c r="N36" s="279">
        <f t="shared" si="8"/>
        <v>0</v>
      </c>
      <c r="O36" s="272">
        <f t="shared" si="9"/>
        <v>0</v>
      </c>
      <c r="P36" s="272">
        <f t="shared" si="10"/>
        <v>0</v>
      </c>
      <c r="Q36" s="282">
        <f t="shared" si="11"/>
        <v>0</v>
      </c>
      <c r="R36" s="279">
        <f>'2.Equipe'!K35</f>
        <v>0</v>
      </c>
      <c r="S36" s="279">
        <f t="shared" si="12"/>
        <v>0</v>
      </c>
      <c r="T36" s="272">
        <f t="shared" si="13"/>
        <v>0</v>
      </c>
      <c r="U36" s="272">
        <f t="shared" si="14"/>
        <v>0</v>
      </c>
      <c r="V36" s="282">
        <f t="shared" si="15"/>
        <v>0</v>
      </c>
      <c r="W36" s="280">
        <f t="shared" si="16"/>
        <v>0</v>
      </c>
      <c r="X36" s="279">
        <f t="shared" si="17"/>
        <v>0</v>
      </c>
      <c r="Y36" s="279">
        <f t="shared" si="18"/>
        <v>0</v>
      </c>
      <c r="Z36" s="279">
        <f t="shared" si="19"/>
        <v>0</v>
      </c>
      <c r="AA36" s="279">
        <f t="shared" si="20"/>
        <v>0</v>
      </c>
      <c r="AB36" s="279">
        <f t="shared" si="21"/>
        <v>0</v>
      </c>
      <c r="AC36" s="281">
        <f>ROUNDUP(SUM('2.Equipe'!$F35,'2.Equipe'!$H35,'2.Equipe'!$J35,'2.Equipe'!$L35)*1.11*Data!$H$14,-1)</f>
        <v>0</v>
      </c>
      <c r="AD36" s="282">
        <f>ROUNDUP(SUM('2.Equipe'!$F35,'2.Equipe'!$H35,'2.Equipe'!$J35,'2.Equipe'!$L35)*2*1.05,0)</f>
        <v>0</v>
      </c>
      <c r="AE36" s="312"/>
      <c r="AF36" s="312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  <c r="BW36" s="115"/>
      <c r="BX36" s="115"/>
      <c r="BY36" s="115"/>
      <c r="BZ36" s="115"/>
      <c r="CA36" s="115"/>
      <c r="CB36" s="115"/>
      <c r="CC36" s="115"/>
      <c r="CD36" s="115"/>
      <c r="CE36" s="115"/>
      <c r="CF36" s="115"/>
      <c r="CG36" s="115"/>
      <c r="CH36" s="115"/>
      <c r="CI36" s="115"/>
      <c r="CJ36" s="115"/>
      <c r="CK36" s="115"/>
      <c r="CL36" s="115"/>
      <c r="CM36" s="115"/>
      <c r="CN36" s="115"/>
      <c r="CO36" s="115"/>
      <c r="CP36" s="115"/>
      <c r="CQ36" s="115"/>
      <c r="CR36" s="115"/>
      <c r="CS36" s="115"/>
      <c r="CT36" s="115"/>
      <c r="CU36" s="115"/>
      <c r="CV36" s="115"/>
      <c r="CW36" s="115"/>
      <c r="CX36" s="115"/>
      <c r="CY36" s="115"/>
      <c r="CZ36" s="115"/>
      <c r="DA36" s="115"/>
      <c r="DB36" s="115"/>
      <c r="DC36" s="115"/>
      <c r="DD36" s="115"/>
      <c r="DE36" s="115"/>
      <c r="DF36" s="115"/>
      <c r="DG36" s="115"/>
      <c r="DH36" s="115"/>
      <c r="DI36" s="115"/>
      <c r="DJ36" s="115"/>
      <c r="DK36" s="115"/>
      <c r="DL36" s="115"/>
      <c r="DM36" s="115"/>
      <c r="DN36" s="115"/>
      <c r="DO36" s="115"/>
      <c r="DP36" s="115"/>
      <c r="DQ36" s="115"/>
      <c r="DR36" s="115"/>
      <c r="DS36" s="115"/>
      <c r="DT36" s="115"/>
      <c r="DU36" s="115"/>
      <c r="DV36" s="115"/>
    </row>
    <row r="37" spans="1:126" s="116" customFormat="1" x14ac:dyDescent="0.15">
      <c r="A37" s="272">
        <v>30</v>
      </c>
      <c r="B37" s="273">
        <f>'1.Stratégie'!B36</f>
        <v>0</v>
      </c>
      <c r="C37" s="274">
        <f>'2.Equipe'!E36</f>
        <v>0</v>
      </c>
      <c r="D37" s="275">
        <f t="shared" si="0"/>
        <v>0</v>
      </c>
      <c r="E37" s="275">
        <f t="shared" si="1"/>
        <v>0</v>
      </c>
      <c r="F37" s="275">
        <f t="shared" si="2"/>
        <v>0</v>
      </c>
      <c r="G37" s="276">
        <f t="shared" si="3"/>
        <v>0</v>
      </c>
      <c r="H37" s="277">
        <f>'2.Equipe'!G36</f>
        <v>0</v>
      </c>
      <c r="I37" s="279">
        <f t="shared" si="4"/>
        <v>0</v>
      </c>
      <c r="J37" s="279">
        <f t="shared" si="5"/>
        <v>0</v>
      </c>
      <c r="K37" s="279">
        <f t="shared" si="6"/>
        <v>0</v>
      </c>
      <c r="L37" s="282">
        <f t="shared" si="7"/>
        <v>0</v>
      </c>
      <c r="M37" s="278">
        <f>'2.Equipe'!I36</f>
        <v>0</v>
      </c>
      <c r="N37" s="279">
        <f t="shared" si="8"/>
        <v>0</v>
      </c>
      <c r="O37" s="279">
        <f t="shared" si="9"/>
        <v>0</v>
      </c>
      <c r="P37" s="279">
        <f t="shared" si="10"/>
        <v>0</v>
      </c>
      <c r="Q37" s="282">
        <f t="shared" si="11"/>
        <v>0</v>
      </c>
      <c r="R37" s="279">
        <f>'2.Equipe'!K36</f>
        <v>0</v>
      </c>
      <c r="S37" s="279">
        <f t="shared" si="12"/>
        <v>0</v>
      </c>
      <c r="T37" s="279">
        <f t="shared" si="13"/>
        <v>0</v>
      </c>
      <c r="U37" s="279">
        <f t="shared" si="14"/>
        <v>0</v>
      </c>
      <c r="V37" s="272">
        <f t="shared" si="15"/>
        <v>0</v>
      </c>
      <c r="W37" s="280">
        <f t="shared" si="16"/>
        <v>0</v>
      </c>
      <c r="X37" s="279">
        <f t="shared" si="17"/>
        <v>0</v>
      </c>
      <c r="Y37" s="279">
        <f t="shared" si="18"/>
        <v>0</v>
      </c>
      <c r="Z37" s="279">
        <f t="shared" si="19"/>
        <v>0</v>
      </c>
      <c r="AA37" s="279">
        <f t="shared" si="20"/>
        <v>0</v>
      </c>
      <c r="AB37" s="279">
        <f t="shared" si="21"/>
        <v>0</v>
      </c>
      <c r="AC37" s="281">
        <f>ROUNDUP(SUM('2.Equipe'!$F36,'2.Equipe'!$H36,'2.Equipe'!$J36,'2.Equipe'!$L36)*1.11*Data!$H$14,-1)</f>
        <v>0</v>
      </c>
      <c r="AD37" s="282">
        <f>ROUNDUP(SUM('2.Equipe'!$F36,'2.Equipe'!$H36,'2.Equipe'!$J36,'2.Equipe'!$L36)*2*1.05,0)</f>
        <v>0</v>
      </c>
      <c r="AE37" s="312"/>
      <c r="AF37" s="312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  <c r="BW37" s="115"/>
      <c r="BX37" s="115"/>
      <c r="BY37" s="115"/>
      <c r="BZ37" s="115"/>
      <c r="CA37" s="115"/>
      <c r="CB37" s="115"/>
      <c r="CC37" s="115"/>
      <c r="CD37" s="115"/>
      <c r="CE37" s="115"/>
      <c r="CF37" s="115"/>
      <c r="CG37" s="115"/>
      <c r="CH37" s="115"/>
      <c r="CI37" s="115"/>
      <c r="CJ37" s="115"/>
      <c r="CK37" s="115"/>
      <c r="CL37" s="115"/>
      <c r="CM37" s="115"/>
      <c r="CN37" s="115"/>
      <c r="CO37" s="115"/>
      <c r="CP37" s="115"/>
      <c r="CQ37" s="115"/>
      <c r="CR37" s="115"/>
      <c r="CS37" s="115"/>
      <c r="CT37" s="115"/>
      <c r="CU37" s="115"/>
      <c r="CV37" s="115"/>
      <c r="CW37" s="115"/>
      <c r="CX37" s="115"/>
      <c r="CY37" s="115"/>
      <c r="CZ37" s="115"/>
      <c r="DA37" s="115"/>
      <c r="DB37" s="115"/>
      <c r="DC37" s="115"/>
      <c r="DD37" s="115"/>
      <c r="DE37" s="115"/>
      <c r="DF37" s="115"/>
      <c r="DG37" s="115"/>
      <c r="DH37" s="115"/>
      <c r="DI37" s="115"/>
      <c r="DJ37" s="115"/>
      <c r="DK37" s="115"/>
      <c r="DL37" s="115"/>
      <c r="DM37" s="115"/>
      <c r="DN37" s="115"/>
      <c r="DO37" s="115"/>
      <c r="DP37" s="115"/>
      <c r="DQ37" s="115"/>
      <c r="DR37" s="115"/>
      <c r="DS37" s="115"/>
      <c r="DT37" s="115"/>
      <c r="DU37" s="115"/>
      <c r="DV37" s="115"/>
    </row>
    <row r="38" spans="1:126" s="115" customFormat="1" ht="13.5" thickBot="1" x14ac:dyDescent="0.2">
      <c r="A38" s="257"/>
      <c r="B38" s="258" t="str">
        <f>"TOTAL "&amp;$N$4</f>
        <v>TOTAL 0</v>
      </c>
      <c r="C38" s="259">
        <f t="shared" ref="C38:AD38" si="22">SUM(C8:C37)</f>
        <v>0</v>
      </c>
      <c r="D38" s="259">
        <f t="shared" si="22"/>
        <v>0</v>
      </c>
      <c r="E38" s="259">
        <f t="shared" si="22"/>
        <v>0</v>
      </c>
      <c r="F38" s="259">
        <f t="shared" si="22"/>
        <v>0</v>
      </c>
      <c r="G38" s="260">
        <f t="shared" si="22"/>
        <v>0</v>
      </c>
      <c r="H38" s="261">
        <f t="shared" si="22"/>
        <v>0</v>
      </c>
      <c r="I38" s="262">
        <f t="shared" si="22"/>
        <v>0</v>
      </c>
      <c r="J38" s="262">
        <f t="shared" si="22"/>
        <v>0</v>
      </c>
      <c r="K38" s="262">
        <f t="shared" si="22"/>
        <v>0</v>
      </c>
      <c r="L38" s="263">
        <f t="shared" si="22"/>
        <v>0</v>
      </c>
      <c r="M38" s="261">
        <f t="shared" si="22"/>
        <v>0</v>
      </c>
      <c r="N38" s="262">
        <f t="shared" si="22"/>
        <v>0</v>
      </c>
      <c r="O38" s="262">
        <f t="shared" si="22"/>
        <v>0</v>
      </c>
      <c r="P38" s="262">
        <f t="shared" si="22"/>
        <v>0</v>
      </c>
      <c r="Q38" s="263">
        <f t="shared" si="22"/>
        <v>0</v>
      </c>
      <c r="R38" s="261">
        <f t="shared" si="22"/>
        <v>0</v>
      </c>
      <c r="S38" s="262">
        <f t="shared" si="22"/>
        <v>0</v>
      </c>
      <c r="T38" s="262">
        <f t="shared" si="22"/>
        <v>0</v>
      </c>
      <c r="U38" s="262">
        <f t="shared" si="22"/>
        <v>0</v>
      </c>
      <c r="V38" s="263">
        <f t="shared" si="22"/>
        <v>0</v>
      </c>
      <c r="W38" s="261">
        <f t="shared" si="22"/>
        <v>0</v>
      </c>
      <c r="X38" s="262">
        <f t="shared" si="22"/>
        <v>0</v>
      </c>
      <c r="Y38" s="262">
        <f t="shared" si="22"/>
        <v>0</v>
      </c>
      <c r="Z38" s="262">
        <f t="shared" si="22"/>
        <v>0</v>
      </c>
      <c r="AA38" s="262">
        <f t="shared" si="22"/>
        <v>0</v>
      </c>
      <c r="AB38" s="262">
        <f t="shared" si="22"/>
        <v>0</v>
      </c>
      <c r="AC38" s="262">
        <f t="shared" si="22"/>
        <v>0</v>
      </c>
      <c r="AD38" s="263">
        <f t="shared" si="22"/>
        <v>0</v>
      </c>
      <c r="AE38" s="312"/>
      <c r="AF38" s="312"/>
    </row>
    <row r="39" spans="1:126" s="6" customFormat="1" x14ac:dyDescent="0.15">
      <c r="A39" s="521"/>
      <c r="B39" s="59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</row>
    <row r="40" spans="1:126" s="6" customFormat="1" x14ac:dyDescent="0.15">
      <c r="A40" s="298"/>
      <c r="B40" s="296"/>
      <c r="C40" s="298"/>
      <c r="D40" s="298"/>
      <c r="E40" s="298"/>
      <c r="F40" s="298"/>
      <c r="G40" s="298"/>
      <c r="H40" s="298"/>
      <c r="I40" s="298"/>
      <c r="J40" s="298"/>
      <c r="K40" s="296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</row>
  </sheetData>
  <sheetProtection password="CD7B" sheet="1" objects="1" scenarios="1"/>
  <mergeCells count="2">
    <mergeCell ref="A5:A6"/>
    <mergeCell ref="B5:B6"/>
  </mergeCells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F4:P4 W4:AE4" xr:uid="{00000000-0002-0000-0600-000000000000}"/>
  </dataValidations>
  <pageMargins left="0.27559055118110237" right="0.19685039370078741" top="0.27559055118110237" bottom="0.23622047244094491" header="0.19685039370078741" footer="0.19685039370078741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6"/>
  <sheetViews>
    <sheetView showGridLines="0" zoomScale="112" zoomScaleNormal="112" zoomScaleSheetLayoutView="75" workbookViewId="0">
      <selection activeCell="P10" sqref="P10"/>
    </sheetView>
  </sheetViews>
  <sheetFormatPr defaultColWidth="11.4609375" defaultRowHeight="13.5" x14ac:dyDescent="0.15"/>
  <cols>
    <col min="1" max="1" width="4.98828125" style="8" customWidth="1"/>
    <col min="2" max="2" width="21.03515625" style="8" customWidth="1"/>
    <col min="3" max="3" width="6.3359375" style="8" customWidth="1"/>
    <col min="4" max="4" width="8.359375" style="8" customWidth="1"/>
    <col min="5" max="5" width="6.47265625" style="8" bestFit="1" customWidth="1"/>
    <col min="6" max="6" width="8.359375" style="8" customWidth="1"/>
    <col min="7" max="7" width="7.01171875" style="8" customWidth="1"/>
    <col min="8" max="8" width="7.8203125" style="8" bestFit="1" customWidth="1"/>
    <col min="9" max="9" width="7.55078125" style="8" customWidth="1"/>
    <col min="10" max="10" width="8.359375" style="8" customWidth="1"/>
    <col min="11" max="11" width="6.60546875" style="8" bestFit="1" customWidth="1"/>
    <col min="12" max="12" width="7.8203125" style="8" bestFit="1" customWidth="1"/>
    <col min="13" max="13" width="7.14453125" style="8" customWidth="1"/>
    <col min="14" max="14" width="7.55078125" style="8" customWidth="1"/>
    <col min="15" max="19" width="8.359375" style="8" customWidth="1"/>
    <col min="20" max="20" width="10.921875" style="8" customWidth="1"/>
    <col min="21" max="21" width="2.15625" style="8" customWidth="1"/>
    <col min="22" max="16384" width="11.4609375" style="8"/>
  </cols>
  <sheetData>
    <row r="1" spans="1:21" ht="14.25" thickBot="1" x14ac:dyDescent="0.2">
      <c r="A1" s="522"/>
      <c r="B1" s="522"/>
      <c r="C1" s="522"/>
      <c r="D1" s="522"/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2"/>
      <c r="S1" s="522"/>
      <c r="T1" s="522"/>
    </row>
    <row r="2" spans="1:21" ht="15" thickBot="1" x14ac:dyDescent="0.2">
      <c r="A2" s="523"/>
      <c r="B2" s="915" t="str">
        <f>'1.Stratégie'!B2</f>
        <v>Microplanification Campagne de vaccination préventive contre la Rougeole et la Rubeole (RR), 2023</v>
      </c>
      <c r="C2" s="916"/>
      <c r="D2" s="916"/>
      <c r="E2" s="916"/>
      <c r="F2" s="916"/>
      <c r="G2" s="916"/>
      <c r="H2" s="916"/>
      <c r="I2" s="916"/>
      <c r="J2" s="916"/>
      <c r="K2" s="916"/>
      <c r="L2" s="916"/>
      <c r="M2" s="916"/>
      <c r="N2" s="916"/>
      <c r="O2" s="916"/>
      <c r="P2" s="916"/>
      <c r="Q2" s="916"/>
      <c r="R2" s="917"/>
      <c r="S2" s="522"/>
      <c r="T2" s="522"/>
      <c r="U2" s="522"/>
    </row>
    <row r="3" spans="1:21" x14ac:dyDescent="0.15">
      <c r="A3" s="522"/>
      <c r="B3" s="524" t="s">
        <v>437</v>
      </c>
      <c r="C3" s="525"/>
      <c r="D3" s="526"/>
      <c r="E3" s="526"/>
      <c r="F3" s="526"/>
      <c r="G3" s="526"/>
      <c r="H3" s="526"/>
      <c r="I3" s="526"/>
      <c r="J3" s="526"/>
      <c r="K3" s="522"/>
      <c r="L3" s="522"/>
      <c r="M3" s="522"/>
      <c r="N3" s="522"/>
      <c r="O3" s="522"/>
      <c r="P3" s="522"/>
      <c r="Q3" s="522"/>
      <c r="R3" s="522"/>
      <c r="S3" s="522"/>
      <c r="T3" s="522"/>
      <c r="U3" s="522"/>
    </row>
    <row r="4" spans="1:21" ht="21" thickBot="1" x14ac:dyDescent="0.3">
      <c r="A4" s="526"/>
      <c r="B4" s="130" t="str">
        <f>'1.Stratégie'!B4</f>
        <v>PAYS :</v>
      </c>
      <c r="C4" s="853"/>
      <c r="D4" s="854" t="str">
        <f>'1.Stratégie'!$C$4</f>
        <v>CAMEROUN</v>
      </c>
      <c r="E4" s="853"/>
      <c r="F4" s="855"/>
      <c r="G4" s="526"/>
      <c r="H4" s="21"/>
      <c r="I4" s="129" t="str">
        <f>'1.Stratégie'!$D$4</f>
        <v>REGION :</v>
      </c>
      <c r="J4" s="826">
        <f>'1.Stratégie'!$E$4</f>
        <v>0</v>
      </c>
      <c r="K4" s="828"/>
      <c r="L4" s="828"/>
      <c r="M4" s="21"/>
      <c r="N4" s="128" t="str">
        <f>IF(('1.Stratégie'!$F$4)="","",'1.Stratégie'!$F$4)</f>
        <v>DISTRICT :</v>
      </c>
      <c r="O4" s="826">
        <f>IF(('1.Stratégie'!$G$4)="","",'1.Stratégie'!$G$4)</f>
        <v>0</v>
      </c>
      <c r="P4" s="826"/>
      <c r="Q4" s="826"/>
      <c r="R4" s="522"/>
      <c r="S4" s="522"/>
      <c r="T4" s="522"/>
      <c r="U4" s="522"/>
    </row>
    <row r="5" spans="1:21" ht="24" customHeight="1" thickTop="1" x14ac:dyDescent="0.15">
      <c r="A5" s="918" t="s">
        <v>2</v>
      </c>
      <c r="B5" s="920" t="str">
        <f>+'1.Stratégie'!$B$6</f>
        <v>AIRE DE SANTE</v>
      </c>
      <c r="C5" s="527" t="s">
        <v>39</v>
      </c>
      <c r="D5" s="528"/>
      <c r="E5" s="528"/>
      <c r="F5" s="529"/>
      <c r="G5" s="527" t="s">
        <v>44</v>
      </c>
      <c r="H5" s="528"/>
      <c r="I5" s="528"/>
      <c r="J5" s="529"/>
      <c r="K5" s="527" t="s">
        <v>45</v>
      </c>
      <c r="L5" s="528"/>
      <c r="M5" s="528"/>
      <c r="N5" s="528"/>
      <c r="O5" s="529"/>
      <c r="P5" s="527" t="s">
        <v>243</v>
      </c>
      <c r="Q5" s="528"/>
      <c r="R5" s="530"/>
      <c r="S5" s="531"/>
      <c r="T5" s="531"/>
      <c r="U5" s="522"/>
    </row>
    <row r="6" spans="1:21" s="111" customFormat="1" ht="35.25" x14ac:dyDescent="0.15">
      <c r="A6" s="919"/>
      <c r="B6" s="921"/>
      <c r="C6" s="532" t="s">
        <v>40</v>
      </c>
      <c r="D6" s="533" t="s">
        <v>41</v>
      </c>
      <c r="E6" s="533" t="s">
        <v>42</v>
      </c>
      <c r="F6" s="534" t="s">
        <v>43</v>
      </c>
      <c r="G6" s="532" t="s">
        <v>204</v>
      </c>
      <c r="H6" s="533" t="s">
        <v>46</v>
      </c>
      <c r="I6" s="533" t="s">
        <v>47</v>
      </c>
      <c r="J6" s="534" t="s">
        <v>49</v>
      </c>
      <c r="K6" s="532" t="str">
        <f>G6</f>
        <v>Réfrigé
rateur</v>
      </c>
      <c r="L6" s="533" t="str">
        <f>H6</f>
        <v>Glaçière</v>
      </c>
      <c r="M6" s="533" t="str">
        <f>I6</f>
        <v>Porte vaccin PEV</v>
      </c>
      <c r="N6" s="533" t="s">
        <v>48</v>
      </c>
      <c r="O6" s="534" t="str">
        <f>J6</f>
        <v>Accumulateur</v>
      </c>
      <c r="P6" s="532" t="str">
        <f>G6</f>
        <v>Réfrigé
rateur</v>
      </c>
      <c r="Q6" s="535" t="str">
        <f>H6</f>
        <v>Glaçière</v>
      </c>
      <c r="R6" s="535" t="str">
        <f>I6</f>
        <v>Porte vaccin PEV</v>
      </c>
      <c r="S6" s="534" t="str">
        <f>J6</f>
        <v>Accumulateur</v>
      </c>
      <c r="T6" s="856" t="s">
        <v>405</v>
      </c>
      <c r="U6" s="558"/>
    </row>
    <row r="7" spans="1:21" s="49" customFormat="1" ht="12.75" x14ac:dyDescent="0.15">
      <c r="A7" s="536"/>
      <c r="B7" s="537"/>
      <c r="C7" s="538" t="s">
        <v>6</v>
      </c>
      <c r="D7" s="539" t="s">
        <v>7</v>
      </c>
      <c r="E7" s="539" t="s">
        <v>8</v>
      </c>
      <c r="F7" s="540" t="s">
        <v>9</v>
      </c>
      <c r="G7" s="541" t="s">
        <v>14</v>
      </c>
      <c r="H7" s="542" t="s">
        <v>15</v>
      </c>
      <c r="I7" s="542" t="s">
        <v>16</v>
      </c>
      <c r="J7" s="540" t="s">
        <v>17</v>
      </c>
      <c r="K7" s="541" t="s">
        <v>18</v>
      </c>
      <c r="L7" s="542" t="s">
        <v>19</v>
      </c>
      <c r="M7" s="542" t="s">
        <v>27</v>
      </c>
      <c r="N7" s="542" t="s">
        <v>29</v>
      </c>
      <c r="O7" s="540" t="s">
        <v>30</v>
      </c>
      <c r="P7" s="541" t="s">
        <v>31</v>
      </c>
      <c r="Q7" s="542" t="s">
        <v>26</v>
      </c>
      <c r="R7" s="542" t="s">
        <v>37</v>
      </c>
      <c r="S7" s="540" t="s">
        <v>183</v>
      </c>
      <c r="T7" s="857" t="s">
        <v>194</v>
      </c>
      <c r="U7" s="17"/>
    </row>
    <row r="8" spans="1:21" s="117" customFormat="1" ht="12.75" x14ac:dyDescent="0.15">
      <c r="A8" s="543">
        <v>1</v>
      </c>
      <c r="B8" s="544">
        <f>'1.Stratégie'!B8</f>
        <v>0</v>
      </c>
      <c r="C8" s="545">
        <f>'2.Equipe'!F7</f>
        <v>0</v>
      </c>
      <c r="D8" s="546">
        <f>'2.Equipe'!H7</f>
        <v>0</v>
      </c>
      <c r="E8" s="546">
        <f>'2.Equipe'!J7</f>
        <v>0</v>
      </c>
      <c r="F8" s="145">
        <f>'2.Equipe'!L7</f>
        <v>0</v>
      </c>
      <c r="G8" s="143"/>
      <c r="H8" s="132"/>
      <c r="I8" s="554">
        <f>C8+D8+E8</f>
        <v>0</v>
      </c>
      <c r="J8" s="145">
        <f>H8*24+I8*4</f>
        <v>0</v>
      </c>
      <c r="K8" s="143"/>
      <c r="L8" s="132"/>
      <c r="M8" s="132"/>
      <c r="N8" s="132"/>
      <c r="O8" s="144"/>
      <c r="P8" s="545">
        <f>IF(K8&gt;G8,0,G8-K8)</f>
        <v>0</v>
      </c>
      <c r="Q8" s="546">
        <f>IF(L8&gt;H8,0,H8-L8)</f>
        <v>0</v>
      </c>
      <c r="R8" s="546">
        <f>IF(M8&gt;I8,0,I8-M8)</f>
        <v>0</v>
      </c>
      <c r="S8" s="145">
        <f>IF(O8&gt;J8,0,J8-O8)</f>
        <v>0</v>
      </c>
      <c r="T8" s="858">
        <f>IF($K8=0,0,IF(AND('1.Stratégie'!$J8&gt;1,$B8&lt;&gt;"SSD"),$K8,0))</f>
        <v>0</v>
      </c>
      <c r="U8" s="559"/>
    </row>
    <row r="9" spans="1:21" s="117" customFormat="1" ht="12.75" x14ac:dyDescent="0.15">
      <c r="A9" s="543">
        <v>2</v>
      </c>
      <c r="B9" s="544">
        <f>'1.Stratégie'!B9</f>
        <v>0</v>
      </c>
      <c r="C9" s="545">
        <f>'2.Equipe'!F8</f>
        <v>0</v>
      </c>
      <c r="D9" s="546">
        <f>'2.Equipe'!H8</f>
        <v>0</v>
      </c>
      <c r="E9" s="546">
        <f>'2.Equipe'!J8</f>
        <v>0</v>
      </c>
      <c r="F9" s="145">
        <f>'2.Equipe'!L8</f>
        <v>0</v>
      </c>
      <c r="G9" s="143"/>
      <c r="H9" s="132"/>
      <c r="I9" s="554">
        <f>C9+D9+E9</f>
        <v>0</v>
      </c>
      <c r="J9" s="145">
        <f t="shared" ref="J9:J37" si="0">H9*24+I9*4</f>
        <v>0</v>
      </c>
      <c r="K9" s="143"/>
      <c r="L9" s="132"/>
      <c r="M9" s="132"/>
      <c r="N9" s="132"/>
      <c r="O9" s="144"/>
      <c r="P9" s="545">
        <f t="shared" ref="P9:P37" si="1">IF(K9&gt;G9,0,G9-K9)</f>
        <v>0</v>
      </c>
      <c r="Q9" s="546">
        <f t="shared" ref="Q9:Q37" si="2">IF(L9&gt;H9,0,H9-L9)</f>
        <v>0</v>
      </c>
      <c r="R9" s="554">
        <f t="shared" ref="R9:R37" si="3">IF(M9&gt;I9,0,I9-M9)</f>
        <v>0</v>
      </c>
      <c r="S9" s="145">
        <f t="shared" ref="S9:S37" si="4">IF(O9&gt;J9,0,J9-O9)</f>
        <v>0</v>
      </c>
      <c r="T9" s="858">
        <f>IF($K9=0,0,IF(AND('1.Stratégie'!$J9&gt;1,$B9&lt;&gt;"SSD"),$K9,0))</f>
        <v>0</v>
      </c>
      <c r="U9" s="559"/>
    </row>
    <row r="10" spans="1:21" s="117" customFormat="1" ht="12.75" x14ac:dyDescent="0.15">
      <c r="A10" s="543">
        <v>3</v>
      </c>
      <c r="B10" s="544">
        <f>'1.Stratégie'!B10</f>
        <v>0</v>
      </c>
      <c r="C10" s="545">
        <f>'2.Equipe'!F9</f>
        <v>0</v>
      </c>
      <c r="D10" s="546">
        <f>'2.Equipe'!H9</f>
        <v>0</v>
      </c>
      <c r="E10" s="546">
        <f>'2.Equipe'!J9</f>
        <v>0</v>
      </c>
      <c r="F10" s="145">
        <f>'2.Equipe'!L9</f>
        <v>0</v>
      </c>
      <c r="G10" s="143"/>
      <c r="H10" s="132"/>
      <c r="I10" s="554">
        <f t="shared" ref="I10:I37" si="5">C10+D10+E10</f>
        <v>0</v>
      </c>
      <c r="J10" s="145">
        <f t="shared" si="0"/>
        <v>0</v>
      </c>
      <c r="K10" s="143"/>
      <c r="L10" s="132"/>
      <c r="M10" s="132"/>
      <c r="N10" s="132"/>
      <c r="O10" s="144"/>
      <c r="P10" s="545">
        <f t="shared" si="1"/>
        <v>0</v>
      </c>
      <c r="Q10" s="546">
        <f t="shared" si="2"/>
        <v>0</v>
      </c>
      <c r="R10" s="554">
        <f t="shared" si="3"/>
        <v>0</v>
      </c>
      <c r="S10" s="145">
        <f t="shared" si="4"/>
        <v>0</v>
      </c>
      <c r="T10" s="858">
        <f>IF($K10=0,0,IF(AND('1.Stratégie'!$J10&gt;1,$B10&lt;&gt;"SSD"),$K10,0))</f>
        <v>0</v>
      </c>
      <c r="U10" s="559"/>
    </row>
    <row r="11" spans="1:21" s="117" customFormat="1" ht="12.75" x14ac:dyDescent="0.15">
      <c r="A11" s="543">
        <v>4</v>
      </c>
      <c r="B11" s="544">
        <f>'1.Stratégie'!B11</f>
        <v>0</v>
      </c>
      <c r="C11" s="545">
        <f>'2.Equipe'!F10</f>
        <v>0</v>
      </c>
      <c r="D11" s="546">
        <f>'2.Equipe'!H10</f>
        <v>0</v>
      </c>
      <c r="E11" s="546">
        <f>'2.Equipe'!J10</f>
        <v>0</v>
      </c>
      <c r="F11" s="145">
        <f>'2.Equipe'!L10</f>
        <v>0</v>
      </c>
      <c r="G11" s="143"/>
      <c r="H11" s="132"/>
      <c r="I11" s="554">
        <f t="shared" si="5"/>
        <v>0</v>
      </c>
      <c r="J11" s="145">
        <f t="shared" si="0"/>
        <v>0</v>
      </c>
      <c r="K11" s="143"/>
      <c r="L11" s="132"/>
      <c r="M11" s="132"/>
      <c r="N11" s="132"/>
      <c r="O11" s="144"/>
      <c r="P11" s="545">
        <f t="shared" si="1"/>
        <v>0</v>
      </c>
      <c r="Q11" s="546">
        <f t="shared" si="2"/>
        <v>0</v>
      </c>
      <c r="R11" s="554">
        <f t="shared" si="3"/>
        <v>0</v>
      </c>
      <c r="S11" s="145">
        <f t="shared" si="4"/>
        <v>0</v>
      </c>
      <c r="T11" s="858">
        <f>IF($K11=0,0,IF(AND('1.Stratégie'!$J11&gt;1,$B11&lt;&gt;"SSD"),$K11,0))</f>
        <v>0</v>
      </c>
      <c r="U11" s="559"/>
    </row>
    <row r="12" spans="1:21" s="117" customFormat="1" ht="12.75" x14ac:dyDescent="0.15">
      <c r="A12" s="543">
        <v>5</v>
      </c>
      <c r="B12" s="544">
        <f>'1.Stratégie'!B12</f>
        <v>0</v>
      </c>
      <c r="C12" s="545">
        <f>'2.Equipe'!F11</f>
        <v>0</v>
      </c>
      <c r="D12" s="546">
        <f>'2.Equipe'!H11</f>
        <v>0</v>
      </c>
      <c r="E12" s="546">
        <f>'2.Equipe'!J11</f>
        <v>0</v>
      </c>
      <c r="F12" s="145">
        <f>'2.Equipe'!L11</f>
        <v>0</v>
      </c>
      <c r="G12" s="143"/>
      <c r="H12" s="132"/>
      <c r="I12" s="554">
        <f t="shared" si="5"/>
        <v>0</v>
      </c>
      <c r="J12" s="145">
        <f t="shared" si="0"/>
        <v>0</v>
      </c>
      <c r="K12" s="143"/>
      <c r="L12" s="132"/>
      <c r="M12" s="132"/>
      <c r="N12" s="132"/>
      <c r="O12" s="144"/>
      <c r="P12" s="545">
        <f t="shared" si="1"/>
        <v>0</v>
      </c>
      <c r="Q12" s="546">
        <f t="shared" si="2"/>
        <v>0</v>
      </c>
      <c r="R12" s="554">
        <f t="shared" si="3"/>
        <v>0</v>
      </c>
      <c r="S12" s="145">
        <f t="shared" si="4"/>
        <v>0</v>
      </c>
      <c r="T12" s="858">
        <f>IF($K12=0,0,IF(AND('1.Stratégie'!$J12&gt;1,$B12&lt;&gt;"SSD"),$K12,0))</f>
        <v>0</v>
      </c>
      <c r="U12" s="559"/>
    </row>
    <row r="13" spans="1:21" s="117" customFormat="1" ht="12.75" x14ac:dyDescent="0.15">
      <c r="A13" s="543">
        <v>6</v>
      </c>
      <c r="B13" s="544">
        <f>'1.Stratégie'!B13</f>
        <v>0</v>
      </c>
      <c r="C13" s="545">
        <f>'2.Equipe'!F12</f>
        <v>0</v>
      </c>
      <c r="D13" s="546">
        <f>'2.Equipe'!H12</f>
        <v>0</v>
      </c>
      <c r="E13" s="546">
        <f>'2.Equipe'!J12</f>
        <v>0</v>
      </c>
      <c r="F13" s="145">
        <f>'2.Equipe'!L12</f>
        <v>0</v>
      </c>
      <c r="G13" s="143"/>
      <c r="H13" s="132"/>
      <c r="I13" s="554">
        <f t="shared" si="5"/>
        <v>0</v>
      </c>
      <c r="J13" s="145">
        <f t="shared" si="0"/>
        <v>0</v>
      </c>
      <c r="K13" s="143"/>
      <c r="L13" s="132"/>
      <c r="M13" s="132"/>
      <c r="N13" s="132"/>
      <c r="O13" s="144"/>
      <c r="P13" s="545">
        <f t="shared" si="1"/>
        <v>0</v>
      </c>
      <c r="Q13" s="546">
        <f t="shared" si="2"/>
        <v>0</v>
      </c>
      <c r="R13" s="554">
        <f t="shared" si="3"/>
        <v>0</v>
      </c>
      <c r="S13" s="145">
        <f t="shared" si="4"/>
        <v>0</v>
      </c>
      <c r="T13" s="858">
        <f>IF($K13=0,0,IF(AND('1.Stratégie'!$J13&gt;1,$B13&lt;&gt;"SSD"),$K13,0))</f>
        <v>0</v>
      </c>
      <c r="U13" s="559"/>
    </row>
    <row r="14" spans="1:21" s="117" customFormat="1" ht="12.75" x14ac:dyDescent="0.15">
      <c r="A14" s="543">
        <v>7</v>
      </c>
      <c r="B14" s="544">
        <f>'1.Stratégie'!B14</f>
        <v>0</v>
      </c>
      <c r="C14" s="545">
        <f>'2.Equipe'!F13</f>
        <v>0</v>
      </c>
      <c r="D14" s="546">
        <f>'2.Equipe'!H13</f>
        <v>0</v>
      </c>
      <c r="E14" s="546">
        <f>'2.Equipe'!J13</f>
        <v>0</v>
      </c>
      <c r="F14" s="145">
        <f>'2.Equipe'!L13</f>
        <v>0</v>
      </c>
      <c r="G14" s="143"/>
      <c r="H14" s="132"/>
      <c r="I14" s="554">
        <f t="shared" si="5"/>
        <v>0</v>
      </c>
      <c r="J14" s="145">
        <f t="shared" si="0"/>
        <v>0</v>
      </c>
      <c r="K14" s="143"/>
      <c r="L14" s="132"/>
      <c r="M14" s="132"/>
      <c r="N14" s="132"/>
      <c r="O14" s="144"/>
      <c r="P14" s="545">
        <f t="shared" si="1"/>
        <v>0</v>
      </c>
      <c r="Q14" s="546">
        <f t="shared" si="2"/>
        <v>0</v>
      </c>
      <c r="R14" s="554">
        <f t="shared" si="3"/>
        <v>0</v>
      </c>
      <c r="S14" s="145">
        <f t="shared" si="4"/>
        <v>0</v>
      </c>
      <c r="T14" s="858">
        <f>IF($K14=0,0,IF(AND('1.Stratégie'!$J14&gt;1,$B14&lt;&gt;"SSD"),$K14,0))</f>
        <v>0</v>
      </c>
      <c r="U14" s="559"/>
    </row>
    <row r="15" spans="1:21" s="117" customFormat="1" ht="12.75" x14ac:dyDescent="0.15">
      <c r="A15" s="543">
        <v>8</v>
      </c>
      <c r="B15" s="544">
        <f>'1.Stratégie'!B15</f>
        <v>0</v>
      </c>
      <c r="C15" s="545">
        <f>'2.Equipe'!F14</f>
        <v>0</v>
      </c>
      <c r="D15" s="546">
        <f>'2.Equipe'!H14</f>
        <v>0</v>
      </c>
      <c r="E15" s="546">
        <f>'2.Equipe'!J14</f>
        <v>0</v>
      </c>
      <c r="F15" s="145">
        <f>'2.Equipe'!L14</f>
        <v>0</v>
      </c>
      <c r="G15" s="143"/>
      <c r="H15" s="132"/>
      <c r="I15" s="554">
        <f t="shared" si="5"/>
        <v>0</v>
      </c>
      <c r="J15" s="145">
        <f t="shared" si="0"/>
        <v>0</v>
      </c>
      <c r="K15" s="143"/>
      <c r="L15" s="132"/>
      <c r="M15" s="132"/>
      <c r="N15" s="132"/>
      <c r="O15" s="144"/>
      <c r="P15" s="545">
        <f t="shared" si="1"/>
        <v>0</v>
      </c>
      <c r="Q15" s="546">
        <f t="shared" si="2"/>
        <v>0</v>
      </c>
      <c r="R15" s="554">
        <f t="shared" si="3"/>
        <v>0</v>
      </c>
      <c r="S15" s="145">
        <f t="shared" si="4"/>
        <v>0</v>
      </c>
      <c r="T15" s="858">
        <f>IF($K15=0,0,IF(AND('1.Stratégie'!$J15&gt;1,$B15&lt;&gt;"SSD"),$K15,0))</f>
        <v>0</v>
      </c>
      <c r="U15" s="559"/>
    </row>
    <row r="16" spans="1:21" s="117" customFormat="1" ht="12.75" x14ac:dyDescent="0.15">
      <c r="A16" s="543">
        <v>9</v>
      </c>
      <c r="B16" s="544">
        <f>'1.Stratégie'!B16</f>
        <v>0</v>
      </c>
      <c r="C16" s="545">
        <f>'2.Equipe'!F15</f>
        <v>0</v>
      </c>
      <c r="D16" s="546">
        <f>'2.Equipe'!H15</f>
        <v>0</v>
      </c>
      <c r="E16" s="546">
        <f>'2.Equipe'!J15</f>
        <v>0</v>
      </c>
      <c r="F16" s="145">
        <f>'2.Equipe'!L15</f>
        <v>0</v>
      </c>
      <c r="G16" s="143"/>
      <c r="H16" s="132"/>
      <c r="I16" s="554">
        <f t="shared" si="5"/>
        <v>0</v>
      </c>
      <c r="J16" s="145">
        <f t="shared" si="0"/>
        <v>0</v>
      </c>
      <c r="K16" s="143"/>
      <c r="L16" s="132"/>
      <c r="M16" s="132"/>
      <c r="N16" s="132"/>
      <c r="O16" s="144"/>
      <c r="P16" s="545">
        <f t="shared" si="1"/>
        <v>0</v>
      </c>
      <c r="Q16" s="546">
        <f t="shared" si="2"/>
        <v>0</v>
      </c>
      <c r="R16" s="554">
        <f t="shared" si="3"/>
        <v>0</v>
      </c>
      <c r="S16" s="145">
        <f t="shared" si="4"/>
        <v>0</v>
      </c>
      <c r="T16" s="858">
        <f>IF($K16=0,0,IF(AND('1.Stratégie'!$J16&gt;1,$B16&lt;&gt;"SSD"),$K16,0))</f>
        <v>0</v>
      </c>
      <c r="U16" s="559"/>
    </row>
    <row r="17" spans="1:21" s="117" customFormat="1" ht="12.75" x14ac:dyDescent="0.15">
      <c r="A17" s="543">
        <v>10</v>
      </c>
      <c r="B17" s="544">
        <f>'1.Stratégie'!B17</f>
        <v>0</v>
      </c>
      <c r="C17" s="545">
        <f>'2.Equipe'!F16</f>
        <v>0</v>
      </c>
      <c r="D17" s="546">
        <f>'2.Equipe'!H16</f>
        <v>0</v>
      </c>
      <c r="E17" s="546">
        <f>'2.Equipe'!J16</f>
        <v>0</v>
      </c>
      <c r="F17" s="145">
        <f>'2.Equipe'!L16</f>
        <v>0</v>
      </c>
      <c r="G17" s="143"/>
      <c r="H17" s="132"/>
      <c r="I17" s="554">
        <f t="shared" si="5"/>
        <v>0</v>
      </c>
      <c r="J17" s="145">
        <f t="shared" si="0"/>
        <v>0</v>
      </c>
      <c r="K17" s="143"/>
      <c r="L17" s="132"/>
      <c r="M17" s="132"/>
      <c r="N17" s="132"/>
      <c r="O17" s="144"/>
      <c r="P17" s="545">
        <f t="shared" si="1"/>
        <v>0</v>
      </c>
      <c r="Q17" s="546">
        <f t="shared" si="2"/>
        <v>0</v>
      </c>
      <c r="R17" s="554">
        <f t="shared" si="3"/>
        <v>0</v>
      </c>
      <c r="S17" s="145">
        <f t="shared" si="4"/>
        <v>0</v>
      </c>
      <c r="T17" s="858">
        <f>IF($K17=0,0,IF(AND('1.Stratégie'!$J17&gt;1,$B17&lt;&gt;"SSD"),$K17,0))</f>
        <v>0</v>
      </c>
      <c r="U17" s="559"/>
    </row>
    <row r="18" spans="1:21" s="117" customFormat="1" ht="12.75" x14ac:dyDescent="0.15">
      <c r="A18" s="543">
        <v>11</v>
      </c>
      <c r="B18" s="544">
        <f>'1.Stratégie'!B18</f>
        <v>0</v>
      </c>
      <c r="C18" s="545">
        <f>'2.Equipe'!F17</f>
        <v>0</v>
      </c>
      <c r="D18" s="546">
        <f>'2.Equipe'!H17</f>
        <v>0</v>
      </c>
      <c r="E18" s="546">
        <f>'2.Equipe'!J17</f>
        <v>0</v>
      </c>
      <c r="F18" s="145">
        <f>'2.Equipe'!L17</f>
        <v>0</v>
      </c>
      <c r="G18" s="143"/>
      <c r="H18" s="132"/>
      <c r="I18" s="554">
        <f t="shared" si="5"/>
        <v>0</v>
      </c>
      <c r="J18" s="145">
        <f t="shared" si="0"/>
        <v>0</v>
      </c>
      <c r="K18" s="143"/>
      <c r="L18" s="132"/>
      <c r="M18" s="132"/>
      <c r="N18" s="132"/>
      <c r="O18" s="144"/>
      <c r="P18" s="545">
        <f t="shared" si="1"/>
        <v>0</v>
      </c>
      <c r="Q18" s="546">
        <f t="shared" si="2"/>
        <v>0</v>
      </c>
      <c r="R18" s="554">
        <f t="shared" si="3"/>
        <v>0</v>
      </c>
      <c r="S18" s="145">
        <f t="shared" si="4"/>
        <v>0</v>
      </c>
      <c r="T18" s="858">
        <f>IF($K18=0,0,IF(AND('1.Stratégie'!$J18&gt;1,$B18&lt;&gt;"SSD"),$K18,0))</f>
        <v>0</v>
      </c>
      <c r="U18" s="559"/>
    </row>
    <row r="19" spans="1:21" s="117" customFormat="1" ht="12.75" x14ac:dyDescent="0.15">
      <c r="A19" s="543">
        <v>12</v>
      </c>
      <c r="B19" s="544">
        <f>'1.Stratégie'!B19</f>
        <v>0</v>
      </c>
      <c r="C19" s="545">
        <f>'2.Equipe'!F18</f>
        <v>0</v>
      </c>
      <c r="D19" s="546">
        <f>'2.Equipe'!H18</f>
        <v>0</v>
      </c>
      <c r="E19" s="546">
        <f>'2.Equipe'!J18</f>
        <v>0</v>
      </c>
      <c r="F19" s="145">
        <f>'2.Equipe'!L18</f>
        <v>0</v>
      </c>
      <c r="G19" s="143"/>
      <c r="H19" s="132"/>
      <c r="I19" s="554">
        <f t="shared" si="5"/>
        <v>0</v>
      </c>
      <c r="J19" s="145">
        <f t="shared" si="0"/>
        <v>0</v>
      </c>
      <c r="K19" s="143"/>
      <c r="L19" s="132"/>
      <c r="M19" s="132"/>
      <c r="N19" s="132"/>
      <c r="O19" s="144"/>
      <c r="P19" s="545">
        <f t="shared" si="1"/>
        <v>0</v>
      </c>
      <c r="Q19" s="546">
        <f t="shared" si="2"/>
        <v>0</v>
      </c>
      <c r="R19" s="554">
        <f t="shared" si="3"/>
        <v>0</v>
      </c>
      <c r="S19" s="145">
        <f t="shared" si="4"/>
        <v>0</v>
      </c>
      <c r="T19" s="858">
        <f>IF($K19=0,0,IF(AND('1.Stratégie'!$J19&gt;1,$B19&lt;&gt;"SSD"),$K19,0))</f>
        <v>0</v>
      </c>
      <c r="U19" s="559"/>
    </row>
    <row r="20" spans="1:21" s="117" customFormat="1" ht="12.75" x14ac:dyDescent="0.15">
      <c r="A20" s="543">
        <v>13</v>
      </c>
      <c r="B20" s="544">
        <f>'1.Stratégie'!B20</f>
        <v>0</v>
      </c>
      <c r="C20" s="545">
        <f>'2.Equipe'!F19</f>
        <v>0</v>
      </c>
      <c r="D20" s="546">
        <f>'2.Equipe'!H19</f>
        <v>0</v>
      </c>
      <c r="E20" s="546">
        <f>'2.Equipe'!J19</f>
        <v>0</v>
      </c>
      <c r="F20" s="145">
        <f>'2.Equipe'!L19</f>
        <v>0</v>
      </c>
      <c r="G20" s="143"/>
      <c r="H20" s="132"/>
      <c r="I20" s="554">
        <f t="shared" si="5"/>
        <v>0</v>
      </c>
      <c r="J20" s="145">
        <f t="shared" si="0"/>
        <v>0</v>
      </c>
      <c r="K20" s="143"/>
      <c r="L20" s="132"/>
      <c r="M20" s="132"/>
      <c r="N20" s="132"/>
      <c r="O20" s="144"/>
      <c r="P20" s="545">
        <f t="shared" si="1"/>
        <v>0</v>
      </c>
      <c r="Q20" s="546">
        <f t="shared" si="2"/>
        <v>0</v>
      </c>
      <c r="R20" s="554">
        <f t="shared" si="3"/>
        <v>0</v>
      </c>
      <c r="S20" s="145">
        <f t="shared" si="4"/>
        <v>0</v>
      </c>
      <c r="T20" s="858">
        <f>IF($K20=0,0,IF(AND('1.Stratégie'!$J20&gt;1,$B20&lt;&gt;"SSD"),$K20,0))</f>
        <v>0</v>
      </c>
      <c r="U20" s="559"/>
    </row>
    <row r="21" spans="1:21" s="117" customFormat="1" ht="12.75" x14ac:dyDescent="0.15">
      <c r="A21" s="543">
        <v>14</v>
      </c>
      <c r="B21" s="544">
        <f>'1.Stratégie'!B21</f>
        <v>0</v>
      </c>
      <c r="C21" s="545">
        <f>'2.Equipe'!F20</f>
        <v>0</v>
      </c>
      <c r="D21" s="546">
        <f>'2.Equipe'!H20</f>
        <v>0</v>
      </c>
      <c r="E21" s="546">
        <f>'2.Equipe'!J20</f>
        <v>0</v>
      </c>
      <c r="F21" s="145">
        <f>'2.Equipe'!L20</f>
        <v>0</v>
      </c>
      <c r="G21" s="143"/>
      <c r="H21" s="132"/>
      <c r="I21" s="554">
        <f t="shared" si="5"/>
        <v>0</v>
      </c>
      <c r="J21" s="145">
        <f t="shared" si="0"/>
        <v>0</v>
      </c>
      <c r="K21" s="143"/>
      <c r="L21" s="132"/>
      <c r="M21" s="132"/>
      <c r="N21" s="132"/>
      <c r="O21" s="144"/>
      <c r="P21" s="545">
        <f t="shared" si="1"/>
        <v>0</v>
      </c>
      <c r="Q21" s="546">
        <f t="shared" si="2"/>
        <v>0</v>
      </c>
      <c r="R21" s="554">
        <f t="shared" si="3"/>
        <v>0</v>
      </c>
      <c r="S21" s="145">
        <f t="shared" si="4"/>
        <v>0</v>
      </c>
      <c r="T21" s="858">
        <f>IF($K21=0,0,IF(AND('1.Stratégie'!$J21&gt;1,$B21&lt;&gt;"SSD"),$K21,0))</f>
        <v>0</v>
      </c>
      <c r="U21" s="559"/>
    </row>
    <row r="22" spans="1:21" s="117" customFormat="1" ht="12.75" x14ac:dyDescent="0.15">
      <c r="A22" s="543">
        <v>15</v>
      </c>
      <c r="B22" s="544">
        <f>'1.Stratégie'!B22</f>
        <v>0</v>
      </c>
      <c r="C22" s="545">
        <f>'2.Equipe'!F21</f>
        <v>0</v>
      </c>
      <c r="D22" s="546">
        <f>'2.Equipe'!H21</f>
        <v>0</v>
      </c>
      <c r="E22" s="546">
        <f>'2.Equipe'!J21</f>
        <v>0</v>
      </c>
      <c r="F22" s="145">
        <f>'2.Equipe'!L21</f>
        <v>0</v>
      </c>
      <c r="G22" s="143"/>
      <c r="H22" s="132"/>
      <c r="I22" s="554">
        <f t="shared" si="5"/>
        <v>0</v>
      </c>
      <c r="J22" s="145">
        <f t="shared" si="0"/>
        <v>0</v>
      </c>
      <c r="K22" s="143"/>
      <c r="L22" s="132"/>
      <c r="M22" s="132"/>
      <c r="N22" s="132"/>
      <c r="O22" s="144"/>
      <c r="P22" s="545">
        <f t="shared" si="1"/>
        <v>0</v>
      </c>
      <c r="Q22" s="546">
        <f t="shared" si="2"/>
        <v>0</v>
      </c>
      <c r="R22" s="554">
        <f t="shared" si="3"/>
        <v>0</v>
      </c>
      <c r="S22" s="145">
        <f t="shared" si="4"/>
        <v>0</v>
      </c>
      <c r="T22" s="858">
        <f>IF($K22=0,0,IF(AND('1.Stratégie'!$J22&gt;1,$B22&lt;&gt;"SSD"),$K22,0))</f>
        <v>0</v>
      </c>
      <c r="U22" s="559"/>
    </row>
    <row r="23" spans="1:21" s="117" customFormat="1" ht="12.75" x14ac:dyDescent="0.15">
      <c r="A23" s="543">
        <v>16</v>
      </c>
      <c r="B23" s="544">
        <f>'1.Stratégie'!B23</f>
        <v>0</v>
      </c>
      <c r="C23" s="545">
        <f>'2.Equipe'!F22</f>
        <v>0</v>
      </c>
      <c r="D23" s="546">
        <f>'2.Equipe'!H22</f>
        <v>0</v>
      </c>
      <c r="E23" s="546">
        <f>'2.Equipe'!J22</f>
        <v>0</v>
      </c>
      <c r="F23" s="145">
        <f>'2.Equipe'!L22</f>
        <v>0</v>
      </c>
      <c r="G23" s="143"/>
      <c r="H23" s="132"/>
      <c r="I23" s="554">
        <f t="shared" si="5"/>
        <v>0</v>
      </c>
      <c r="J23" s="145">
        <f t="shared" si="0"/>
        <v>0</v>
      </c>
      <c r="K23" s="143"/>
      <c r="L23" s="132"/>
      <c r="M23" s="132"/>
      <c r="N23" s="132"/>
      <c r="O23" s="144"/>
      <c r="P23" s="545">
        <f t="shared" si="1"/>
        <v>0</v>
      </c>
      <c r="Q23" s="546">
        <f t="shared" si="2"/>
        <v>0</v>
      </c>
      <c r="R23" s="554">
        <f t="shared" si="3"/>
        <v>0</v>
      </c>
      <c r="S23" s="145">
        <f t="shared" si="4"/>
        <v>0</v>
      </c>
      <c r="T23" s="858">
        <f>IF($K23=0,0,IF(AND('1.Stratégie'!$J23&gt;1,$B23&lt;&gt;"SSD"),$K23,0))</f>
        <v>0</v>
      </c>
      <c r="U23" s="559"/>
    </row>
    <row r="24" spans="1:21" s="117" customFormat="1" ht="12.75" x14ac:dyDescent="0.15">
      <c r="A24" s="543">
        <v>17</v>
      </c>
      <c r="B24" s="544">
        <f>'1.Stratégie'!B24</f>
        <v>0</v>
      </c>
      <c r="C24" s="545">
        <f>'2.Equipe'!F23</f>
        <v>0</v>
      </c>
      <c r="D24" s="546">
        <f>'2.Equipe'!H23</f>
        <v>0</v>
      </c>
      <c r="E24" s="546">
        <f>'2.Equipe'!J23</f>
        <v>0</v>
      </c>
      <c r="F24" s="145">
        <f>'2.Equipe'!L23</f>
        <v>0</v>
      </c>
      <c r="G24" s="143"/>
      <c r="H24" s="132"/>
      <c r="I24" s="554">
        <f t="shared" si="5"/>
        <v>0</v>
      </c>
      <c r="J24" s="145">
        <f t="shared" si="0"/>
        <v>0</v>
      </c>
      <c r="K24" s="143"/>
      <c r="L24" s="132"/>
      <c r="M24" s="132"/>
      <c r="N24" s="132"/>
      <c r="O24" s="144"/>
      <c r="P24" s="545">
        <f t="shared" si="1"/>
        <v>0</v>
      </c>
      <c r="Q24" s="546">
        <f t="shared" si="2"/>
        <v>0</v>
      </c>
      <c r="R24" s="554">
        <f t="shared" si="3"/>
        <v>0</v>
      </c>
      <c r="S24" s="145">
        <f t="shared" si="4"/>
        <v>0</v>
      </c>
      <c r="T24" s="858">
        <f>IF($K24=0,0,IF(AND('1.Stratégie'!$J24&gt;1,$B24&lt;&gt;"SSD"),$K24,0))</f>
        <v>0</v>
      </c>
      <c r="U24" s="559"/>
    </row>
    <row r="25" spans="1:21" s="117" customFormat="1" ht="12.75" x14ac:dyDescent="0.15">
      <c r="A25" s="543">
        <v>18</v>
      </c>
      <c r="B25" s="544">
        <f>'1.Stratégie'!B25</f>
        <v>0</v>
      </c>
      <c r="C25" s="545">
        <f>'2.Equipe'!F24</f>
        <v>0</v>
      </c>
      <c r="D25" s="546">
        <f>'2.Equipe'!H24</f>
        <v>0</v>
      </c>
      <c r="E25" s="546">
        <f>'2.Equipe'!J24</f>
        <v>0</v>
      </c>
      <c r="F25" s="145">
        <f>'2.Equipe'!L24</f>
        <v>0</v>
      </c>
      <c r="G25" s="143"/>
      <c r="H25" s="132"/>
      <c r="I25" s="554">
        <f t="shared" si="5"/>
        <v>0</v>
      </c>
      <c r="J25" s="145">
        <f t="shared" si="0"/>
        <v>0</v>
      </c>
      <c r="K25" s="143"/>
      <c r="L25" s="132"/>
      <c r="M25" s="132"/>
      <c r="N25" s="132"/>
      <c r="O25" s="144"/>
      <c r="P25" s="545">
        <f t="shared" si="1"/>
        <v>0</v>
      </c>
      <c r="Q25" s="546">
        <f t="shared" si="2"/>
        <v>0</v>
      </c>
      <c r="R25" s="554">
        <f t="shared" si="3"/>
        <v>0</v>
      </c>
      <c r="S25" s="145">
        <f t="shared" si="4"/>
        <v>0</v>
      </c>
      <c r="T25" s="858">
        <f>IF($K25=0,0,IF(AND('1.Stratégie'!$J25&gt;1,$B25&lt;&gt;"SSD"),$K25,0))</f>
        <v>0</v>
      </c>
      <c r="U25" s="559"/>
    </row>
    <row r="26" spans="1:21" s="117" customFormat="1" ht="12.75" x14ac:dyDescent="0.15">
      <c r="A26" s="543">
        <v>19</v>
      </c>
      <c r="B26" s="544">
        <f>'1.Stratégie'!B26</f>
        <v>0</v>
      </c>
      <c r="C26" s="545">
        <f>'2.Equipe'!F25</f>
        <v>0</v>
      </c>
      <c r="D26" s="546">
        <f>'2.Equipe'!H25</f>
        <v>0</v>
      </c>
      <c r="E26" s="546">
        <f>'2.Equipe'!J25</f>
        <v>0</v>
      </c>
      <c r="F26" s="145">
        <f>'2.Equipe'!L25</f>
        <v>0</v>
      </c>
      <c r="G26" s="143"/>
      <c r="H26" s="132"/>
      <c r="I26" s="554">
        <f t="shared" si="5"/>
        <v>0</v>
      </c>
      <c r="J26" s="145">
        <f t="shared" si="0"/>
        <v>0</v>
      </c>
      <c r="K26" s="143"/>
      <c r="L26" s="132"/>
      <c r="M26" s="132"/>
      <c r="N26" s="132"/>
      <c r="O26" s="144"/>
      <c r="P26" s="545">
        <f t="shared" si="1"/>
        <v>0</v>
      </c>
      <c r="Q26" s="546">
        <f t="shared" si="2"/>
        <v>0</v>
      </c>
      <c r="R26" s="554">
        <f t="shared" si="3"/>
        <v>0</v>
      </c>
      <c r="S26" s="145">
        <f t="shared" si="4"/>
        <v>0</v>
      </c>
      <c r="T26" s="858">
        <f>IF($K26=0,0,IF(AND('1.Stratégie'!$J26&gt;1,$B26&lt;&gt;"SSD"),$K26,0))</f>
        <v>0</v>
      </c>
      <c r="U26" s="559"/>
    </row>
    <row r="27" spans="1:21" s="117" customFormat="1" ht="12.75" x14ac:dyDescent="0.15">
      <c r="A27" s="543">
        <v>20</v>
      </c>
      <c r="B27" s="544">
        <f>'1.Stratégie'!B27</f>
        <v>0</v>
      </c>
      <c r="C27" s="545">
        <f>'2.Equipe'!F26</f>
        <v>0</v>
      </c>
      <c r="D27" s="546">
        <f>'2.Equipe'!H26</f>
        <v>0</v>
      </c>
      <c r="E27" s="546">
        <f>'2.Equipe'!J26</f>
        <v>0</v>
      </c>
      <c r="F27" s="145">
        <f>'2.Equipe'!L26</f>
        <v>0</v>
      </c>
      <c r="G27" s="143"/>
      <c r="H27" s="132"/>
      <c r="I27" s="554">
        <f t="shared" si="5"/>
        <v>0</v>
      </c>
      <c r="J27" s="145">
        <f t="shared" si="0"/>
        <v>0</v>
      </c>
      <c r="K27" s="143"/>
      <c r="L27" s="132"/>
      <c r="M27" s="132"/>
      <c r="N27" s="132"/>
      <c r="O27" s="144"/>
      <c r="P27" s="545">
        <f t="shared" si="1"/>
        <v>0</v>
      </c>
      <c r="Q27" s="546">
        <f t="shared" si="2"/>
        <v>0</v>
      </c>
      <c r="R27" s="554">
        <f t="shared" si="3"/>
        <v>0</v>
      </c>
      <c r="S27" s="145">
        <f t="shared" si="4"/>
        <v>0</v>
      </c>
      <c r="T27" s="858">
        <f>IF($K27=0,0,IF(AND('1.Stratégie'!$J27&gt;1,$B27&lt;&gt;"SSD"),$K27,0))</f>
        <v>0</v>
      </c>
      <c r="U27" s="559"/>
    </row>
    <row r="28" spans="1:21" s="117" customFormat="1" ht="12.75" x14ac:dyDescent="0.15">
      <c r="A28" s="543">
        <v>21</v>
      </c>
      <c r="B28" s="544">
        <f>'1.Stratégie'!B28</f>
        <v>0</v>
      </c>
      <c r="C28" s="545">
        <f>'2.Equipe'!F27</f>
        <v>0</v>
      </c>
      <c r="D28" s="546">
        <f>'2.Equipe'!H27</f>
        <v>0</v>
      </c>
      <c r="E28" s="546">
        <f>'2.Equipe'!J27</f>
        <v>0</v>
      </c>
      <c r="F28" s="145">
        <f>'2.Equipe'!L27</f>
        <v>0</v>
      </c>
      <c r="G28" s="143"/>
      <c r="H28" s="132"/>
      <c r="I28" s="554">
        <f t="shared" si="5"/>
        <v>0</v>
      </c>
      <c r="J28" s="145">
        <f t="shared" si="0"/>
        <v>0</v>
      </c>
      <c r="K28" s="143"/>
      <c r="L28" s="132"/>
      <c r="M28" s="132"/>
      <c r="N28" s="132"/>
      <c r="O28" s="144"/>
      <c r="P28" s="545">
        <f t="shared" si="1"/>
        <v>0</v>
      </c>
      <c r="Q28" s="546">
        <f t="shared" si="2"/>
        <v>0</v>
      </c>
      <c r="R28" s="554">
        <f t="shared" si="3"/>
        <v>0</v>
      </c>
      <c r="S28" s="145">
        <f t="shared" si="4"/>
        <v>0</v>
      </c>
      <c r="T28" s="858">
        <f>IF($K28=0,0,IF(AND('1.Stratégie'!$J28&gt;1,$B28&lt;&gt;"SSD"),$K28,0))</f>
        <v>0</v>
      </c>
      <c r="U28" s="559"/>
    </row>
    <row r="29" spans="1:21" s="117" customFormat="1" ht="12.75" x14ac:dyDescent="0.15">
      <c r="A29" s="543">
        <v>22</v>
      </c>
      <c r="B29" s="544">
        <f>'1.Stratégie'!B29</f>
        <v>0</v>
      </c>
      <c r="C29" s="545">
        <f>'2.Equipe'!F28</f>
        <v>0</v>
      </c>
      <c r="D29" s="546">
        <f>'2.Equipe'!H28</f>
        <v>0</v>
      </c>
      <c r="E29" s="546">
        <f>'2.Equipe'!J28</f>
        <v>0</v>
      </c>
      <c r="F29" s="145">
        <f>'2.Equipe'!L28</f>
        <v>0</v>
      </c>
      <c r="G29" s="143"/>
      <c r="H29" s="132"/>
      <c r="I29" s="554">
        <f t="shared" si="5"/>
        <v>0</v>
      </c>
      <c r="J29" s="145">
        <f t="shared" si="0"/>
        <v>0</v>
      </c>
      <c r="K29" s="143"/>
      <c r="L29" s="132"/>
      <c r="M29" s="132"/>
      <c r="N29" s="132"/>
      <c r="O29" s="144"/>
      <c r="P29" s="545">
        <f t="shared" si="1"/>
        <v>0</v>
      </c>
      <c r="Q29" s="546">
        <f t="shared" si="2"/>
        <v>0</v>
      </c>
      <c r="R29" s="554">
        <f t="shared" si="3"/>
        <v>0</v>
      </c>
      <c r="S29" s="145">
        <f t="shared" si="4"/>
        <v>0</v>
      </c>
      <c r="T29" s="858">
        <f>IF($K29=0,0,IF(AND('1.Stratégie'!$J29&gt;1,$B29&lt;&gt;"SSD"),$K29,0))</f>
        <v>0</v>
      </c>
      <c r="U29" s="559"/>
    </row>
    <row r="30" spans="1:21" s="117" customFormat="1" ht="12.75" x14ac:dyDescent="0.15">
      <c r="A30" s="543">
        <v>23</v>
      </c>
      <c r="B30" s="544">
        <f>'1.Stratégie'!B30</f>
        <v>0</v>
      </c>
      <c r="C30" s="545">
        <f>'2.Equipe'!F29</f>
        <v>0</v>
      </c>
      <c r="D30" s="546">
        <f>'2.Equipe'!H29</f>
        <v>0</v>
      </c>
      <c r="E30" s="546">
        <f>'2.Equipe'!J29</f>
        <v>0</v>
      </c>
      <c r="F30" s="145">
        <f>'2.Equipe'!L29</f>
        <v>0</v>
      </c>
      <c r="G30" s="143"/>
      <c r="H30" s="132"/>
      <c r="I30" s="554">
        <f t="shared" si="5"/>
        <v>0</v>
      </c>
      <c r="J30" s="145">
        <f t="shared" si="0"/>
        <v>0</v>
      </c>
      <c r="K30" s="143"/>
      <c r="L30" s="132"/>
      <c r="M30" s="132"/>
      <c r="N30" s="132"/>
      <c r="O30" s="144"/>
      <c r="P30" s="545">
        <f t="shared" si="1"/>
        <v>0</v>
      </c>
      <c r="Q30" s="546">
        <f t="shared" si="2"/>
        <v>0</v>
      </c>
      <c r="R30" s="554">
        <f t="shared" si="3"/>
        <v>0</v>
      </c>
      <c r="S30" s="145">
        <f t="shared" si="4"/>
        <v>0</v>
      </c>
      <c r="T30" s="858">
        <f>IF($K30=0,0,IF(AND('1.Stratégie'!$J30&gt;1,$B30&lt;&gt;"SSD"),$K30,0))</f>
        <v>0</v>
      </c>
      <c r="U30" s="559"/>
    </row>
    <row r="31" spans="1:21" s="117" customFormat="1" ht="12.75" x14ac:dyDescent="0.15">
      <c r="A31" s="543">
        <v>24</v>
      </c>
      <c r="B31" s="544">
        <f>'1.Stratégie'!B31</f>
        <v>0</v>
      </c>
      <c r="C31" s="545">
        <f>'2.Equipe'!F30</f>
        <v>0</v>
      </c>
      <c r="D31" s="546">
        <f>'2.Equipe'!H30</f>
        <v>0</v>
      </c>
      <c r="E31" s="546">
        <f>'2.Equipe'!J30</f>
        <v>0</v>
      </c>
      <c r="F31" s="145">
        <f>'2.Equipe'!L30</f>
        <v>0</v>
      </c>
      <c r="G31" s="143"/>
      <c r="H31" s="132"/>
      <c r="I31" s="554">
        <f t="shared" si="5"/>
        <v>0</v>
      </c>
      <c r="J31" s="145">
        <f t="shared" si="0"/>
        <v>0</v>
      </c>
      <c r="K31" s="143"/>
      <c r="L31" s="132"/>
      <c r="M31" s="132"/>
      <c r="N31" s="132"/>
      <c r="O31" s="144"/>
      <c r="P31" s="545">
        <f t="shared" si="1"/>
        <v>0</v>
      </c>
      <c r="Q31" s="546">
        <f t="shared" si="2"/>
        <v>0</v>
      </c>
      <c r="R31" s="554">
        <f t="shared" si="3"/>
        <v>0</v>
      </c>
      <c r="S31" s="145">
        <f t="shared" si="4"/>
        <v>0</v>
      </c>
      <c r="T31" s="858">
        <f>IF($K31=0,0,IF(AND('1.Stratégie'!$J31&gt;1,$B31&lt;&gt;"SSD"),$K31,0))</f>
        <v>0</v>
      </c>
      <c r="U31" s="559"/>
    </row>
    <row r="32" spans="1:21" s="117" customFormat="1" ht="12.75" x14ac:dyDescent="0.15">
      <c r="A32" s="543">
        <v>25</v>
      </c>
      <c r="B32" s="544">
        <f>'1.Stratégie'!B32</f>
        <v>0</v>
      </c>
      <c r="C32" s="545">
        <f>'2.Equipe'!F31</f>
        <v>0</v>
      </c>
      <c r="D32" s="546">
        <f>'2.Equipe'!H31</f>
        <v>0</v>
      </c>
      <c r="E32" s="546">
        <f>'2.Equipe'!J31</f>
        <v>0</v>
      </c>
      <c r="F32" s="145">
        <f>'2.Equipe'!L31</f>
        <v>0</v>
      </c>
      <c r="G32" s="143"/>
      <c r="H32" s="132"/>
      <c r="I32" s="554">
        <f t="shared" si="5"/>
        <v>0</v>
      </c>
      <c r="J32" s="145">
        <f t="shared" si="0"/>
        <v>0</v>
      </c>
      <c r="K32" s="143"/>
      <c r="L32" s="132"/>
      <c r="M32" s="132"/>
      <c r="N32" s="132"/>
      <c r="O32" s="144"/>
      <c r="P32" s="545">
        <f t="shared" si="1"/>
        <v>0</v>
      </c>
      <c r="Q32" s="546">
        <f t="shared" si="2"/>
        <v>0</v>
      </c>
      <c r="R32" s="554">
        <f t="shared" si="3"/>
        <v>0</v>
      </c>
      <c r="S32" s="145">
        <f t="shared" si="4"/>
        <v>0</v>
      </c>
      <c r="T32" s="858">
        <f>IF($K32=0,0,IF(AND('1.Stratégie'!$J32&gt;1,$B32&lt;&gt;"SSD"),$K32,0))</f>
        <v>0</v>
      </c>
      <c r="U32" s="559"/>
    </row>
    <row r="33" spans="1:21" s="117" customFormat="1" ht="12.75" x14ac:dyDescent="0.15">
      <c r="A33" s="543">
        <v>26</v>
      </c>
      <c r="B33" s="544">
        <f>'1.Stratégie'!B33</f>
        <v>0</v>
      </c>
      <c r="C33" s="545">
        <f>'2.Equipe'!F32</f>
        <v>0</v>
      </c>
      <c r="D33" s="546">
        <f>'2.Equipe'!H32</f>
        <v>0</v>
      </c>
      <c r="E33" s="546">
        <f>'2.Equipe'!J32</f>
        <v>0</v>
      </c>
      <c r="F33" s="145">
        <f>'2.Equipe'!L32</f>
        <v>0</v>
      </c>
      <c r="G33" s="143"/>
      <c r="H33" s="132"/>
      <c r="I33" s="554">
        <f t="shared" si="5"/>
        <v>0</v>
      </c>
      <c r="J33" s="145">
        <f t="shared" si="0"/>
        <v>0</v>
      </c>
      <c r="K33" s="143"/>
      <c r="L33" s="132"/>
      <c r="M33" s="132"/>
      <c r="N33" s="132"/>
      <c r="O33" s="144"/>
      <c r="P33" s="545">
        <f t="shared" si="1"/>
        <v>0</v>
      </c>
      <c r="Q33" s="546">
        <f t="shared" si="2"/>
        <v>0</v>
      </c>
      <c r="R33" s="554">
        <f t="shared" si="3"/>
        <v>0</v>
      </c>
      <c r="S33" s="145">
        <f t="shared" si="4"/>
        <v>0</v>
      </c>
      <c r="T33" s="858">
        <f>IF($K33=0,0,IF(AND('1.Stratégie'!$J33&gt;1,$B33&lt;&gt;"SSD"),$K33,0))</f>
        <v>0</v>
      </c>
      <c r="U33" s="559"/>
    </row>
    <row r="34" spans="1:21" s="117" customFormat="1" ht="12.75" x14ac:dyDescent="0.15">
      <c r="A34" s="543">
        <v>27</v>
      </c>
      <c r="B34" s="544">
        <f>'1.Stratégie'!B34</f>
        <v>0</v>
      </c>
      <c r="C34" s="545">
        <f>'2.Equipe'!F33</f>
        <v>0</v>
      </c>
      <c r="D34" s="546">
        <f>'2.Equipe'!H33</f>
        <v>0</v>
      </c>
      <c r="E34" s="546">
        <f>'2.Equipe'!J33</f>
        <v>0</v>
      </c>
      <c r="F34" s="145">
        <f>'2.Equipe'!L33</f>
        <v>0</v>
      </c>
      <c r="G34" s="143"/>
      <c r="H34" s="132"/>
      <c r="I34" s="554">
        <f t="shared" si="5"/>
        <v>0</v>
      </c>
      <c r="J34" s="145">
        <f t="shared" si="0"/>
        <v>0</v>
      </c>
      <c r="K34" s="143"/>
      <c r="L34" s="132"/>
      <c r="M34" s="132"/>
      <c r="N34" s="132"/>
      <c r="O34" s="144"/>
      <c r="P34" s="545">
        <f t="shared" si="1"/>
        <v>0</v>
      </c>
      <c r="Q34" s="546">
        <f t="shared" si="2"/>
        <v>0</v>
      </c>
      <c r="R34" s="554">
        <f t="shared" si="3"/>
        <v>0</v>
      </c>
      <c r="S34" s="145">
        <f t="shared" si="4"/>
        <v>0</v>
      </c>
      <c r="T34" s="858">
        <f>IF($K34=0,0,IF(AND('1.Stratégie'!$J34&gt;1,$B34&lt;&gt;"SSD"),$K34,0))</f>
        <v>0</v>
      </c>
      <c r="U34" s="559"/>
    </row>
    <row r="35" spans="1:21" s="117" customFormat="1" ht="12.75" x14ac:dyDescent="0.15">
      <c r="A35" s="543">
        <v>28</v>
      </c>
      <c r="B35" s="544">
        <f>'1.Stratégie'!B35</f>
        <v>0</v>
      </c>
      <c r="C35" s="545">
        <f>'2.Equipe'!F34</f>
        <v>0</v>
      </c>
      <c r="D35" s="546">
        <f>'2.Equipe'!H34</f>
        <v>0</v>
      </c>
      <c r="E35" s="546">
        <f>'2.Equipe'!J34</f>
        <v>0</v>
      </c>
      <c r="F35" s="145">
        <f>'2.Equipe'!L34</f>
        <v>0</v>
      </c>
      <c r="G35" s="143"/>
      <c r="H35" s="132"/>
      <c r="I35" s="554">
        <f t="shared" si="5"/>
        <v>0</v>
      </c>
      <c r="J35" s="145">
        <f t="shared" si="0"/>
        <v>0</v>
      </c>
      <c r="K35" s="143"/>
      <c r="L35" s="132"/>
      <c r="M35" s="132"/>
      <c r="N35" s="132"/>
      <c r="O35" s="144"/>
      <c r="P35" s="545">
        <f t="shared" si="1"/>
        <v>0</v>
      </c>
      <c r="Q35" s="546">
        <f t="shared" si="2"/>
        <v>0</v>
      </c>
      <c r="R35" s="554">
        <f t="shared" si="3"/>
        <v>0</v>
      </c>
      <c r="S35" s="145">
        <f t="shared" si="4"/>
        <v>0</v>
      </c>
      <c r="T35" s="858">
        <f>IF($K35=0,0,IF(AND('1.Stratégie'!$J35&gt;1,$B35&lt;&gt;"SSD"),$K35,0))</f>
        <v>0</v>
      </c>
      <c r="U35" s="559"/>
    </row>
    <row r="36" spans="1:21" s="117" customFormat="1" ht="12.75" x14ac:dyDescent="0.15">
      <c r="A36" s="543">
        <v>29</v>
      </c>
      <c r="B36" s="544">
        <f>'1.Stratégie'!B36</f>
        <v>0</v>
      </c>
      <c r="C36" s="545">
        <f>'2.Equipe'!F35</f>
        <v>0</v>
      </c>
      <c r="D36" s="546">
        <f>'2.Equipe'!H35</f>
        <v>0</v>
      </c>
      <c r="E36" s="546">
        <f>'2.Equipe'!J35</f>
        <v>0</v>
      </c>
      <c r="F36" s="145">
        <f>'2.Equipe'!L35</f>
        <v>0</v>
      </c>
      <c r="G36" s="143"/>
      <c r="H36" s="132"/>
      <c r="I36" s="554">
        <f t="shared" si="5"/>
        <v>0</v>
      </c>
      <c r="J36" s="145">
        <f t="shared" si="0"/>
        <v>0</v>
      </c>
      <c r="K36" s="143"/>
      <c r="L36" s="132"/>
      <c r="M36" s="132"/>
      <c r="N36" s="132"/>
      <c r="O36" s="144"/>
      <c r="P36" s="545">
        <f t="shared" si="1"/>
        <v>0</v>
      </c>
      <c r="Q36" s="546">
        <f t="shared" si="2"/>
        <v>0</v>
      </c>
      <c r="R36" s="554">
        <f t="shared" si="3"/>
        <v>0</v>
      </c>
      <c r="S36" s="145">
        <f t="shared" si="4"/>
        <v>0</v>
      </c>
      <c r="T36" s="858">
        <f>IF($K36=0,0,IF(AND('1.Stratégie'!$J36&gt;1,$B36&lt;&gt;"SSD"),$K36,0))</f>
        <v>0</v>
      </c>
      <c r="U36" s="559"/>
    </row>
    <row r="37" spans="1:21" s="117" customFormat="1" ht="12.75" x14ac:dyDescent="0.15">
      <c r="A37" s="547">
        <v>30</v>
      </c>
      <c r="B37" s="544">
        <f>'1.Stratégie'!B37</f>
        <v>0</v>
      </c>
      <c r="C37" s="545">
        <f>'2.Equipe'!F36</f>
        <v>0</v>
      </c>
      <c r="D37" s="546">
        <f>'2.Equipe'!H36</f>
        <v>0</v>
      </c>
      <c r="E37" s="546">
        <f>'2.Equipe'!J36</f>
        <v>0</v>
      </c>
      <c r="F37" s="145">
        <f>'2.Equipe'!L36</f>
        <v>0</v>
      </c>
      <c r="G37" s="143"/>
      <c r="H37" s="132"/>
      <c r="I37" s="554">
        <f t="shared" si="5"/>
        <v>0</v>
      </c>
      <c r="J37" s="145">
        <f t="shared" si="0"/>
        <v>0</v>
      </c>
      <c r="K37" s="143"/>
      <c r="L37" s="132"/>
      <c r="M37" s="132"/>
      <c r="N37" s="132"/>
      <c r="O37" s="144"/>
      <c r="P37" s="545">
        <f t="shared" si="1"/>
        <v>0</v>
      </c>
      <c r="Q37" s="546">
        <f t="shared" si="2"/>
        <v>0</v>
      </c>
      <c r="R37" s="554">
        <f t="shared" si="3"/>
        <v>0</v>
      </c>
      <c r="S37" s="145">
        <f t="shared" si="4"/>
        <v>0</v>
      </c>
      <c r="T37" s="858">
        <f>IF($K37=0,0,IF(AND('1.Stratégie'!$J37&gt;1,$B37&lt;&gt;"SSD"),$K37,0))</f>
        <v>0</v>
      </c>
      <c r="U37" s="559"/>
    </row>
    <row r="38" spans="1:21" s="38" customFormat="1" thickBot="1" x14ac:dyDescent="0.2">
      <c r="A38" s="548"/>
      <c r="B38" s="549" t="str">
        <f>"TOTAL "&amp;$O$4</f>
        <v>TOTAL 0</v>
      </c>
      <c r="C38" s="550">
        <f t="shared" ref="C38:H38" si="6">SUM(C8:C37)</f>
        <v>0</v>
      </c>
      <c r="D38" s="551">
        <f t="shared" si="6"/>
        <v>0</v>
      </c>
      <c r="E38" s="551">
        <f t="shared" si="6"/>
        <v>0</v>
      </c>
      <c r="F38" s="146">
        <f t="shared" si="6"/>
        <v>0</v>
      </c>
      <c r="G38" s="555">
        <f t="shared" si="6"/>
        <v>0</v>
      </c>
      <c r="H38" s="556">
        <f t="shared" si="6"/>
        <v>0</v>
      </c>
      <c r="I38" s="551">
        <f t="shared" ref="I38:S38" si="7">SUM(I8:I37)</f>
        <v>0</v>
      </c>
      <c r="J38" s="146">
        <f t="shared" si="7"/>
        <v>0</v>
      </c>
      <c r="K38" s="555">
        <f t="shared" si="7"/>
        <v>0</v>
      </c>
      <c r="L38" s="556">
        <f t="shared" si="7"/>
        <v>0</v>
      </c>
      <c r="M38" s="556">
        <f t="shared" si="7"/>
        <v>0</v>
      </c>
      <c r="N38" s="556">
        <f t="shared" si="7"/>
        <v>0</v>
      </c>
      <c r="O38" s="557">
        <f t="shared" si="7"/>
        <v>0</v>
      </c>
      <c r="P38" s="550">
        <f t="shared" si="7"/>
        <v>0</v>
      </c>
      <c r="Q38" s="551">
        <f t="shared" si="7"/>
        <v>0</v>
      </c>
      <c r="R38" s="551">
        <f t="shared" si="7"/>
        <v>0</v>
      </c>
      <c r="S38" s="146">
        <f t="shared" si="7"/>
        <v>0</v>
      </c>
      <c r="T38" s="859">
        <f t="shared" ref="T38" si="8">SUM(T8:T37)</f>
        <v>0</v>
      </c>
      <c r="U38" s="30"/>
    </row>
    <row r="39" spans="1:21" ht="14.25" thickTop="1" x14ac:dyDescent="0.15">
      <c r="A39" s="552"/>
      <c r="B39" s="553"/>
      <c r="C39" s="522"/>
      <c r="D39" s="522"/>
      <c r="E39" s="522"/>
      <c r="F39" s="522"/>
      <c r="G39" s="522"/>
      <c r="H39" s="522"/>
      <c r="I39" s="522"/>
      <c r="J39" s="522"/>
      <c r="K39" s="522"/>
      <c r="L39" s="522"/>
      <c r="M39" s="522"/>
      <c r="N39" s="522"/>
      <c r="O39" s="522"/>
      <c r="P39" s="522"/>
      <c r="Q39" s="522"/>
      <c r="R39" s="522"/>
      <c r="S39" s="522"/>
      <c r="T39" s="522"/>
    </row>
    <row r="40" spans="1:21" x14ac:dyDescent="0.15">
      <c r="B40" s="507"/>
    </row>
    <row r="41" spans="1:21" x14ac:dyDescent="0.15">
      <c r="B41" s="508"/>
    </row>
    <row r="42" spans="1:21" x14ac:dyDescent="0.15">
      <c r="B42" s="508"/>
      <c r="H42" s="508"/>
      <c r="I42" s="508"/>
      <c r="J42" s="508"/>
      <c r="K42" s="508"/>
    </row>
    <row r="43" spans="1:21" x14ac:dyDescent="0.15">
      <c r="B43" s="508"/>
    </row>
    <row r="44" spans="1:21" x14ac:dyDescent="0.15">
      <c r="B44" s="508"/>
    </row>
    <row r="45" spans="1:21" x14ac:dyDescent="0.15">
      <c r="B45" s="508"/>
    </row>
    <row r="46" spans="1:21" x14ac:dyDescent="0.15">
      <c r="G46" s="509"/>
      <c r="H46" s="509"/>
      <c r="I46" s="509"/>
      <c r="J46" s="509"/>
      <c r="K46" s="509"/>
    </row>
  </sheetData>
  <sheetProtection password="CD7B" sheet="1" objects="1" scenarios="1"/>
  <mergeCells count="3">
    <mergeCell ref="B2:R2"/>
    <mergeCell ref="A5:A6"/>
    <mergeCell ref="B5:B6"/>
  </mergeCells>
  <phoneticPr fontId="16" type="noConversion"/>
  <dataValidations count="1">
    <dataValidation allowBlank="1" showInputMessage="1" showErrorMessage="1" promptTitle="Feauile Equipes" prompt="Ne saisir aucune donnée sur cette feuilles. Les  y sont faits automatiquement" sqref="H4:I4 K4:N4 P4:Q4" xr:uid="{00000000-0002-0000-0700-000000000000}"/>
  </dataValidations>
  <pageMargins left="0.27559055118110237" right="0.19685039370078741" top="0.27559055118110237" bottom="0.23622047244094491" header="0.19685039370078741" footer="0.19685039370078741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H55"/>
  <sheetViews>
    <sheetView showGridLines="0" topLeftCell="A4" zoomScale="110" zoomScaleNormal="110" workbookViewId="0">
      <selection activeCell="G11" sqref="G11:K21"/>
    </sheetView>
  </sheetViews>
  <sheetFormatPr defaultColWidth="11.4609375" defaultRowHeight="12.75" x14ac:dyDescent="0.15"/>
  <cols>
    <col min="1" max="1" width="4.3125" style="49" customWidth="1"/>
    <col min="2" max="2" width="21.57421875" style="1" customWidth="1"/>
    <col min="3" max="3" width="11.59375" style="1" customWidth="1"/>
    <col min="4" max="4" width="12.26953125" style="1" customWidth="1"/>
    <col min="5" max="5" width="10.515625" style="1" customWidth="1"/>
    <col min="6" max="6" width="9.9765625" style="1" customWidth="1"/>
    <col min="7" max="7" width="9.03515625" style="1" customWidth="1"/>
    <col min="8" max="8" width="12.40625" style="1" customWidth="1"/>
    <col min="9" max="9" width="11.32421875" style="1" customWidth="1"/>
    <col min="10" max="11" width="10.3828125" style="1" customWidth="1"/>
    <col min="12" max="12" width="11.4609375" style="1"/>
    <col min="13" max="13" width="11.0546875" style="1" customWidth="1"/>
    <col min="14" max="14" width="1.6171875" style="1" customWidth="1"/>
    <col min="15" max="34" width="11.4609375" style="49"/>
    <col min="35" max="16384" width="11.4609375" style="1"/>
  </cols>
  <sheetData>
    <row r="2" spans="1:34" ht="14.25" x14ac:dyDescent="0.15">
      <c r="A2" s="17"/>
      <c r="B2" s="560" t="str">
        <f>'1.Stratégie'!$B$2</f>
        <v>Microplanification Campagne de vaccination préventive contre la Rougeole et la Rubeole (RR), 2023</v>
      </c>
      <c r="C2"/>
      <c r="D2"/>
      <c r="E2"/>
      <c r="F2"/>
      <c r="G2"/>
      <c r="H2"/>
      <c r="I2"/>
      <c r="J2"/>
      <c r="K2"/>
      <c r="L2"/>
      <c r="M2"/>
    </row>
    <row r="3" spans="1:34" x14ac:dyDescent="0.15">
      <c r="A3" s="17"/>
      <c r="B3"/>
      <c r="C3"/>
      <c r="D3"/>
      <c r="E3"/>
      <c r="F3"/>
      <c r="G3"/>
      <c r="H3"/>
      <c r="I3"/>
      <c r="J3"/>
      <c r="K3"/>
      <c r="L3"/>
      <c r="M3"/>
    </row>
    <row r="4" spans="1:34" ht="14.25" x14ac:dyDescent="0.15">
      <c r="A4" s="17"/>
      <c r="B4" s="560" t="s">
        <v>282</v>
      </c>
      <c r="C4"/>
      <c r="D4"/>
      <c r="E4"/>
      <c r="F4"/>
      <c r="G4"/>
      <c r="H4"/>
      <c r="I4"/>
      <c r="J4"/>
      <c r="K4"/>
      <c r="L4"/>
      <c r="M4"/>
    </row>
    <row r="5" spans="1:34" ht="10.5" customHeight="1" x14ac:dyDescent="0.15">
      <c r="A5" s="17"/>
      <c r="B5"/>
      <c r="C5" s="165"/>
      <c r="D5"/>
      <c r="E5"/>
      <c r="F5"/>
      <c r="G5"/>
      <c r="H5"/>
      <c r="I5"/>
      <c r="J5"/>
      <c r="K5"/>
      <c r="L5"/>
      <c r="M5"/>
    </row>
    <row r="6" spans="1:34" s="50" customFormat="1" ht="18.75" thickBot="1" x14ac:dyDescent="0.25">
      <c r="A6" s="17"/>
      <c r="B6" s="127" t="str">
        <f>'1.Stratégie'!$B$4</f>
        <v>PAYS :</v>
      </c>
      <c r="C6" s="860" t="str">
        <f>'1.Stratégie'!$C$4</f>
        <v>CAMEROUN</v>
      </c>
      <c r="D6" s="861"/>
      <c r="E6" s="861"/>
      <c r="F6" s="21"/>
      <c r="G6" s="129" t="str">
        <f>'1.Stratégie'!$D$4</f>
        <v>REGION :</v>
      </c>
      <c r="H6" s="826">
        <f>'1.Stratégie'!$E$4</f>
        <v>0</v>
      </c>
      <c r="I6" s="828"/>
      <c r="J6" s="21"/>
      <c r="K6" s="128" t="str">
        <f>IF(('1.Stratégie'!$F$4)="","",'1.Stratégie'!$F$4)</f>
        <v>DISTRICT :</v>
      </c>
      <c r="L6" s="826">
        <f>IF(('1.Stratégie'!$G$4)="","",'1.Stratégie'!$G$4)</f>
        <v>0</v>
      </c>
      <c r="M6" s="826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</row>
    <row r="7" spans="1:34" x14ac:dyDescent="0.15">
      <c r="A7" s="17"/>
      <c r="B7"/>
      <c r="C7"/>
      <c r="D7"/>
      <c r="E7"/>
      <c r="F7"/>
      <c r="G7"/>
      <c r="H7"/>
      <c r="I7"/>
      <c r="J7"/>
      <c r="K7"/>
      <c r="L7"/>
      <c r="M7"/>
    </row>
    <row r="8" spans="1:34" s="51" customFormat="1" x14ac:dyDescent="0.15">
      <c r="A8" s="561"/>
      <c r="B8" s="562"/>
      <c r="C8" s="563" t="s">
        <v>139</v>
      </c>
      <c r="D8" s="183"/>
      <c r="E8" s="183"/>
      <c r="F8" s="564"/>
      <c r="G8" s="563" t="s">
        <v>140</v>
      </c>
      <c r="H8" s="564"/>
      <c r="I8" s="563" t="s">
        <v>141</v>
      </c>
      <c r="J8" s="183"/>
      <c r="K8" s="183"/>
      <c r="L8" s="183"/>
      <c r="M8" s="564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</row>
    <row r="9" spans="1:34" s="16" customFormat="1" ht="35.25" x14ac:dyDescent="0.15">
      <c r="A9" s="149" t="s">
        <v>2</v>
      </c>
      <c r="B9" s="150" t="str">
        <f>+'1.Stratégie'!$B$6</f>
        <v>AIRE DE SANTE</v>
      </c>
      <c r="C9" s="668" t="s">
        <v>142</v>
      </c>
      <c r="D9" s="668" t="s">
        <v>143</v>
      </c>
      <c r="E9" s="668" t="s">
        <v>144</v>
      </c>
      <c r="F9" s="668" t="s">
        <v>145</v>
      </c>
      <c r="G9" s="147" t="s">
        <v>146</v>
      </c>
      <c r="H9" s="147" t="s">
        <v>147</v>
      </c>
      <c r="I9" s="147" t="s">
        <v>216</v>
      </c>
      <c r="J9" s="147" t="s">
        <v>148</v>
      </c>
      <c r="K9" s="147" t="s">
        <v>149</v>
      </c>
      <c r="L9" s="668" t="s">
        <v>150</v>
      </c>
      <c r="M9" s="668" t="s">
        <v>151</v>
      </c>
      <c r="N9" s="510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</row>
    <row r="10" spans="1:34" s="3" customFormat="1" x14ac:dyDescent="0.15">
      <c r="A10" s="151"/>
      <c r="B10" s="148"/>
      <c r="C10" s="669" t="s">
        <v>7</v>
      </c>
      <c r="D10" s="669" t="s">
        <v>8</v>
      </c>
      <c r="E10" s="669" t="s">
        <v>9</v>
      </c>
      <c r="F10" s="669" t="s">
        <v>10</v>
      </c>
      <c r="G10" s="148" t="s">
        <v>11</v>
      </c>
      <c r="H10" s="148" t="s">
        <v>12</v>
      </c>
      <c r="I10" s="148" t="s">
        <v>13</v>
      </c>
      <c r="J10" s="148" t="s">
        <v>14</v>
      </c>
      <c r="K10" s="148" t="s">
        <v>15</v>
      </c>
      <c r="L10" s="669" t="s">
        <v>16</v>
      </c>
      <c r="M10" s="669" t="s">
        <v>17</v>
      </c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</row>
    <row r="11" spans="1:34" s="121" customFormat="1" ht="15" customHeight="1" x14ac:dyDescent="0.15">
      <c r="A11" s="152">
        <v>1</v>
      </c>
      <c r="B11" s="153">
        <f>'1.Stratégie'!B8</f>
        <v>0</v>
      </c>
      <c r="C11" s="670">
        <f>SUM('4.Vaccin_intrant'!Y8:Z8)</f>
        <v>0</v>
      </c>
      <c r="D11" s="670">
        <f>ROUNDUP(C11/100,0)</f>
        <v>0</v>
      </c>
      <c r="E11" s="670">
        <f t="shared" ref="E11:E40" si="0">$D11*$L$48+$L$47*$C11</f>
        <v>0</v>
      </c>
      <c r="F11" s="670">
        <f t="shared" ref="F11:F40" si="1">$D11*$M$48</f>
        <v>0</v>
      </c>
      <c r="G11" s="133"/>
      <c r="H11" s="755"/>
      <c r="I11" s="133"/>
      <c r="J11" s="755"/>
      <c r="K11" s="133"/>
      <c r="L11" s="671">
        <f>I11*K11*2</f>
        <v>0</v>
      </c>
      <c r="M11" s="672">
        <f>IF(G11="Incinérateur",L11*0.15*600,0)</f>
        <v>0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</row>
    <row r="12" spans="1:34" s="121" customFormat="1" ht="15" customHeight="1" x14ac:dyDescent="0.15">
      <c r="A12" s="152">
        <v>2</v>
      </c>
      <c r="B12" s="153">
        <f>'1.Stratégie'!B9</f>
        <v>0</v>
      </c>
      <c r="C12" s="670">
        <f>SUM('4.Vaccin_intrant'!Y9:Z9)</f>
        <v>0</v>
      </c>
      <c r="D12" s="670">
        <f t="shared" ref="D12:D40" si="2">ROUNDUP(C12/100,0)</f>
        <v>0</v>
      </c>
      <c r="E12" s="670">
        <f t="shared" si="0"/>
        <v>0</v>
      </c>
      <c r="F12" s="670">
        <f t="shared" si="1"/>
        <v>0</v>
      </c>
      <c r="G12" s="133"/>
      <c r="H12" s="133"/>
      <c r="I12" s="133"/>
      <c r="J12" s="755"/>
      <c r="K12" s="133"/>
      <c r="L12" s="671">
        <f t="shared" ref="L12:L40" si="3">I12*K12*2</f>
        <v>0</v>
      </c>
      <c r="M12" s="671">
        <f t="shared" ref="M12:M40" si="4">IF(G12="Incinérateur",L12*0.15*600,0)</f>
        <v>0</v>
      </c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</row>
    <row r="13" spans="1:34" s="121" customFormat="1" ht="15" customHeight="1" x14ac:dyDescent="0.15">
      <c r="A13" s="152">
        <v>3</v>
      </c>
      <c r="B13" s="153">
        <f>'1.Stratégie'!B10</f>
        <v>0</v>
      </c>
      <c r="C13" s="670">
        <f>SUM('4.Vaccin_intrant'!Y10:Z10)</f>
        <v>0</v>
      </c>
      <c r="D13" s="670">
        <f t="shared" si="2"/>
        <v>0</v>
      </c>
      <c r="E13" s="670">
        <f t="shared" si="0"/>
        <v>0</v>
      </c>
      <c r="F13" s="670">
        <f t="shared" si="1"/>
        <v>0</v>
      </c>
      <c r="G13" s="133"/>
      <c r="H13" s="133"/>
      <c r="I13" s="133"/>
      <c r="J13" s="755"/>
      <c r="K13" s="133"/>
      <c r="L13" s="671">
        <f t="shared" si="3"/>
        <v>0</v>
      </c>
      <c r="M13" s="671">
        <f t="shared" si="4"/>
        <v>0</v>
      </c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</row>
    <row r="14" spans="1:34" s="121" customFormat="1" ht="15" customHeight="1" x14ac:dyDescent="0.15">
      <c r="A14" s="152">
        <v>4</v>
      </c>
      <c r="B14" s="153">
        <f>'1.Stratégie'!B11</f>
        <v>0</v>
      </c>
      <c r="C14" s="670">
        <f>SUM('4.Vaccin_intrant'!Y11:Z11)</f>
        <v>0</v>
      </c>
      <c r="D14" s="670">
        <f t="shared" si="2"/>
        <v>0</v>
      </c>
      <c r="E14" s="670">
        <f t="shared" si="0"/>
        <v>0</v>
      </c>
      <c r="F14" s="670">
        <f t="shared" si="1"/>
        <v>0</v>
      </c>
      <c r="G14" s="133"/>
      <c r="H14" s="133"/>
      <c r="I14" s="133"/>
      <c r="J14" s="755"/>
      <c r="K14" s="133"/>
      <c r="L14" s="671">
        <f t="shared" si="3"/>
        <v>0</v>
      </c>
      <c r="M14" s="671">
        <f t="shared" si="4"/>
        <v>0</v>
      </c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</row>
    <row r="15" spans="1:34" s="121" customFormat="1" ht="15" customHeight="1" x14ac:dyDescent="0.15">
      <c r="A15" s="152">
        <v>5</v>
      </c>
      <c r="B15" s="153">
        <f>'1.Stratégie'!B12</f>
        <v>0</v>
      </c>
      <c r="C15" s="670">
        <f>SUM('4.Vaccin_intrant'!Y12:Z12)</f>
        <v>0</v>
      </c>
      <c r="D15" s="670">
        <f t="shared" si="2"/>
        <v>0</v>
      </c>
      <c r="E15" s="670">
        <f t="shared" si="0"/>
        <v>0</v>
      </c>
      <c r="F15" s="670">
        <f t="shared" si="1"/>
        <v>0</v>
      </c>
      <c r="G15" s="133"/>
      <c r="H15" s="133"/>
      <c r="I15" s="133"/>
      <c r="J15" s="755"/>
      <c r="K15" s="133"/>
      <c r="L15" s="671">
        <f t="shared" si="3"/>
        <v>0</v>
      </c>
      <c r="M15" s="671">
        <f t="shared" si="4"/>
        <v>0</v>
      </c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</row>
    <row r="16" spans="1:34" s="121" customFormat="1" ht="15" customHeight="1" x14ac:dyDescent="0.15">
      <c r="A16" s="152">
        <v>6</v>
      </c>
      <c r="B16" s="153">
        <f>'1.Stratégie'!B13</f>
        <v>0</v>
      </c>
      <c r="C16" s="670">
        <f>SUM('4.Vaccin_intrant'!Y13:Z13)</f>
        <v>0</v>
      </c>
      <c r="D16" s="670">
        <f t="shared" si="2"/>
        <v>0</v>
      </c>
      <c r="E16" s="670">
        <f t="shared" si="0"/>
        <v>0</v>
      </c>
      <c r="F16" s="670">
        <f t="shared" si="1"/>
        <v>0</v>
      </c>
      <c r="G16" s="133"/>
      <c r="H16" s="133"/>
      <c r="I16" s="133"/>
      <c r="J16" s="755"/>
      <c r="K16" s="133"/>
      <c r="L16" s="671">
        <f t="shared" si="3"/>
        <v>0</v>
      </c>
      <c r="M16" s="671">
        <f t="shared" si="4"/>
        <v>0</v>
      </c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</row>
    <row r="17" spans="1:34" s="121" customFormat="1" ht="15" customHeight="1" x14ac:dyDescent="0.15">
      <c r="A17" s="152">
        <v>7</v>
      </c>
      <c r="B17" s="153">
        <f>'1.Stratégie'!B14</f>
        <v>0</v>
      </c>
      <c r="C17" s="670">
        <f>SUM('4.Vaccin_intrant'!Y14:Z14)</f>
        <v>0</v>
      </c>
      <c r="D17" s="670">
        <f t="shared" si="2"/>
        <v>0</v>
      </c>
      <c r="E17" s="670">
        <f t="shared" si="0"/>
        <v>0</v>
      </c>
      <c r="F17" s="670">
        <f t="shared" si="1"/>
        <v>0</v>
      </c>
      <c r="G17" s="133"/>
      <c r="H17" s="133"/>
      <c r="I17" s="133"/>
      <c r="J17" s="755"/>
      <c r="K17" s="133"/>
      <c r="L17" s="671">
        <f t="shared" si="3"/>
        <v>0</v>
      </c>
      <c r="M17" s="671">
        <f t="shared" si="4"/>
        <v>0</v>
      </c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</row>
    <row r="18" spans="1:34" s="121" customFormat="1" ht="15" customHeight="1" x14ac:dyDescent="0.15">
      <c r="A18" s="152">
        <v>8</v>
      </c>
      <c r="B18" s="153">
        <f>'1.Stratégie'!B15</f>
        <v>0</v>
      </c>
      <c r="C18" s="670">
        <f>SUM('4.Vaccin_intrant'!Y15:Z15)</f>
        <v>0</v>
      </c>
      <c r="D18" s="670">
        <f t="shared" si="2"/>
        <v>0</v>
      </c>
      <c r="E18" s="670">
        <f t="shared" si="0"/>
        <v>0</v>
      </c>
      <c r="F18" s="670">
        <f t="shared" si="1"/>
        <v>0</v>
      </c>
      <c r="G18" s="133"/>
      <c r="H18" s="133"/>
      <c r="I18" s="133"/>
      <c r="J18" s="755"/>
      <c r="K18" s="133"/>
      <c r="L18" s="671">
        <f t="shared" si="3"/>
        <v>0</v>
      </c>
      <c r="M18" s="671">
        <f t="shared" si="4"/>
        <v>0</v>
      </c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</row>
    <row r="19" spans="1:34" s="121" customFormat="1" ht="15" customHeight="1" x14ac:dyDescent="0.15">
      <c r="A19" s="152">
        <v>9</v>
      </c>
      <c r="B19" s="153">
        <f>'1.Stratégie'!B16</f>
        <v>0</v>
      </c>
      <c r="C19" s="670">
        <f>SUM('4.Vaccin_intrant'!Y16:Z16)</f>
        <v>0</v>
      </c>
      <c r="D19" s="670">
        <f t="shared" si="2"/>
        <v>0</v>
      </c>
      <c r="E19" s="670">
        <f t="shared" si="0"/>
        <v>0</v>
      </c>
      <c r="F19" s="670">
        <f t="shared" si="1"/>
        <v>0</v>
      </c>
      <c r="G19" s="133"/>
      <c r="H19" s="133"/>
      <c r="I19" s="133"/>
      <c r="J19" s="755"/>
      <c r="K19" s="133"/>
      <c r="L19" s="671">
        <f t="shared" si="3"/>
        <v>0</v>
      </c>
      <c r="M19" s="671">
        <f t="shared" si="4"/>
        <v>0</v>
      </c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</row>
    <row r="20" spans="1:34" s="121" customFormat="1" ht="15" customHeight="1" x14ac:dyDescent="0.15">
      <c r="A20" s="152">
        <v>10</v>
      </c>
      <c r="B20" s="153">
        <f>'1.Stratégie'!B17</f>
        <v>0</v>
      </c>
      <c r="C20" s="670">
        <f>SUM('4.Vaccin_intrant'!Y17:Z17)</f>
        <v>0</v>
      </c>
      <c r="D20" s="670">
        <f t="shared" si="2"/>
        <v>0</v>
      </c>
      <c r="E20" s="670">
        <f t="shared" si="0"/>
        <v>0</v>
      </c>
      <c r="F20" s="670">
        <f t="shared" si="1"/>
        <v>0</v>
      </c>
      <c r="G20" s="133"/>
      <c r="H20" s="133"/>
      <c r="I20" s="133"/>
      <c r="J20" s="755"/>
      <c r="K20" s="133"/>
      <c r="L20" s="671">
        <f t="shared" si="3"/>
        <v>0</v>
      </c>
      <c r="M20" s="671">
        <f t="shared" si="4"/>
        <v>0</v>
      </c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</row>
    <row r="21" spans="1:34" s="121" customFormat="1" ht="15" customHeight="1" x14ac:dyDescent="0.15">
      <c r="A21" s="152">
        <v>11</v>
      </c>
      <c r="B21" s="153">
        <f>'1.Stratégie'!B18</f>
        <v>0</v>
      </c>
      <c r="C21" s="670">
        <f>SUM('4.Vaccin_intrant'!Y18:Z18)</f>
        <v>0</v>
      </c>
      <c r="D21" s="670">
        <f t="shared" si="2"/>
        <v>0</v>
      </c>
      <c r="E21" s="670">
        <f t="shared" si="0"/>
        <v>0</v>
      </c>
      <c r="F21" s="670">
        <f t="shared" si="1"/>
        <v>0</v>
      </c>
      <c r="G21" s="133"/>
      <c r="H21" s="133"/>
      <c r="I21" s="133"/>
      <c r="J21" s="133"/>
      <c r="K21" s="133"/>
      <c r="L21" s="671">
        <f t="shared" si="3"/>
        <v>0</v>
      </c>
      <c r="M21" s="671">
        <f t="shared" si="4"/>
        <v>0</v>
      </c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</row>
    <row r="22" spans="1:34" s="121" customFormat="1" ht="15" customHeight="1" x14ac:dyDescent="0.15">
      <c r="A22" s="152">
        <v>12</v>
      </c>
      <c r="B22" s="153">
        <f>'1.Stratégie'!B19</f>
        <v>0</v>
      </c>
      <c r="C22" s="670">
        <f>SUM('4.Vaccin_intrant'!Y19:Z19)</f>
        <v>0</v>
      </c>
      <c r="D22" s="670">
        <f t="shared" si="2"/>
        <v>0</v>
      </c>
      <c r="E22" s="670">
        <f t="shared" si="0"/>
        <v>0</v>
      </c>
      <c r="F22" s="670">
        <f t="shared" si="1"/>
        <v>0</v>
      </c>
      <c r="G22" s="133"/>
      <c r="H22" s="133"/>
      <c r="I22" s="133"/>
      <c r="J22" s="133"/>
      <c r="K22" s="133"/>
      <c r="L22" s="671">
        <f t="shared" si="3"/>
        <v>0</v>
      </c>
      <c r="M22" s="671">
        <f t="shared" si="4"/>
        <v>0</v>
      </c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</row>
    <row r="23" spans="1:34" s="121" customFormat="1" ht="15" customHeight="1" x14ac:dyDescent="0.15">
      <c r="A23" s="152">
        <v>13</v>
      </c>
      <c r="B23" s="153">
        <f>'1.Stratégie'!B20</f>
        <v>0</v>
      </c>
      <c r="C23" s="670">
        <f>SUM('4.Vaccin_intrant'!Y20:Z20)</f>
        <v>0</v>
      </c>
      <c r="D23" s="670">
        <f t="shared" si="2"/>
        <v>0</v>
      </c>
      <c r="E23" s="670">
        <f t="shared" si="0"/>
        <v>0</v>
      </c>
      <c r="F23" s="670">
        <f t="shared" si="1"/>
        <v>0</v>
      </c>
      <c r="G23" s="133"/>
      <c r="H23" s="133"/>
      <c r="I23" s="133"/>
      <c r="J23" s="133"/>
      <c r="K23" s="133"/>
      <c r="L23" s="671">
        <f t="shared" si="3"/>
        <v>0</v>
      </c>
      <c r="M23" s="671">
        <f t="shared" si="4"/>
        <v>0</v>
      </c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</row>
    <row r="24" spans="1:34" s="121" customFormat="1" ht="15" customHeight="1" x14ac:dyDescent="0.15">
      <c r="A24" s="152">
        <v>14</v>
      </c>
      <c r="B24" s="153">
        <f>'1.Stratégie'!B21</f>
        <v>0</v>
      </c>
      <c r="C24" s="670">
        <f>SUM('4.Vaccin_intrant'!Y21:Z21)</f>
        <v>0</v>
      </c>
      <c r="D24" s="670">
        <f t="shared" si="2"/>
        <v>0</v>
      </c>
      <c r="E24" s="670">
        <f t="shared" si="0"/>
        <v>0</v>
      </c>
      <c r="F24" s="670">
        <f t="shared" si="1"/>
        <v>0</v>
      </c>
      <c r="G24" s="133"/>
      <c r="H24" s="133"/>
      <c r="I24" s="133"/>
      <c r="J24" s="133"/>
      <c r="K24" s="133"/>
      <c r="L24" s="671">
        <f t="shared" si="3"/>
        <v>0</v>
      </c>
      <c r="M24" s="671">
        <f t="shared" si="4"/>
        <v>0</v>
      </c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</row>
    <row r="25" spans="1:34" s="121" customFormat="1" ht="15" customHeight="1" x14ac:dyDescent="0.15">
      <c r="A25" s="152">
        <v>15</v>
      </c>
      <c r="B25" s="153">
        <f>'1.Stratégie'!B22</f>
        <v>0</v>
      </c>
      <c r="C25" s="670">
        <f>SUM('4.Vaccin_intrant'!Y22:Z22)</f>
        <v>0</v>
      </c>
      <c r="D25" s="670">
        <f t="shared" si="2"/>
        <v>0</v>
      </c>
      <c r="E25" s="670">
        <f t="shared" si="0"/>
        <v>0</v>
      </c>
      <c r="F25" s="670">
        <f t="shared" si="1"/>
        <v>0</v>
      </c>
      <c r="G25" s="133"/>
      <c r="H25" s="133"/>
      <c r="I25" s="133"/>
      <c r="J25" s="133"/>
      <c r="K25" s="133"/>
      <c r="L25" s="671">
        <f t="shared" si="3"/>
        <v>0</v>
      </c>
      <c r="M25" s="671">
        <f t="shared" si="4"/>
        <v>0</v>
      </c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</row>
    <row r="26" spans="1:34" s="121" customFormat="1" ht="15" customHeight="1" x14ac:dyDescent="0.15">
      <c r="A26" s="152">
        <v>16</v>
      </c>
      <c r="B26" s="153">
        <f>'1.Stratégie'!B23</f>
        <v>0</v>
      </c>
      <c r="C26" s="670">
        <f>SUM('4.Vaccin_intrant'!Y23:Z23)</f>
        <v>0</v>
      </c>
      <c r="D26" s="670">
        <f t="shared" si="2"/>
        <v>0</v>
      </c>
      <c r="E26" s="670">
        <f t="shared" si="0"/>
        <v>0</v>
      </c>
      <c r="F26" s="670">
        <f t="shared" si="1"/>
        <v>0</v>
      </c>
      <c r="G26" s="133"/>
      <c r="H26" s="133"/>
      <c r="I26" s="133"/>
      <c r="J26" s="133"/>
      <c r="K26" s="133"/>
      <c r="L26" s="671">
        <f t="shared" si="3"/>
        <v>0</v>
      </c>
      <c r="M26" s="671">
        <f t="shared" si="4"/>
        <v>0</v>
      </c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</row>
    <row r="27" spans="1:34" s="121" customFormat="1" ht="15" customHeight="1" x14ac:dyDescent="0.15">
      <c r="A27" s="152">
        <v>17</v>
      </c>
      <c r="B27" s="153">
        <f>'1.Stratégie'!B24</f>
        <v>0</v>
      </c>
      <c r="C27" s="670">
        <f>SUM('4.Vaccin_intrant'!Y24:Z24)</f>
        <v>0</v>
      </c>
      <c r="D27" s="670">
        <f t="shared" si="2"/>
        <v>0</v>
      </c>
      <c r="E27" s="670">
        <f t="shared" si="0"/>
        <v>0</v>
      </c>
      <c r="F27" s="670">
        <f t="shared" si="1"/>
        <v>0</v>
      </c>
      <c r="G27" s="133"/>
      <c r="H27" s="133"/>
      <c r="I27" s="133"/>
      <c r="J27" s="133"/>
      <c r="K27" s="133"/>
      <c r="L27" s="671">
        <f t="shared" si="3"/>
        <v>0</v>
      </c>
      <c r="M27" s="671">
        <f t="shared" si="4"/>
        <v>0</v>
      </c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</row>
    <row r="28" spans="1:34" s="121" customFormat="1" ht="15" customHeight="1" x14ac:dyDescent="0.15">
      <c r="A28" s="152">
        <v>18</v>
      </c>
      <c r="B28" s="153">
        <f>'1.Stratégie'!B25</f>
        <v>0</v>
      </c>
      <c r="C28" s="670">
        <f>SUM('4.Vaccin_intrant'!Y25:Z25)</f>
        <v>0</v>
      </c>
      <c r="D28" s="670">
        <f t="shared" si="2"/>
        <v>0</v>
      </c>
      <c r="E28" s="670">
        <f t="shared" si="0"/>
        <v>0</v>
      </c>
      <c r="F28" s="670">
        <f t="shared" si="1"/>
        <v>0</v>
      </c>
      <c r="G28" s="133"/>
      <c r="H28" s="133"/>
      <c r="I28" s="133"/>
      <c r="J28" s="133"/>
      <c r="K28" s="133"/>
      <c r="L28" s="671">
        <f t="shared" si="3"/>
        <v>0</v>
      </c>
      <c r="M28" s="671">
        <f t="shared" si="4"/>
        <v>0</v>
      </c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</row>
    <row r="29" spans="1:34" s="121" customFormat="1" ht="15" customHeight="1" x14ac:dyDescent="0.15">
      <c r="A29" s="152">
        <v>19</v>
      </c>
      <c r="B29" s="153">
        <f>'1.Stratégie'!B26</f>
        <v>0</v>
      </c>
      <c r="C29" s="670">
        <f>SUM('4.Vaccin_intrant'!Y26:Z26)</f>
        <v>0</v>
      </c>
      <c r="D29" s="670">
        <f t="shared" si="2"/>
        <v>0</v>
      </c>
      <c r="E29" s="670">
        <f t="shared" si="0"/>
        <v>0</v>
      </c>
      <c r="F29" s="670">
        <f t="shared" si="1"/>
        <v>0</v>
      </c>
      <c r="G29" s="133"/>
      <c r="H29" s="133"/>
      <c r="I29" s="133"/>
      <c r="J29" s="133"/>
      <c r="K29" s="133"/>
      <c r="L29" s="671">
        <f t="shared" si="3"/>
        <v>0</v>
      </c>
      <c r="M29" s="671">
        <f t="shared" si="4"/>
        <v>0</v>
      </c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</row>
    <row r="30" spans="1:34" s="121" customFormat="1" ht="15" customHeight="1" x14ac:dyDescent="0.15">
      <c r="A30" s="152">
        <v>20</v>
      </c>
      <c r="B30" s="153">
        <f>'1.Stratégie'!B27</f>
        <v>0</v>
      </c>
      <c r="C30" s="670">
        <f>SUM('4.Vaccin_intrant'!Y27:Z27)</f>
        <v>0</v>
      </c>
      <c r="D30" s="670">
        <f t="shared" si="2"/>
        <v>0</v>
      </c>
      <c r="E30" s="670">
        <f t="shared" si="0"/>
        <v>0</v>
      </c>
      <c r="F30" s="670">
        <f t="shared" si="1"/>
        <v>0</v>
      </c>
      <c r="G30" s="133"/>
      <c r="H30" s="133"/>
      <c r="I30" s="133"/>
      <c r="J30" s="133"/>
      <c r="K30" s="133"/>
      <c r="L30" s="671">
        <f t="shared" si="3"/>
        <v>0</v>
      </c>
      <c r="M30" s="671">
        <f t="shared" si="4"/>
        <v>0</v>
      </c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</row>
    <row r="31" spans="1:34" s="121" customFormat="1" ht="15" customHeight="1" x14ac:dyDescent="0.15">
      <c r="A31" s="152">
        <v>21</v>
      </c>
      <c r="B31" s="153">
        <f>'1.Stratégie'!B28</f>
        <v>0</v>
      </c>
      <c r="C31" s="670">
        <f>SUM('4.Vaccin_intrant'!Y28:Z28)</f>
        <v>0</v>
      </c>
      <c r="D31" s="670">
        <f t="shared" si="2"/>
        <v>0</v>
      </c>
      <c r="E31" s="670">
        <f t="shared" si="0"/>
        <v>0</v>
      </c>
      <c r="F31" s="670">
        <f t="shared" si="1"/>
        <v>0</v>
      </c>
      <c r="G31" s="133"/>
      <c r="H31" s="133"/>
      <c r="I31" s="133"/>
      <c r="J31" s="133"/>
      <c r="K31" s="133"/>
      <c r="L31" s="671">
        <f t="shared" si="3"/>
        <v>0</v>
      </c>
      <c r="M31" s="671">
        <f t="shared" si="4"/>
        <v>0</v>
      </c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</row>
    <row r="32" spans="1:34" s="121" customFormat="1" ht="15" customHeight="1" x14ac:dyDescent="0.15">
      <c r="A32" s="152">
        <v>22</v>
      </c>
      <c r="B32" s="153">
        <f>'1.Stratégie'!B29</f>
        <v>0</v>
      </c>
      <c r="C32" s="670">
        <f>SUM('4.Vaccin_intrant'!Y29:Z29)</f>
        <v>0</v>
      </c>
      <c r="D32" s="670">
        <f t="shared" si="2"/>
        <v>0</v>
      </c>
      <c r="E32" s="670">
        <f t="shared" si="0"/>
        <v>0</v>
      </c>
      <c r="F32" s="670">
        <f t="shared" si="1"/>
        <v>0</v>
      </c>
      <c r="G32" s="133"/>
      <c r="H32" s="133"/>
      <c r="I32" s="133"/>
      <c r="J32" s="133"/>
      <c r="K32" s="133"/>
      <c r="L32" s="671">
        <f t="shared" si="3"/>
        <v>0</v>
      </c>
      <c r="M32" s="671">
        <f t="shared" si="4"/>
        <v>0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</row>
    <row r="33" spans="1:34" s="121" customFormat="1" ht="15" customHeight="1" x14ac:dyDescent="0.15">
      <c r="A33" s="152">
        <v>23</v>
      </c>
      <c r="B33" s="153">
        <f>'1.Stratégie'!B30</f>
        <v>0</v>
      </c>
      <c r="C33" s="670">
        <f>SUM('4.Vaccin_intrant'!Y30:Z30)</f>
        <v>0</v>
      </c>
      <c r="D33" s="670">
        <f t="shared" si="2"/>
        <v>0</v>
      </c>
      <c r="E33" s="670">
        <f t="shared" si="0"/>
        <v>0</v>
      </c>
      <c r="F33" s="670">
        <f t="shared" si="1"/>
        <v>0</v>
      </c>
      <c r="G33" s="133"/>
      <c r="H33" s="133"/>
      <c r="I33" s="133"/>
      <c r="J33" s="133"/>
      <c r="K33" s="133"/>
      <c r="L33" s="671">
        <f t="shared" si="3"/>
        <v>0</v>
      </c>
      <c r="M33" s="671">
        <f t="shared" si="4"/>
        <v>0</v>
      </c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</row>
    <row r="34" spans="1:34" s="121" customFormat="1" ht="15" customHeight="1" x14ac:dyDescent="0.15">
      <c r="A34" s="152">
        <v>24</v>
      </c>
      <c r="B34" s="153">
        <f>'1.Stratégie'!B31</f>
        <v>0</v>
      </c>
      <c r="C34" s="670">
        <f>SUM('4.Vaccin_intrant'!Y31:Z31)</f>
        <v>0</v>
      </c>
      <c r="D34" s="670">
        <f t="shared" si="2"/>
        <v>0</v>
      </c>
      <c r="E34" s="670">
        <f t="shared" si="0"/>
        <v>0</v>
      </c>
      <c r="F34" s="670">
        <f t="shared" si="1"/>
        <v>0</v>
      </c>
      <c r="G34" s="133"/>
      <c r="H34" s="133"/>
      <c r="I34" s="133"/>
      <c r="J34" s="133"/>
      <c r="K34" s="133"/>
      <c r="L34" s="671">
        <f t="shared" si="3"/>
        <v>0</v>
      </c>
      <c r="M34" s="671">
        <f t="shared" si="4"/>
        <v>0</v>
      </c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</row>
    <row r="35" spans="1:34" s="121" customFormat="1" ht="15" customHeight="1" x14ac:dyDescent="0.15">
      <c r="A35" s="152">
        <v>25</v>
      </c>
      <c r="B35" s="153">
        <f>'1.Stratégie'!B32</f>
        <v>0</v>
      </c>
      <c r="C35" s="670">
        <f>SUM('4.Vaccin_intrant'!Y32:Z32)</f>
        <v>0</v>
      </c>
      <c r="D35" s="670">
        <f t="shared" si="2"/>
        <v>0</v>
      </c>
      <c r="E35" s="670">
        <f t="shared" si="0"/>
        <v>0</v>
      </c>
      <c r="F35" s="670">
        <f t="shared" si="1"/>
        <v>0</v>
      </c>
      <c r="G35" s="133"/>
      <c r="H35" s="133"/>
      <c r="I35" s="133"/>
      <c r="J35" s="133"/>
      <c r="K35" s="133"/>
      <c r="L35" s="671">
        <f t="shared" si="3"/>
        <v>0</v>
      </c>
      <c r="M35" s="671">
        <f t="shared" si="4"/>
        <v>0</v>
      </c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</row>
    <row r="36" spans="1:34" s="121" customFormat="1" ht="15" customHeight="1" x14ac:dyDescent="0.15">
      <c r="A36" s="152">
        <v>26</v>
      </c>
      <c r="B36" s="153">
        <f>'1.Stratégie'!B33</f>
        <v>0</v>
      </c>
      <c r="C36" s="670">
        <f>SUM('4.Vaccin_intrant'!Y33:Z33)</f>
        <v>0</v>
      </c>
      <c r="D36" s="670">
        <f t="shared" si="2"/>
        <v>0</v>
      </c>
      <c r="E36" s="670">
        <f t="shared" si="0"/>
        <v>0</v>
      </c>
      <c r="F36" s="670">
        <f t="shared" si="1"/>
        <v>0</v>
      </c>
      <c r="G36" s="133"/>
      <c r="H36" s="133"/>
      <c r="I36" s="133"/>
      <c r="J36" s="133"/>
      <c r="K36" s="133"/>
      <c r="L36" s="671">
        <f t="shared" si="3"/>
        <v>0</v>
      </c>
      <c r="M36" s="671">
        <f t="shared" si="4"/>
        <v>0</v>
      </c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</row>
    <row r="37" spans="1:34" s="121" customFormat="1" ht="15" customHeight="1" x14ac:dyDescent="0.15">
      <c r="A37" s="152">
        <v>27</v>
      </c>
      <c r="B37" s="153">
        <f>'1.Stratégie'!B34</f>
        <v>0</v>
      </c>
      <c r="C37" s="670">
        <f>SUM('4.Vaccin_intrant'!Y34:Z34)</f>
        <v>0</v>
      </c>
      <c r="D37" s="670">
        <f t="shared" si="2"/>
        <v>0</v>
      </c>
      <c r="E37" s="670">
        <f t="shared" si="0"/>
        <v>0</v>
      </c>
      <c r="F37" s="670">
        <f t="shared" si="1"/>
        <v>0</v>
      </c>
      <c r="G37" s="133"/>
      <c r="H37" s="133"/>
      <c r="I37" s="133"/>
      <c r="J37" s="133"/>
      <c r="K37" s="133"/>
      <c r="L37" s="671">
        <f t="shared" si="3"/>
        <v>0</v>
      </c>
      <c r="M37" s="671">
        <f t="shared" si="4"/>
        <v>0</v>
      </c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</row>
    <row r="38" spans="1:34" s="121" customFormat="1" ht="15" customHeight="1" x14ac:dyDescent="0.15">
      <c r="A38" s="152">
        <v>28</v>
      </c>
      <c r="B38" s="153">
        <f>'1.Stratégie'!B35</f>
        <v>0</v>
      </c>
      <c r="C38" s="670">
        <f>SUM('4.Vaccin_intrant'!Y35:Z35)</f>
        <v>0</v>
      </c>
      <c r="D38" s="670">
        <f t="shared" si="2"/>
        <v>0</v>
      </c>
      <c r="E38" s="670">
        <f t="shared" si="0"/>
        <v>0</v>
      </c>
      <c r="F38" s="670">
        <f t="shared" si="1"/>
        <v>0</v>
      </c>
      <c r="G38" s="133"/>
      <c r="H38" s="133"/>
      <c r="I38" s="133"/>
      <c r="J38" s="133"/>
      <c r="K38" s="133"/>
      <c r="L38" s="671">
        <f t="shared" si="3"/>
        <v>0</v>
      </c>
      <c r="M38" s="671">
        <f t="shared" si="4"/>
        <v>0</v>
      </c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</row>
    <row r="39" spans="1:34" s="121" customFormat="1" ht="15" customHeight="1" x14ac:dyDescent="0.15">
      <c r="A39" s="152">
        <v>29</v>
      </c>
      <c r="B39" s="153">
        <f>'1.Stratégie'!B36</f>
        <v>0</v>
      </c>
      <c r="C39" s="670">
        <f>SUM('4.Vaccin_intrant'!Y36:Z36)</f>
        <v>0</v>
      </c>
      <c r="D39" s="670">
        <f t="shared" si="2"/>
        <v>0</v>
      </c>
      <c r="E39" s="670">
        <f t="shared" si="0"/>
        <v>0</v>
      </c>
      <c r="F39" s="670">
        <f t="shared" si="1"/>
        <v>0</v>
      </c>
      <c r="G39" s="133"/>
      <c r="H39" s="133"/>
      <c r="I39" s="133"/>
      <c r="J39" s="133"/>
      <c r="K39" s="133"/>
      <c r="L39" s="671">
        <f t="shared" si="3"/>
        <v>0</v>
      </c>
      <c r="M39" s="671">
        <f t="shared" si="4"/>
        <v>0</v>
      </c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</row>
    <row r="40" spans="1:34" s="121" customFormat="1" ht="15" customHeight="1" x14ac:dyDescent="0.15">
      <c r="A40" s="152">
        <v>30</v>
      </c>
      <c r="B40" s="153">
        <f>'1.Stratégie'!B37</f>
        <v>0</v>
      </c>
      <c r="C40" s="670">
        <f>SUM('4.Vaccin_intrant'!Y37:Z37)</f>
        <v>0</v>
      </c>
      <c r="D40" s="670">
        <f t="shared" si="2"/>
        <v>0</v>
      </c>
      <c r="E40" s="670">
        <f t="shared" si="0"/>
        <v>0</v>
      </c>
      <c r="F40" s="670">
        <f t="shared" si="1"/>
        <v>0</v>
      </c>
      <c r="G40" s="133"/>
      <c r="H40" s="133"/>
      <c r="I40" s="133"/>
      <c r="J40" s="133"/>
      <c r="K40" s="133"/>
      <c r="L40" s="671">
        <f t="shared" si="3"/>
        <v>0</v>
      </c>
      <c r="M40" s="671">
        <f t="shared" si="4"/>
        <v>0</v>
      </c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</row>
    <row r="41" spans="1:34" s="124" customFormat="1" ht="15.75" customHeight="1" x14ac:dyDescent="0.15">
      <c r="A41" s="122"/>
      <c r="B41" s="123" t="s">
        <v>152</v>
      </c>
      <c r="C41" s="123"/>
      <c r="D41" s="123"/>
      <c r="E41" s="123"/>
      <c r="F41" s="123"/>
      <c r="K41" s="511" t="s">
        <v>153</v>
      </c>
      <c r="L41" s="673">
        <f>SUM(L11:L40)</f>
        <v>0</v>
      </c>
      <c r="M41" s="673">
        <f>SUM(M11:M40)</f>
        <v>0</v>
      </c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</row>
    <row r="42" spans="1:34" s="56" customFormat="1" ht="13.5" x14ac:dyDescent="0.15">
      <c r="A42" s="61"/>
      <c r="B42" s="62" t="s">
        <v>154</v>
      </c>
      <c r="C42" s="63"/>
      <c r="D42" s="63"/>
      <c r="E42" s="63"/>
      <c r="F42" s="565"/>
      <c r="G42" s="54" t="s">
        <v>155</v>
      </c>
      <c r="H42" s="55" t="s">
        <v>156</v>
      </c>
      <c r="I42" s="674" t="s">
        <v>157</v>
      </c>
      <c r="K42" s="64"/>
      <c r="L42" s="64"/>
      <c r="M42" s="64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</row>
    <row r="43" spans="1:34" s="56" customFormat="1" ht="13.5" x14ac:dyDescent="0.15">
      <c r="A43" s="61"/>
      <c r="B43" s="65" t="s">
        <v>158</v>
      </c>
      <c r="C43" s="66"/>
      <c r="D43" s="66"/>
      <c r="E43" s="66"/>
      <c r="F43" s="566"/>
      <c r="G43" s="46"/>
      <c r="H43" s="46">
        <v>15000</v>
      </c>
      <c r="I43" s="675">
        <f>G43*H43</f>
        <v>0</v>
      </c>
      <c r="K43" s="64"/>
      <c r="L43" s="64"/>
      <c r="M43" s="64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s="56" customFormat="1" ht="13.5" x14ac:dyDescent="0.15">
      <c r="A44" s="61"/>
      <c r="B44" s="65" t="s">
        <v>159</v>
      </c>
      <c r="C44" s="66"/>
      <c r="D44" s="66"/>
      <c r="E44" s="66"/>
      <c r="F44" s="566"/>
      <c r="G44" s="46"/>
      <c r="H44" s="46">
        <v>400</v>
      </c>
      <c r="I44" s="675">
        <f>G44*H44</f>
        <v>0</v>
      </c>
      <c r="K44" s="64"/>
      <c r="L44" s="64"/>
      <c r="M44" s="64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</row>
    <row r="45" spans="1:34" s="56" customFormat="1" ht="13.5" x14ac:dyDescent="0.15">
      <c r="A45" s="61"/>
      <c r="B45" s="65" t="s">
        <v>244</v>
      </c>
      <c r="C45" s="66"/>
      <c r="D45" s="66"/>
      <c r="E45" s="66"/>
      <c r="F45" s="566"/>
      <c r="G45" s="46"/>
      <c r="H45" s="46"/>
      <c r="I45" s="675">
        <f>G45*H45</f>
        <v>0</v>
      </c>
      <c r="K45" s="677"/>
      <c r="L45" s="678" t="s">
        <v>160</v>
      </c>
      <c r="M45" s="680" t="s">
        <v>161</v>
      </c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</row>
    <row r="46" spans="1:34" s="56" customFormat="1" ht="14.25" customHeight="1" x14ac:dyDescent="0.15">
      <c r="A46" s="61"/>
      <c r="B46" s="65" t="s">
        <v>162</v>
      </c>
      <c r="C46" s="66"/>
      <c r="D46" s="66"/>
      <c r="E46" s="66"/>
      <c r="F46" s="566"/>
      <c r="G46" s="46"/>
      <c r="H46" s="46"/>
      <c r="I46" s="675">
        <f>G46*H46</f>
        <v>0</v>
      </c>
      <c r="K46" s="677" t="s">
        <v>163</v>
      </c>
      <c r="L46" s="679">
        <f>5.63/1000</f>
        <v>5.6299999999999996E-3</v>
      </c>
      <c r="M46" s="67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</row>
    <row r="47" spans="1:34" s="56" customFormat="1" ht="13.5" x14ac:dyDescent="0.15">
      <c r="A47" s="61"/>
      <c r="B47" s="65" t="s">
        <v>164</v>
      </c>
      <c r="C47" s="66"/>
      <c r="D47" s="66"/>
      <c r="E47" s="66"/>
      <c r="F47" s="566"/>
      <c r="G47" s="46"/>
      <c r="H47" s="46"/>
      <c r="I47" s="675">
        <f>G47*H47</f>
        <v>0</v>
      </c>
      <c r="K47" s="677" t="s">
        <v>165</v>
      </c>
      <c r="L47" s="679">
        <f>6.63/1000</f>
        <v>6.6299999999999996E-3</v>
      </c>
      <c r="M47" s="67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</row>
    <row r="48" spans="1:34" s="57" customFormat="1" ht="13.5" x14ac:dyDescent="0.15">
      <c r="A48" s="68"/>
      <c r="B48" s="62" t="s">
        <v>25</v>
      </c>
      <c r="C48" s="63"/>
      <c r="D48" s="63"/>
      <c r="E48" s="63"/>
      <c r="F48" s="63"/>
      <c r="G48" s="47"/>
      <c r="H48" s="48"/>
      <c r="I48" s="676">
        <f>SUM(I43:I47)</f>
        <v>0</v>
      </c>
      <c r="K48" s="677" t="s">
        <v>166</v>
      </c>
      <c r="L48" s="679">
        <v>0.48499999999999999</v>
      </c>
      <c r="M48" s="679">
        <f>(13*17*29)/1000000</f>
        <v>6.4089999999999998E-3</v>
      </c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</row>
    <row r="49" spans="1:34" s="57" customFormat="1" ht="13.5" x14ac:dyDescent="0.15">
      <c r="A49" s="68"/>
      <c r="B49" s="69"/>
      <c r="C49" s="69"/>
      <c r="D49" s="69"/>
      <c r="E49" s="69"/>
      <c r="F49" s="69"/>
      <c r="G49" s="512"/>
      <c r="H49" s="513" t="s">
        <v>167</v>
      </c>
      <c r="I49" s="676">
        <f>M41</f>
        <v>0</v>
      </c>
      <c r="K49" s="39"/>
      <c r="L49"/>
      <c r="M49" s="68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</row>
    <row r="50" spans="1:34" s="57" customFormat="1" ht="13.5" x14ac:dyDescent="0.15">
      <c r="A50" s="68"/>
      <c r="B50" s="69"/>
      <c r="C50" s="69"/>
      <c r="D50" s="69"/>
      <c r="E50" s="69"/>
      <c r="F50" s="69"/>
      <c r="G50" s="512"/>
      <c r="H50" s="513" t="s">
        <v>168</v>
      </c>
      <c r="I50" s="676">
        <f>SUM(I48:I49)</f>
        <v>0</v>
      </c>
      <c r="K50" s="39"/>
      <c r="L50"/>
      <c r="M50" s="68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</row>
    <row r="51" spans="1:34" s="56" customFormat="1" x14ac:dyDescent="0.15">
      <c r="A51" s="61"/>
      <c r="B51" s="70" t="s">
        <v>169</v>
      </c>
      <c r="C51" s="71"/>
      <c r="D51" s="71"/>
      <c r="E51" s="71"/>
      <c r="F51" s="71"/>
      <c r="G51" s="514"/>
      <c r="H51" s="514"/>
      <c r="I51" s="514"/>
      <c r="K51" s="64"/>
      <c r="L51" s="64"/>
      <c r="M51" s="64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</row>
    <row r="52" spans="1:34" s="56" customFormat="1" x14ac:dyDescent="0.15">
      <c r="A52" s="61"/>
      <c r="B52" s="72" t="s">
        <v>170</v>
      </c>
      <c r="C52" s="71"/>
      <c r="D52" s="71"/>
      <c r="E52" s="71"/>
      <c r="F52" s="71"/>
      <c r="G52" s="514"/>
      <c r="H52" s="514"/>
      <c r="I52" s="514"/>
      <c r="K52" s="64"/>
      <c r="L52" s="64"/>
      <c r="M52" s="64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</row>
    <row r="53" spans="1:34" s="16" customFormat="1" x14ac:dyDescent="0.15">
      <c r="A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</row>
    <row r="54" spans="1:34" s="16" customFormat="1" x14ac:dyDescent="0.15">
      <c r="A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</row>
    <row r="55" spans="1:34" s="16" customFormat="1" x14ac:dyDescent="0.15">
      <c r="A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</row>
  </sheetData>
  <sheetProtection password="CD7B" sheet="1" objects="1" scenarios="1"/>
  <phoneticPr fontId="16" type="noConversion"/>
  <dataValidations count="2">
    <dataValidation type="list" allowBlank="1" showInputMessage="1" showErrorMessage="1" sqref="G11:G40" xr:uid="{00000000-0002-0000-0800-000000000000}">
      <formula1>"Fosse,Incinérateur"</formula1>
    </dataValidation>
    <dataValidation allowBlank="1" showInputMessage="1" showErrorMessage="1" promptTitle="Feauile Equipes" prompt="Ne saisir aucune donnée sur cette feuilles. Les  y sont faits automatiquement" sqref="F6:M6" xr:uid="{00000000-0002-0000-0800-000001000000}"/>
  </dataValidations>
  <pageMargins left="0.39370078740157483" right="0.19685039370078741" top="0.39370078740157483" bottom="0.59055118110236227" header="0.31496062992125984" footer="0.31496062992125984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1</vt:i4>
      </vt:variant>
    </vt:vector>
  </HeadingPairs>
  <TitlesOfParts>
    <vt:vector size="20" baseType="lpstr">
      <vt:lpstr>Page de garde</vt:lpstr>
      <vt:lpstr>Instructions</vt:lpstr>
      <vt:lpstr>Data</vt:lpstr>
      <vt:lpstr>1.Stratégie</vt:lpstr>
      <vt:lpstr>2.Equipe</vt:lpstr>
      <vt:lpstr>3.Personnel</vt:lpstr>
      <vt:lpstr>4.Vaccin_intrant</vt:lpstr>
      <vt:lpstr>5.Chaîne_froid</vt:lpstr>
      <vt:lpstr>6.Gdéchet</vt:lpstr>
      <vt:lpstr>7.Transport_AS</vt:lpstr>
      <vt:lpstr>8.Transport_DS</vt:lpstr>
      <vt:lpstr>9.budget_AS</vt:lpstr>
      <vt:lpstr>10.budget_SSD</vt:lpstr>
      <vt:lpstr>11.Recap</vt:lpstr>
      <vt:lpstr>12.Financement</vt:lpstr>
      <vt:lpstr>13.Chrono</vt:lpstr>
      <vt:lpstr>14.MobSoc</vt:lpstr>
      <vt:lpstr>15.Circuit</vt:lpstr>
      <vt:lpstr>Feuil1</vt:lpstr>
      <vt:lpstr>13.Chrono!Impression_des_titres</vt:lpstr>
    </vt:vector>
  </TitlesOfParts>
  <Company>MINISTERE SANTE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PEV</dc:creator>
  <cp:lastModifiedBy>USER PC</cp:lastModifiedBy>
  <cp:lastPrinted>2014-12-30T14:59:20Z</cp:lastPrinted>
  <dcterms:created xsi:type="dcterms:W3CDTF">2003-06-27T15:01:21Z</dcterms:created>
  <dcterms:modified xsi:type="dcterms:W3CDTF">2023-05-08T09:34:47Z</dcterms:modified>
</cp:coreProperties>
</file>