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3" sheetId="2" r:id="rId5"/>
    <sheet state="visible" name="Sheet1 (1)" sheetId="3" r:id="rId6"/>
    <sheet state="visible" name="Sheet2" sheetId="4" r:id="rId7"/>
  </sheets>
  <definedNames>
    <definedName hidden="1" localSheetId="0" name="_xlnm._FilterDatabase">Sheet1!$A$1:$AG$99</definedName>
  </definedNames>
  <calcPr/>
</workbook>
</file>

<file path=xl/sharedStrings.xml><?xml version="1.0" encoding="utf-8"?>
<sst xmlns="http://schemas.openxmlformats.org/spreadsheetml/2006/main" count="998" uniqueCount="421">
  <si>
    <t>Ep. No.</t>
  </si>
  <si>
    <t>Brand</t>
  </si>
  <si>
    <t>Male</t>
  </si>
  <si>
    <t>Female</t>
  </si>
  <si>
    <t>Location</t>
  </si>
  <si>
    <t>Idea</t>
  </si>
  <si>
    <t>Sector</t>
  </si>
  <si>
    <t>Deal</t>
  </si>
  <si>
    <t>Amount Invested lakhs</t>
  </si>
  <si>
    <t>Amout Asked</t>
  </si>
  <si>
    <t>Debt Invested</t>
  </si>
  <si>
    <t>Debt Asked</t>
  </si>
  <si>
    <t>Equity Taken %</t>
  </si>
  <si>
    <t>Equity Asked %</t>
  </si>
  <si>
    <t>Avg age</t>
  </si>
  <si>
    <t>Team members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</si>
  <si>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</si>
  <si>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</si>
  <si>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</si>
  <si>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</si>
  <si>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</si>
  <si>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</si>
  <si>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</si>
  <si>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</si>
  <si>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</si>
  <si>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</si>
  <si>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</si>
  <si>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</si>
  <si>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</si>
  <si>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</si>
  <si>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</si>
  <si>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Partners</t>
  </si>
  <si>
    <t>deal secured</t>
  </si>
  <si>
    <t>total number of team members</t>
  </si>
  <si>
    <t>BluePine Industries</t>
  </si>
  <si>
    <t>Delhi</t>
  </si>
  <si>
    <t>Frozen Momos</t>
  </si>
  <si>
    <t>Food</t>
  </si>
  <si>
    <t>₹75 lakhs for 16% equity</t>
  </si>
  <si>
    <t>35-40</t>
  </si>
  <si>
    <t>Ama-Ash-Vin</t>
  </si>
  <si>
    <t>Booz scooters</t>
  </si>
  <si>
    <t>Ahemdabad</t>
  </si>
  <si>
    <t>Renting e-bike for mobility in private spaces</t>
  </si>
  <si>
    <t>Automobile</t>
  </si>
  <si>
    <t>₹40 lakhs for 50% equity</t>
  </si>
  <si>
    <t>25-30</t>
  </si>
  <si>
    <t>Ash-Vin</t>
  </si>
  <si>
    <t>Heart up my Sleeves</t>
  </si>
  <si>
    <t>Detachable Sleeves</t>
  </si>
  <si>
    <t>Clothes</t>
  </si>
  <si>
    <t>₹25 lakhs for 30% equity</t>
  </si>
  <si>
    <t>20-25</t>
  </si>
  <si>
    <t>Anu-Vin</t>
  </si>
  <si>
    <t>Tagz Foods</t>
  </si>
  <si>
    <t>Bangalore</t>
  </si>
  <si>
    <t>Healthy Potato Chips</t>
  </si>
  <si>
    <t>₹70 lakhs for 2.75% equity</t>
  </si>
  <si>
    <t>Ash</t>
  </si>
  <si>
    <t>Head and Heart</t>
  </si>
  <si>
    <t>Brain Development Course</t>
  </si>
  <si>
    <t>Health</t>
  </si>
  <si>
    <t>No Deal</t>
  </si>
  <si>
    <t>50-55</t>
  </si>
  <si>
    <t>-</t>
  </si>
  <si>
    <t>Ama</t>
  </si>
  <si>
    <t>Anu</t>
  </si>
  <si>
    <t>Gha</t>
  </si>
  <si>
    <t>0m</t>
  </si>
  <si>
    <t>Pey</t>
  </si>
  <si>
    <t>Vin</t>
  </si>
  <si>
    <t>Agro tourism</t>
  </si>
  <si>
    <t>Baramati</t>
  </si>
  <si>
    <t>Tourism</t>
  </si>
  <si>
    <t>Qzense Labs</t>
  </si>
  <si>
    <t>Food Freshness Detector</t>
  </si>
  <si>
    <t>30-35</t>
  </si>
  <si>
    <t>Peeschute</t>
  </si>
  <si>
    <t>Jal0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</si>
  <si>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</si>
  <si>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</si>
  <si>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</si>
  <si>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</si>
  <si>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</si>
  <si>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</si>
  <si>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</si>
  <si>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</si>
  <si>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</si>
  <si>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Darbhanga</t>
  </si>
  <si>
    <t>Pickle</t>
  </si>
  <si>
    <t>45-50</t>
  </si>
  <si>
    <t>Bummer</t>
  </si>
  <si>
    <t>Underwear</t>
  </si>
  <si>
    <t>₹75 lakhs for 7.5% equity</t>
  </si>
  <si>
    <t>Ama-0m</t>
  </si>
  <si>
    <t>Revamp Moto</t>
  </si>
  <si>
    <t>0shik</t>
  </si>
  <si>
    <t>E-Bike</t>
  </si>
  <si>
    <t>₹1 crore for 1.5% equity</t>
  </si>
  <si>
    <t>Ama-Anu</t>
  </si>
  <si>
    <t>Hungry Heads</t>
  </si>
  <si>
    <t>Mumbai</t>
  </si>
  <si>
    <t>Restaurant serving 80 types of Maggi</t>
  </si>
  <si>
    <t>Shrawani Engineers</t>
  </si>
  <si>
    <t>Pune</t>
  </si>
  <si>
    <t>Belly Button Shaper</t>
  </si>
  <si>
    <t>Lifestyle</t>
  </si>
  <si>
    <t>Skippi Pops</t>
  </si>
  <si>
    <t>Hyderabad</t>
  </si>
  <si>
    <t>Ice-Pops</t>
  </si>
  <si>
    <t>₹1 crore for 15% equity</t>
  </si>
  <si>
    <t>Ama-Anu-Ash-0m-Vin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</si>
  <si>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</si>
  <si>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</si>
  <si>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</si>
  <si>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</si>
  <si>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</si>
  <si>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</si>
  <si>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</si>
  <si>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</si>
  <si>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Ama-Ash</t>
  </si>
  <si>
    <t>Torch-it</t>
  </si>
  <si>
    <t>Gadgets for visually impaired people</t>
  </si>
  <si>
    <t>La Kheer Deli</t>
  </si>
  <si>
    <t>Kheer in variety of flavors</t>
  </si>
  <si>
    <t>Beyond S0ck</t>
  </si>
  <si>
    <t>Kerela</t>
  </si>
  <si>
    <t>Kerala Ba00 Chips</t>
  </si>
  <si>
    <t>₹50 lakhs for 2.5% equity</t>
  </si>
  <si>
    <t>Vivalyf Innovations- Easy Life</t>
  </si>
  <si>
    <t>Prickless Diabetes Testing Machine</t>
  </si>
  <si>
    <t>₹56 lakhs for 33.33% equity</t>
  </si>
  <si>
    <t>Anu-Pey</t>
  </si>
  <si>
    <t>Motion Breeze</t>
  </si>
  <si>
    <t>Gujarat</t>
  </si>
  <si>
    <t>Smart Electric Motorcycle</t>
  </si>
  <si>
    <t>₹30 lakhs for 6% equity</t>
  </si>
  <si>
    <t>Altor</t>
  </si>
  <si>
    <t>Kolkata</t>
  </si>
  <si>
    <t>Smart Helmets</t>
  </si>
  <si>
    <t>₹50 lakhs for 7% equity</t>
  </si>
  <si>
    <t>Ariro</t>
  </si>
  <si>
    <t>Chen0i</t>
  </si>
  <si>
    <t>Wooden Toys</t>
  </si>
  <si>
    <t>₹50 lakhs for 10% equity</t>
  </si>
  <si>
    <t>Ama-Pey</t>
  </si>
  <si>
    <t>Kabira Handmade</t>
  </si>
  <si>
    <t>Jaipur</t>
  </si>
  <si>
    <t>Healthy Oils</t>
  </si>
  <si>
    <t>Nuutjob</t>
  </si>
  <si>
    <t>Male Intimate Hygiene</t>
  </si>
  <si>
    <t>₹25 lakhs for 20% equity</t>
  </si>
  <si>
    <t>Ama-0m-Pey</t>
  </si>
  <si>
    <t>Meatyour</t>
  </si>
  <si>
    <t>Eggs</t>
  </si>
  <si>
    <t>₹30 lakhs for 20% equity</t>
  </si>
  <si>
    <t>Ama-Anu-Pey</t>
  </si>
  <si>
    <t>EventBeep</t>
  </si>
  <si>
    <t>Student Community App</t>
  </si>
  <si>
    <t>₹30 lakhs for 3% equity</t>
  </si>
  <si>
    <t>Ama-Ash-Pey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</si>
  <si>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</si>
  <si>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</si>
  <si>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</si>
  <si>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</si>
  <si>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</si>
  <si>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</si>
  <si>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0gpur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</si>
  <si>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</si>
  <si>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</si>
  <si>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</si>
  <si>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</si>
  <si>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</si>
  <si>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</si>
  <si>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</si>
  <si>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</si>
  <si>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Technology</t>
  </si>
  <si>
    <t>₹40 lakhs for 24% equity</t>
  </si>
  <si>
    <t>Annie</t>
  </si>
  <si>
    <t>Braille Literary Device</t>
  </si>
  <si>
    <t>₹1.05 crore at 3% equity</t>
  </si>
  <si>
    <t>Anu-0m-Pey</t>
  </si>
  <si>
    <t>Caragreen</t>
  </si>
  <si>
    <t>Indore</t>
  </si>
  <si>
    <t>Eco-Friendly boxes</t>
  </si>
  <si>
    <t>40-45</t>
  </si>
  <si>
    <t>The Yarn Bazaar</t>
  </si>
  <si>
    <t>Yarn-Trading App</t>
  </si>
  <si>
    <t>₹1 crore for 10% equity</t>
  </si>
  <si>
    <t>Ama-Anu-Ash-Pey</t>
  </si>
  <si>
    <t>The Re0l Project</t>
  </si>
  <si>
    <t>Home Dialysis Treatment</t>
  </si>
  <si>
    <t>₹1 crore at 6% equity</t>
  </si>
  <si>
    <t>Morikko Pure Foods</t>
  </si>
  <si>
    <t>Valsad</t>
  </si>
  <si>
    <t>Healthy Food S0cks</t>
  </si>
  <si>
    <t>Good Good Piggy Bank</t>
  </si>
  <si>
    <t>Digital Piggy Bank</t>
  </si>
  <si>
    <t>Hammer Lifestyle</t>
  </si>
  <si>
    <t>Panipat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</si>
  <si>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</si>
  <si>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</si>
  <si>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</si>
  <si>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</si>
  <si>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</si>
  <si>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</si>
  <si>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</si>
  <si>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</si>
  <si>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Ama-Anu-0m</t>
  </si>
  <si>
    <t>Bamboo India</t>
  </si>
  <si>
    <t>Bamboo Products</t>
  </si>
  <si>
    <t>₹50 lakhs at 3.5% Equity and ₹30 lakhs Debt</t>
  </si>
  <si>
    <t>Anu-Ash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</si>
  <si>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</si>
  <si>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</si>
  <si>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</si>
  <si>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</si>
  <si>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</si>
  <si>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</si>
  <si>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S0cks</t>
  </si>
  <si>
    <t>₹45 lakhs for 12% Equity</t>
  </si>
  <si>
    <t>Find Your Kicks India</t>
  </si>
  <si>
    <t>Ludhia0</t>
  </si>
  <si>
    <t>Sneaker Resale</t>
  </si>
  <si>
    <t>Ama-Anu-Ash-0m-Pey</t>
  </si>
  <si>
    <t>Aas Vidyalaya</t>
  </si>
  <si>
    <t>EdTech App</t>
  </si>
  <si>
    <t>₹1.5 Crore for 15% Equity</t>
  </si>
  <si>
    <t>Ash-0m-Pey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</si>
  <si>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</si>
  <si>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</si>
  <si>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</si>
  <si>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</si>
  <si>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</si>
  <si>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</si>
  <si>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</si>
  <si>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</si>
  <si>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</si>
  <si>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</si>
  <si>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Gurgaon</t>
  </si>
  <si>
    <t>Electric Auto Vehicle</t>
  </si>
  <si>
    <t>₹1 lakh for 1% equity and ₹99 lakhs Debt</t>
  </si>
  <si>
    <t>41-45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</si>
  <si>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</si>
  <si>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</si>
  <si>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</si>
  <si>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</si>
  <si>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</si>
  <si>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</si>
  <si>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</si>
  <si>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Ama-Ash-0m-Pey</t>
  </si>
  <si>
    <t>KetoIndia</t>
  </si>
  <si>
    <t>Customised Keto Diets for various medical issues</t>
  </si>
  <si>
    <t>Magic lock</t>
  </si>
  <si>
    <t>Unknown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</si>
  <si>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</si>
  <si>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</si>
  <si>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</si>
  <si>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</si>
  <si>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</si>
  <si>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</si>
  <si>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</si>
  <si>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</si>
  <si>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</si>
  <si>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</si>
  <si>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</si>
  <si>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</si>
  <si>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</si>
  <si>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Jammu</t>
  </si>
  <si>
    <t>Inventions</t>
  </si>
  <si>
    <t>₹25 Lakhs for 75% equity &amp; 22 lakhs Debt</t>
  </si>
  <si>
    <t>The Quirky 0ri</t>
  </si>
  <si>
    <t>Mathura</t>
  </si>
  <si>
    <t>Customised Apparels</t>
  </si>
  <si>
    <t>₹35 lakhs for 24% equity</t>
  </si>
  <si>
    <t>Hair Origi0ls</t>
  </si>
  <si>
    <t>0tural Hair Extensions</t>
  </si>
  <si>
    <t>₹60 Lakhs for 4% equity</t>
  </si>
  <si>
    <t>Anu-Ash-Pey</t>
  </si>
  <si>
    <t>Poo de Cologne</t>
  </si>
  <si>
    <t>Toilet Spray with Essential Oils</t>
  </si>
  <si>
    <t>Moonshine Meads</t>
  </si>
  <si>
    <t>Meads</t>
  </si>
  <si>
    <t>Falhari</t>
  </si>
  <si>
    <t>Fresh Fruits</t>
  </si>
  <si>
    <t>0mhya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</si>
  <si>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</si>
  <si>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</si>
  <si>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</si>
  <si>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</si>
  <si>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</si>
  <si>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Secundarabad</t>
  </si>
  <si>
    <t>Motorcycle Luggage</t>
  </si>
  <si>
    <t>Modern Myth</t>
  </si>
  <si>
    <t>Bags</t>
  </si>
  <si>
    <t>The Sass Bar</t>
  </si>
  <si>
    <t>Gifts</t>
  </si>
  <si>
    <t>₹50 lakhs for 35% Equity</t>
  </si>
  <si>
    <t>Anu-Gha</t>
  </si>
  <si>
    <t>KG Agrotech</t>
  </si>
  <si>
    <t>Malegaon</t>
  </si>
  <si>
    <t>Agricultural Innovations</t>
  </si>
  <si>
    <t>₹10 lakhs for 40% Equity &amp; ₹20 lakhs Debt</t>
  </si>
  <si>
    <t>Nuskha Kitchen</t>
  </si>
  <si>
    <t>Homemade Foods</t>
  </si>
  <si>
    <t>PawsIndia</t>
  </si>
  <si>
    <t>Bombay</t>
  </si>
  <si>
    <t>Dog Products</t>
  </si>
  <si>
    <t>₹50 lakhs for 15% Equity</t>
  </si>
  <si>
    <t>Sunfox Technologies</t>
  </si>
  <si>
    <t>Dehradun</t>
  </si>
  <si>
    <t>Portable ECG Device</t>
  </si>
  <si>
    <t>₹1 crore for 6% Equity</t>
  </si>
  <si>
    <t>Anu-Gha-0m-Pey-Vin</t>
  </si>
  <si>
    <t>Alpino</t>
  </si>
  <si>
    <t>Surat</t>
  </si>
  <si>
    <t>Roasted Peanut Products</t>
  </si>
  <si>
    <t>Isak Fragrances</t>
  </si>
  <si>
    <t>Lucknow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</si>
  <si>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</si>
  <si>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</si>
  <si>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</si>
  <si>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</si>
  <si>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</si>
  <si>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</si>
  <si>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</si>
  <si>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Theka Coffee</t>
  </si>
  <si>
    <t>Coffee Products</t>
  </si>
  <si>
    <t>food</t>
  </si>
  <si>
    <t>Watt Technovations</t>
  </si>
  <si>
    <t>Ventilated PPE Kits</t>
  </si>
  <si>
    <t>₹101 for 4% Equity</t>
  </si>
  <si>
    <t>Anu-Gha-0m-Pey</t>
  </si>
  <si>
    <t>Aliste Technologies</t>
  </si>
  <si>
    <t>Noida</t>
  </si>
  <si>
    <t>Automation Solutions</t>
  </si>
  <si>
    <t>Insurance Samadhan</t>
  </si>
  <si>
    <t>Insurance Solutions</t>
  </si>
  <si>
    <t>Fi0nce</t>
  </si>
  <si>
    <t>₹1 Crore for 4% Equity</t>
  </si>
  <si>
    <t>Humpy A2</t>
  </si>
  <si>
    <t>Organic Milk Products</t>
  </si>
  <si>
    <t>₹1 Crore for 15% Equity</t>
  </si>
  <si>
    <t>Gha-Pey-Vin</t>
  </si>
  <si>
    <t>Ku0fa World</t>
  </si>
  <si>
    <t>Ku0fa</t>
  </si>
  <si>
    <t>Gold Safe Solutions Ind.</t>
  </si>
  <si>
    <t>Anti-Suicidal Fan Rod</t>
  </si>
  <si>
    <t>Safety</t>
  </si>
  <si>
    <t>₹50 lakhs for 30% Equity</t>
  </si>
  <si>
    <t>Wakao Foods</t>
  </si>
  <si>
    <t>Goa</t>
  </si>
  <si>
    <t>Jackfruit Products</t>
  </si>
  <si>
    <t>₹75 lakhs for 21% Equity</t>
  </si>
  <si>
    <t>Gha-0m-Vin</t>
  </si>
  <si>
    <t>PDD Falcon</t>
  </si>
  <si>
    <t>Kaithal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</si>
  <si>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</si>
  <si>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</si>
  <si>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</si>
  <si>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</si>
  <si>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</si>
  <si>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</si>
  <si>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Entertainment</t>
  </si>
  <si>
    <t>₹80 lakhs for 6% Equity</t>
  </si>
  <si>
    <t>0m-Vin</t>
  </si>
  <si>
    <t>Shades of Spring</t>
  </si>
  <si>
    <t>Flowers</t>
  </si>
  <si>
    <t>Scholify</t>
  </si>
  <si>
    <t>Scholarship Platform</t>
  </si>
  <si>
    <t>Education</t>
  </si>
  <si>
    <t>NA</t>
  </si>
  <si>
    <t>Finance</t>
  </si>
  <si>
    <t>Kunafa World</t>
  </si>
  <si>
    <t>Kunafa</t>
  </si>
  <si>
    <t>SHARK TANK DATA ANALYSIS</t>
  </si>
  <si>
    <t>SHOW STATISTICS</t>
  </si>
  <si>
    <t>Entrepreneurs Statistics</t>
  </si>
  <si>
    <t xml:space="preserve">Metrics </t>
  </si>
  <si>
    <t>Data</t>
  </si>
  <si>
    <t>Entrepreneus in most age group</t>
  </si>
  <si>
    <t>Entrepreneurs Domain</t>
  </si>
  <si>
    <t>Location of Entrepreneurs</t>
  </si>
  <si>
    <t>Total Season</t>
  </si>
  <si>
    <t>Total Episodes</t>
  </si>
  <si>
    <t>&lt;20</t>
  </si>
  <si>
    <t>Pitches</t>
  </si>
  <si>
    <t>Pitches Converted</t>
  </si>
  <si>
    <t>%conversion</t>
  </si>
  <si>
    <t>Total Male</t>
  </si>
  <si>
    <t>Total Female</t>
  </si>
  <si>
    <t>Ratio of Gender</t>
  </si>
  <si>
    <t>Total Amount Invested lakhs</t>
  </si>
  <si>
    <t>Avg Equity Taken %</t>
  </si>
  <si>
    <t>Highest Deal Taken</t>
  </si>
  <si>
    <t>Highest Equity Taken</t>
  </si>
  <si>
    <t>Pitches having atleast one women</t>
  </si>
  <si>
    <t>Pitches converted atleast one women</t>
  </si>
  <si>
    <t>Avg team member</t>
  </si>
  <si>
    <t>Debt taken</t>
  </si>
  <si>
    <t>Nagpur</t>
  </si>
  <si>
    <t>Total Amount Asked</t>
  </si>
  <si>
    <t>Avg Equity Asked %</t>
  </si>
  <si>
    <t>Jalna</t>
  </si>
  <si>
    <t>Expectation vs Reality</t>
  </si>
  <si>
    <t>Amt invested per deal</t>
  </si>
  <si>
    <t>Chennai</t>
  </si>
  <si>
    <t>Nashik</t>
  </si>
  <si>
    <t>Ludhiana</t>
  </si>
  <si>
    <t>SHARK STATISTICS</t>
  </si>
  <si>
    <t>Amount Invested</t>
  </si>
  <si>
    <t>Avg Equity Taken</t>
  </si>
  <si>
    <t>Total deals</t>
  </si>
  <si>
    <t>Nam</t>
  </si>
  <si>
    <t>Ashneer</t>
  </si>
  <si>
    <t>Anupam</t>
  </si>
  <si>
    <t>Aman</t>
  </si>
  <si>
    <t>Peyush</t>
  </si>
  <si>
    <t>Ghazal</t>
  </si>
  <si>
    <t>Vineeta</t>
  </si>
  <si>
    <t>Namita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</si>
</sst>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7.0"/>
      <color rgb="FF202122"/>
      <name val="Arial"/>
    </font>
    <font>
      <sz val="8.0"/>
      <color rgb="FF000000"/>
      <name val="Arial"/>
    </font>
    <font/>
    <font>
      <b/>
      <u/>
      <sz val="28.0"/>
      <color theme="1"/>
      <name val="Calibri"/>
    </font>
    <font>
      <b/>
      <sz val="18.0"/>
      <color theme="1"/>
      <name val="Calibri"/>
    </font>
    <font>
      <b/>
      <sz val="22.0"/>
      <color theme="1"/>
      <name val="Calibri"/>
    </font>
    <font>
      <b/>
      <sz val="11.0"/>
      <color theme="1"/>
      <name val="Calibri"/>
    </font>
    <font>
      <b/>
      <sz val="28.0"/>
      <color theme="1"/>
      <name val="Calibri"/>
    </font>
    <font>
      <sz val="11.0"/>
      <color rgb="FF000000"/>
      <name val="Inconsolata"/>
    </font>
    <font>
      <b/>
      <sz val="11.0"/>
      <color rgb="FF000000"/>
      <name val="Inconsolata"/>
    </font>
  </fonts>
  <fills count="25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8F9FA"/>
        <bgColor rgb="FFF8F9FA"/>
      </patternFill>
    </fill>
    <fill>
      <patternFill patternType="solid">
        <fgColor rgb="FFB4C6E7"/>
        <bgColor rgb="FFB4C6E7"/>
      </patternFill>
    </fill>
    <fill>
      <patternFill patternType="solid">
        <fgColor rgb="FFFBE4D5"/>
        <bgColor rgb="FFFBE4D5"/>
      </patternFill>
    </fill>
    <fill>
      <patternFill patternType="solid">
        <fgColor rgb="FF7F7F7F"/>
        <bgColor rgb="FF7F7F7F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AEABAB"/>
        <bgColor rgb="FFAEABAB"/>
      </patternFill>
    </fill>
    <fill>
      <patternFill patternType="solid">
        <fgColor rgb="FFDEEAF6"/>
        <bgColor rgb="FFDEEAF6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BDD6EE"/>
        <bgColor rgb="FFBDD6EE"/>
      </patternFill>
    </fill>
    <fill>
      <patternFill patternType="solid">
        <fgColor rgb="FF8EAADB"/>
        <bgColor rgb="FF8EAADB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C8C8C8"/>
        <bgColor rgb="FFC8C8C8"/>
      </patternFill>
    </fill>
    <fill>
      <patternFill patternType="solid">
        <fgColor rgb="FFD6DCE4"/>
        <bgColor rgb="FFD6DCE4"/>
      </patternFill>
    </fill>
  </fills>
  <borders count="18">
    <border/>
    <border>
      <left/>
      <right/>
      <top/>
      <bottom/>
    </border>
    <border>
      <left style="medium">
        <color rgb="FFA2A9B1"/>
      </left>
      <right style="medium">
        <color rgb="FFA2A9B1"/>
      </right>
      <top style="medium">
        <color rgb="FFA2A9B1"/>
      </top>
      <bottom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</border>
    <border>
      <left style="medium">
        <color rgb="FFA2A9B1"/>
      </left>
      <right style="medium">
        <color rgb="FFA2A9B1"/>
      </right>
      <top/>
      <bottom/>
    </border>
    <border>
      <left style="medium">
        <color rgb="FFA2A9B1"/>
      </left>
      <right style="medium">
        <color rgb="FFA2A9B1"/>
      </right>
      <top style="medium">
        <color rgb="FFA2A9B1"/>
      </top>
    </border>
    <border>
      <left style="medium">
        <color rgb="FFA2A9B1"/>
      </left>
      <right style="medium">
        <color rgb="FFA2A9B1"/>
      </right>
    </border>
    <border>
      <left style="medium">
        <color rgb="FFA2A9B1"/>
      </left>
      <right style="medium">
        <color rgb="FFA2A9B1"/>
      </right>
      <top/>
      <bottom style="medium">
        <color rgb="FFA2A9B1"/>
      </bottom>
    </border>
    <border>
      <left style="medium">
        <color rgb="FFA2A9B1"/>
      </left>
      <right style="medium">
        <color rgb="FFA2A9B1"/>
      </right>
      <bottom style="medium">
        <color rgb="FFA2A9B1"/>
      </bottom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1" xfId="0" applyFont="1" applyNumberFormat="1"/>
    <xf borderId="0" fillId="0" fontId="2" numFmtId="0" xfId="0" applyFont="1"/>
    <xf borderId="0" fillId="0" fontId="1" numFmtId="0" xfId="0" applyFont="1"/>
    <xf borderId="0" fillId="0" fontId="1" numFmtId="16" xfId="0" applyFont="1" applyNumberFormat="1"/>
    <xf borderId="1" fillId="3" fontId="1" numFmtId="0" xfId="0" applyBorder="1" applyFill="1" applyFont="1"/>
    <xf borderId="1" fillId="3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" numFmtId="17" xfId="0" applyFont="1" applyNumberFormat="1"/>
    <xf borderId="2" fillId="5" fontId="3" numFmtId="0" xfId="0" applyAlignment="1" applyBorder="1" applyFill="1" applyFont="1">
      <alignment vertical="center"/>
    </xf>
    <xf borderId="3" fillId="5" fontId="3" numFmtId="0" xfId="0" applyAlignment="1" applyBorder="1" applyFont="1">
      <alignment shrinkToFit="0" vertical="center" wrapText="1"/>
    </xf>
    <xf borderId="4" fillId="5" fontId="3" numFmtId="0" xfId="0" applyAlignment="1" applyBorder="1" applyFont="1">
      <alignment shrinkToFit="0" vertical="center" wrapText="1"/>
    </xf>
    <xf borderId="1" fillId="5" fontId="3" numFmtId="0" xfId="0" applyAlignment="1" applyBorder="1" applyFont="1">
      <alignment shrinkToFit="0" vertical="center" wrapText="1"/>
    </xf>
    <xf borderId="3" fillId="4" fontId="3" numFmtId="0" xfId="0" applyAlignment="1" applyBorder="1" applyFont="1">
      <alignment shrinkToFit="0" vertical="center" wrapText="1"/>
    </xf>
    <xf borderId="0" fillId="0" fontId="4" numFmtId="0" xfId="0" applyFont="1"/>
    <xf borderId="2" fillId="5" fontId="3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shrinkToFit="0" vertical="center" wrapText="1"/>
    </xf>
    <xf borderId="6" fillId="0" fontId="5" numFmtId="0" xfId="0" applyBorder="1" applyFont="1"/>
    <xf borderId="7" fillId="5" fontId="3" numFmtId="0" xfId="0" applyAlignment="1" applyBorder="1" applyFont="1">
      <alignment shrinkToFit="0" vertical="center" wrapText="1"/>
    </xf>
    <xf borderId="8" fillId="0" fontId="5" numFmtId="0" xfId="0" applyBorder="1" applyFont="1"/>
    <xf borderId="7" fillId="5" fontId="3" numFmtId="17" xfId="0" applyAlignment="1" applyBorder="1" applyFont="1" applyNumberFormat="1">
      <alignment shrinkToFit="0" vertical="center" wrapText="1"/>
    </xf>
    <xf borderId="9" fillId="6" fontId="1" numFmtId="0" xfId="0" applyAlignment="1" applyBorder="1" applyFill="1" applyFont="1">
      <alignment horizontal="center" shrinkToFit="0" wrapText="1"/>
    </xf>
    <xf borderId="10" fillId="0" fontId="5" numFmtId="0" xfId="0" applyBorder="1" applyFont="1"/>
    <xf borderId="11" fillId="0" fontId="5" numFmtId="0" xfId="0" applyBorder="1" applyFont="1"/>
    <xf borderId="9" fillId="6" fontId="6" numFmtId="0" xfId="0" applyAlignment="1" applyBorder="1" applyFont="1">
      <alignment horizontal="center" shrinkToFit="0" vertical="center" wrapText="1"/>
    </xf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9" fillId="6" fontId="7" numFmtId="0" xfId="0" applyAlignment="1" applyBorder="1" applyFont="1">
      <alignment horizontal="center" shrinkToFit="0" vertical="center" wrapText="1"/>
    </xf>
    <xf borderId="9" fillId="6" fontId="8" numFmtId="0" xfId="0" applyAlignment="1" applyBorder="1" applyFont="1">
      <alignment horizontal="center" shrinkToFit="0" vertical="center" wrapText="1"/>
    </xf>
    <xf borderId="1" fillId="6" fontId="1" numFmtId="0" xfId="0" applyBorder="1" applyFont="1"/>
    <xf borderId="15" fillId="7" fontId="9" numFmtId="0" xfId="0" applyAlignment="1" applyBorder="1" applyFill="1" applyFont="1">
      <alignment horizontal="center" shrinkToFit="0" wrapText="1"/>
    </xf>
    <xf borderId="16" fillId="0" fontId="5" numFmtId="0" xfId="0" applyBorder="1" applyFont="1"/>
    <xf borderId="0" fillId="0" fontId="9" numFmtId="0" xfId="0" applyAlignment="1" applyFont="1">
      <alignment horizontal="center" shrinkToFit="0" wrapText="1"/>
    </xf>
    <xf borderId="15" fillId="7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17" fillId="7" fontId="9" numFmtId="0" xfId="0" applyBorder="1" applyFont="1"/>
    <xf borderId="17" fillId="0" fontId="1" numFmtId="0" xfId="0" applyBorder="1" applyFont="1"/>
    <xf borderId="17" fillId="8" fontId="1" numFmtId="0" xfId="0" applyAlignment="1" applyBorder="1" applyFill="1" applyFont="1">
      <alignment horizontal="left" readingOrder="0"/>
    </xf>
    <xf borderId="17" fillId="2" fontId="1" numFmtId="0" xfId="0" applyAlignment="1" applyBorder="1" applyFont="1">
      <alignment horizontal="left"/>
    </xf>
    <xf borderId="17" fillId="3" fontId="1" numFmtId="0" xfId="0" applyAlignment="1" applyBorder="1" applyFont="1">
      <alignment horizontal="left"/>
    </xf>
    <xf borderId="17" fillId="9" fontId="1" numFmtId="0" xfId="0" applyAlignment="1" applyBorder="1" applyFill="1" applyFont="1">
      <alignment horizontal="left"/>
    </xf>
    <xf borderId="17" fillId="10" fontId="1" numFmtId="0" xfId="0" applyAlignment="1" applyBorder="1" applyFill="1" applyFont="1">
      <alignment horizontal="left"/>
    </xf>
    <xf borderId="17" fillId="11" fontId="1" numFmtId="0" xfId="0" applyAlignment="1" applyBorder="1" applyFill="1" applyFont="1">
      <alignment horizontal="left"/>
    </xf>
    <xf borderId="17" fillId="12" fontId="1" numFmtId="0" xfId="0" applyAlignment="1" applyBorder="1" applyFill="1" applyFont="1">
      <alignment horizontal="left"/>
    </xf>
    <xf borderId="17" fillId="13" fontId="1" numFmtId="0" xfId="0" applyAlignment="1" applyBorder="1" applyFill="1" applyFont="1">
      <alignment horizontal="left"/>
    </xf>
    <xf borderId="17" fillId="14" fontId="1" numFmtId="0" xfId="0" applyAlignment="1" applyBorder="1" applyFill="1" applyFont="1">
      <alignment horizontal="left"/>
    </xf>
    <xf borderId="17" fillId="15" fontId="1" numFmtId="0" xfId="0" applyAlignment="1" applyBorder="1" applyFill="1" applyFont="1">
      <alignment horizontal="left"/>
    </xf>
    <xf borderId="17" fillId="16" fontId="1" numFmtId="0" xfId="0" applyAlignment="1" applyBorder="1" applyFill="1" applyFont="1">
      <alignment horizontal="left"/>
    </xf>
    <xf borderId="17" fillId="17" fontId="1" numFmtId="0" xfId="0" applyAlignment="1" applyBorder="1" applyFill="1" applyFont="1">
      <alignment horizontal="left"/>
    </xf>
    <xf borderId="17" fillId="18" fontId="1" numFmtId="0" xfId="0" applyAlignment="1" applyBorder="1" applyFill="1" applyFont="1">
      <alignment horizontal="left"/>
    </xf>
    <xf borderId="17" fillId="19" fontId="1" numFmtId="0" xfId="0" applyAlignment="1" applyBorder="1" applyFill="1" applyFont="1">
      <alignment horizontal="left"/>
    </xf>
    <xf borderId="17" fillId="20" fontId="1" numFmtId="0" xfId="0" applyAlignment="1" applyBorder="1" applyFill="1" applyFont="1">
      <alignment horizontal="left"/>
    </xf>
    <xf borderId="17" fillId="0" fontId="1" numFmtId="0" xfId="0" applyAlignment="1" applyBorder="1" applyFont="1">
      <alignment horizontal="left"/>
    </xf>
    <xf borderId="9" fillId="6" fontId="10" numFmtId="0" xfId="0" applyAlignment="1" applyBorder="1" applyFont="1">
      <alignment horizontal="center" shrinkToFit="0" vertical="center" wrapText="1"/>
    </xf>
    <xf borderId="17" fillId="7" fontId="1" numFmtId="0" xfId="0" applyBorder="1" applyFont="1"/>
    <xf borderId="1" fillId="7" fontId="1" numFmtId="0" xfId="0" applyBorder="1" applyFont="1"/>
    <xf borderId="17" fillId="11" fontId="1" numFmtId="0" xfId="0" applyBorder="1" applyFont="1"/>
    <xf borderId="1" fillId="20" fontId="9" numFmtId="0" xfId="0" applyBorder="1" applyFont="1"/>
    <xf borderId="0" fillId="21" fontId="11" numFmtId="0" xfId="0" applyFill="1" applyFont="1"/>
    <xf borderId="17" fillId="18" fontId="1" numFmtId="0" xfId="0" applyBorder="1" applyFont="1"/>
    <xf borderId="0" fillId="21" fontId="11" numFmtId="0" xfId="0" applyFont="1"/>
    <xf borderId="17" fillId="22" fontId="1" numFmtId="0" xfId="0" applyBorder="1" applyFill="1" applyFont="1"/>
    <xf borderId="0" fillId="20" fontId="12" numFmtId="0" xfId="0" applyFont="1"/>
    <xf borderId="17" fillId="23" fontId="1" numFmtId="0" xfId="0" applyBorder="1" applyFill="1" applyFont="1"/>
    <xf borderId="17" fillId="2" fontId="1" numFmtId="0" xfId="0" applyBorder="1" applyFont="1"/>
    <xf borderId="17" fillId="6" fontId="1" numFmtId="0" xfId="0" applyBorder="1" applyFont="1"/>
    <xf borderId="17" fillId="24" fontId="1" numFmtId="0" xfId="0" applyBorder="1" applyFill="1" applyFont="1"/>
  </cellXfs>
  <cellStyles count="1">
    <cellStyle xfId="0" name="Normal" builtinId="0"/>
  </cellStyles>
  <dxfs count="3">
    <dxf>
      <font>
        <b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71"/>
    <col customWidth="1" min="2" max="3" width="25.0"/>
    <col customWidth="1" min="4" max="4" width="7.0"/>
    <col customWidth="1" min="5" max="5" width="12.71"/>
    <col customWidth="1" min="6" max="6" width="43.71"/>
    <col customWidth="1" min="7" max="7" width="12.86"/>
    <col customWidth="1" min="8" max="8" width="39.29"/>
    <col customWidth="1" min="9" max="9" width="20.29"/>
    <col customWidth="1" min="10" max="10" width="15.71"/>
    <col customWidth="1" min="11" max="11" width="12.71"/>
    <col customWidth="1" min="12" max="12" width="10.57"/>
    <col customWidth="1" min="13" max="13" width="17.0"/>
    <col customWidth="1" min="14" max="14" width="13.86"/>
    <col customWidth="1" min="15" max="15" width="10.71"/>
    <col customWidth="1" min="16" max="16" width="13.29"/>
    <col customWidth="1" min="17" max="17" width="22.14"/>
    <col customWidth="1" min="18" max="18" width="20.43"/>
    <col customWidth="1" min="19" max="19" width="21.57"/>
    <col customWidth="1" min="20" max="20" width="19.86"/>
    <col customWidth="1" min="21" max="21" width="22.29"/>
    <col customWidth="1" min="22" max="22" width="20.57"/>
    <col customWidth="1" min="23" max="23" width="21.71"/>
    <col customWidth="1" min="24" max="25" width="20.14"/>
    <col customWidth="1" min="26" max="26" width="18.57"/>
    <col customWidth="1" min="27" max="27" width="21.14"/>
    <col customWidth="1" min="28" max="28" width="19.57"/>
    <col customWidth="1" min="29" max="29" width="20.86"/>
    <col customWidth="1" min="30" max="30" width="19.57"/>
    <col customWidth="1" min="31" max="31" width="13.14"/>
    <col customWidth="1" min="32" max="32" width="20.86"/>
    <col customWidth="1" min="33" max="33" width="8.71"/>
    <col customWidth="1" min="34" max="34" width="12.0"/>
    <col customWidth="1" min="35" max="35" width="21.0"/>
    <col customWidth="1" min="36" max="4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H1" s="3" t="s">
        <v>32</v>
      </c>
      <c r="AI1" s="3" t="s">
        <v>33</v>
      </c>
    </row>
    <row r="2" ht="14.25" customHeight="1">
      <c r="A2" s="4">
        <v>1.0</v>
      </c>
      <c r="B2" s="5" t="s">
        <v>34</v>
      </c>
      <c r="C2" s="5">
        <v>2.0</v>
      </c>
      <c r="D2" s="5">
        <v>1.0</v>
      </c>
      <c r="E2" s="5" t="s">
        <v>35</v>
      </c>
      <c r="F2" s="5" t="s">
        <v>36</v>
      </c>
      <c r="G2" s="5" t="s">
        <v>37</v>
      </c>
      <c r="H2" s="5" t="s">
        <v>38</v>
      </c>
      <c r="I2" s="5">
        <v>75.0</v>
      </c>
      <c r="J2" s="5">
        <v>50.0</v>
      </c>
      <c r="K2" s="5">
        <v>0.0</v>
      </c>
      <c r="L2" s="5">
        <v>0.0</v>
      </c>
      <c r="M2" s="5">
        <v>16.0</v>
      </c>
      <c r="N2" s="5">
        <v>5.0</v>
      </c>
      <c r="O2" s="5" t="s">
        <v>39</v>
      </c>
      <c r="P2" s="5">
        <v>3.0</v>
      </c>
      <c r="Q2" s="6">
        <v>25.0</v>
      </c>
      <c r="R2" s="5">
        <v>5.333333333333333</v>
      </c>
      <c r="S2" s="5">
        <v>0.0</v>
      </c>
      <c r="T2" s="5">
        <v>0.0</v>
      </c>
      <c r="U2" s="5">
        <v>0.0</v>
      </c>
      <c r="V2" s="5">
        <v>0.0</v>
      </c>
      <c r="W2" s="5">
        <v>25.0</v>
      </c>
      <c r="X2" s="5">
        <v>5.33</v>
      </c>
      <c r="Y2" s="5">
        <v>25.0</v>
      </c>
      <c r="Z2" s="5">
        <v>5.33</v>
      </c>
      <c r="AA2" s="3">
        <v>0.0</v>
      </c>
      <c r="AB2" s="3">
        <v>0.0</v>
      </c>
      <c r="AC2" s="3">
        <v>0.0</v>
      </c>
      <c r="AD2" s="3">
        <v>0.0</v>
      </c>
      <c r="AE2" s="5">
        <v>3.0</v>
      </c>
      <c r="AF2" s="5" t="s">
        <v>40</v>
      </c>
      <c r="AG2" s="5">
        <f t="shared" ref="AG2:AG99" si="1">IF(AND(ISNUMBER(FIND("Pey",AF2)),ISNUMBER(FIND("Vin",AF2))),1,0)</f>
        <v>0</v>
      </c>
      <c r="AH2" s="5" t="str">
        <f t="shared" ref="AH2:AH99" si="2">if($H2="No Deal","no","yes")</f>
        <v>yes</v>
      </c>
      <c r="AI2" s="5">
        <f t="shared" ref="AI2:AI99" si="3">sum($C2,$D2)</f>
        <v>3</v>
      </c>
    </row>
    <row r="3" ht="14.25" customHeight="1">
      <c r="A3" s="4">
        <v>1.0</v>
      </c>
      <c r="B3" s="5" t="s">
        <v>41</v>
      </c>
      <c r="C3" s="5">
        <v>1.0</v>
      </c>
      <c r="D3" s="5">
        <v>0.0</v>
      </c>
      <c r="E3" s="5" t="s">
        <v>42</v>
      </c>
      <c r="F3" s="5" t="s">
        <v>43</v>
      </c>
      <c r="G3" s="5" t="s">
        <v>44</v>
      </c>
      <c r="H3" s="5" t="s">
        <v>45</v>
      </c>
      <c r="I3" s="5">
        <v>40.0</v>
      </c>
      <c r="J3" s="5">
        <v>40.0</v>
      </c>
      <c r="K3" s="5">
        <v>0.0</v>
      </c>
      <c r="L3" s="5">
        <v>0.0</v>
      </c>
      <c r="M3" s="5">
        <v>50.0</v>
      </c>
      <c r="N3" s="5">
        <v>15.0</v>
      </c>
      <c r="O3" s="5" t="s">
        <v>46</v>
      </c>
      <c r="P3" s="5">
        <v>1.0</v>
      </c>
      <c r="Q3" s="6">
        <v>20.0</v>
      </c>
      <c r="R3" s="5">
        <v>25.0</v>
      </c>
      <c r="S3" s="5">
        <v>0.0</v>
      </c>
      <c r="T3" s="5">
        <v>0.0</v>
      </c>
      <c r="U3" s="5">
        <v>0.0</v>
      </c>
      <c r="V3" s="5">
        <v>0.0</v>
      </c>
      <c r="W3" s="5">
        <v>20.0</v>
      </c>
      <c r="X3" s="5">
        <v>25.0</v>
      </c>
      <c r="Y3" s="5">
        <v>0.0</v>
      </c>
      <c r="Z3" s="5">
        <v>0.0</v>
      </c>
      <c r="AA3" s="3">
        <v>0.0</v>
      </c>
      <c r="AB3" s="3">
        <v>0.0</v>
      </c>
      <c r="AC3" s="3">
        <v>0.0</v>
      </c>
      <c r="AD3" s="3">
        <v>0.0</v>
      </c>
      <c r="AE3" s="5">
        <v>2.0</v>
      </c>
      <c r="AF3" s="5" t="s">
        <v>47</v>
      </c>
      <c r="AG3" s="5">
        <f t="shared" si="1"/>
        <v>0</v>
      </c>
      <c r="AH3" s="5" t="str">
        <f t="shared" si="2"/>
        <v>yes</v>
      </c>
      <c r="AI3" s="5">
        <f t="shared" si="3"/>
        <v>1</v>
      </c>
    </row>
    <row r="4" ht="14.25" customHeight="1">
      <c r="A4" s="4">
        <v>1.0</v>
      </c>
      <c r="B4" s="5" t="s">
        <v>48</v>
      </c>
      <c r="C4" s="5">
        <v>0.0</v>
      </c>
      <c r="D4" s="5">
        <v>1.0</v>
      </c>
      <c r="E4" s="5" t="s">
        <v>35</v>
      </c>
      <c r="F4" s="5" t="s">
        <v>49</v>
      </c>
      <c r="G4" s="5" t="s">
        <v>50</v>
      </c>
      <c r="H4" s="5" t="s">
        <v>51</v>
      </c>
      <c r="I4" s="5">
        <v>25.0</v>
      </c>
      <c r="J4" s="5">
        <v>25.0</v>
      </c>
      <c r="K4" s="5">
        <v>0.0</v>
      </c>
      <c r="L4" s="5">
        <v>0.0</v>
      </c>
      <c r="M4" s="5">
        <v>30.0</v>
      </c>
      <c r="N4" s="5">
        <v>10.0</v>
      </c>
      <c r="O4" s="5" t="s">
        <v>52</v>
      </c>
      <c r="P4" s="5">
        <v>1.0</v>
      </c>
      <c r="Q4" s="6">
        <v>0.0</v>
      </c>
      <c r="R4" s="5">
        <v>0.0</v>
      </c>
      <c r="S4" s="5">
        <v>0.0</v>
      </c>
      <c r="T4" s="5">
        <v>0.0</v>
      </c>
      <c r="U4" s="5">
        <v>12.5</v>
      </c>
      <c r="V4" s="5">
        <v>15.0</v>
      </c>
      <c r="W4" s="5">
        <v>12.5</v>
      </c>
      <c r="X4" s="5">
        <v>15.0</v>
      </c>
      <c r="Y4" s="5">
        <v>0.0</v>
      </c>
      <c r="Z4" s="5">
        <v>0.0</v>
      </c>
      <c r="AA4" s="3">
        <v>0.0</v>
      </c>
      <c r="AB4" s="3">
        <v>0.0</v>
      </c>
      <c r="AC4" s="3">
        <v>0.0</v>
      </c>
      <c r="AD4" s="3">
        <v>0.0</v>
      </c>
      <c r="AE4" s="5">
        <v>2.0</v>
      </c>
      <c r="AF4" s="5" t="s">
        <v>53</v>
      </c>
      <c r="AG4" s="5">
        <f t="shared" si="1"/>
        <v>0</v>
      </c>
      <c r="AH4" s="5" t="str">
        <f t="shared" si="2"/>
        <v>yes</v>
      </c>
      <c r="AI4" s="5">
        <f t="shared" si="3"/>
        <v>1</v>
      </c>
    </row>
    <row r="5" ht="14.25" customHeight="1">
      <c r="A5" s="4">
        <v>2.0</v>
      </c>
      <c r="B5" s="5" t="s">
        <v>54</v>
      </c>
      <c r="C5" s="5">
        <v>2.0</v>
      </c>
      <c r="D5" s="5">
        <v>0.0</v>
      </c>
      <c r="E5" s="5" t="s">
        <v>55</v>
      </c>
      <c r="F5" s="5" t="s">
        <v>56</v>
      </c>
      <c r="G5" s="5" t="s">
        <v>37</v>
      </c>
      <c r="H5" s="5" t="s">
        <v>57</v>
      </c>
      <c r="I5" s="5">
        <v>70.0</v>
      </c>
      <c r="J5" s="5">
        <v>70.0</v>
      </c>
      <c r="K5" s="5">
        <v>0.0</v>
      </c>
      <c r="L5" s="5">
        <v>0.0</v>
      </c>
      <c r="M5" s="5">
        <v>2.75</v>
      </c>
      <c r="N5" s="5">
        <v>1.0</v>
      </c>
      <c r="O5" s="5" t="s">
        <v>39</v>
      </c>
      <c r="P5" s="5">
        <v>2.0</v>
      </c>
      <c r="Q5" s="6">
        <v>70.0</v>
      </c>
      <c r="R5" s="5">
        <v>2.75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3">
        <v>0.0</v>
      </c>
      <c r="AB5" s="3">
        <v>0.0</v>
      </c>
      <c r="AC5" s="3">
        <v>0.0</v>
      </c>
      <c r="AD5" s="3">
        <v>0.0</v>
      </c>
      <c r="AE5" s="5">
        <v>1.0</v>
      </c>
      <c r="AF5" s="5" t="s">
        <v>58</v>
      </c>
      <c r="AG5" s="5">
        <f t="shared" si="1"/>
        <v>0</v>
      </c>
      <c r="AH5" s="5" t="str">
        <f t="shared" si="2"/>
        <v>yes</v>
      </c>
      <c r="AI5" s="5">
        <f t="shared" si="3"/>
        <v>2</v>
      </c>
    </row>
    <row r="6" ht="14.25" customHeight="1">
      <c r="A6" s="4">
        <v>2.0</v>
      </c>
      <c r="B6" s="5" t="s">
        <v>59</v>
      </c>
      <c r="C6" s="5">
        <v>1.0</v>
      </c>
      <c r="D6" s="5">
        <v>1.0</v>
      </c>
      <c r="E6" s="5" t="s">
        <v>35</v>
      </c>
      <c r="F6" s="5" t="s">
        <v>60</v>
      </c>
      <c r="G6" s="5" t="s">
        <v>61</v>
      </c>
      <c r="H6" s="5" t="s">
        <v>62</v>
      </c>
      <c r="I6" s="5">
        <v>0.0</v>
      </c>
      <c r="J6" s="5">
        <v>50.0</v>
      </c>
      <c r="K6" s="5">
        <v>0.0</v>
      </c>
      <c r="L6" s="5">
        <v>0.0</v>
      </c>
      <c r="M6" s="5">
        <v>0.0</v>
      </c>
      <c r="N6" s="5">
        <v>5.0</v>
      </c>
      <c r="O6" s="5" t="s">
        <v>63</v>
      </c>
      <c r="P6" s="5">
        <v>2.0</v>
      </c>
      <c r="Q6" s="6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3">
        <v>0.0</v>
      </c>
      <c r="AB6" s="3">
        <v>0.0</v>
      </c>
      <c r="AC6" s="3">
        <v>0.0</v>
      </c>
      <c r="AD6" s="3">
        <v>0.0</v>
      </c>
      <c r="AE6" s="5">
        <v>0.0</v>
      </c>
      <c r="AF6" s="5" t="s">
        <v>64</v>
      </c>
      <c r="AG6" s="5">
        <f t="shared" si="1"/>
        <v>0</v>
      </c>
      <c r="AH6" s="5" t="str">
        <f t="shared" si="2"/>
        <v>no</v>
      </c>
      <c r="AI6" s="5">
        <f t="shared" si="3"/>
        <v>2</v>
      </c>
      <c r="AK6" s="5" t="s">
        <v>65</v>
      </c>
      <c r="AL6" s="5" t="s">
        <v>66</v>
      </c>
      <c r="AM6" s="5" t="s">
        <v>58</v>
      </c>
      <c r="AN6" s="5" t="s">
        <v>67</v>
      </c>
      <c r="AO6" s="3" t="s">
        <v>68</v>
      </c>
      <c r="AP6" s="5" t="s">
        <v>69</v>
      </c>
      <c r="AQ6" s="5" t="s">
        <v>70</v>
      </c>
    </row>
    <row r="7" ht="14.25" customHeight="1">
      <c r="A7" s="4">
        <v>2.0</v>
      </c>
      <c r="B7" s="5" t="s">
        <v>71</v>
      </c>
      <c r="C7" s="5">
        <v>1.0</v>
      </c>
      <c r="D7" s="5">
        <v>1.0</v>
      </c>
      <c r="E7" s="5" t="s">
        <v>72</v>
      </c>
      <c r="F7" s="5" t="s">
        <v>73</v>
      </c>
      <c r="G7" s="5" t="s">
        <v>73</v>
      </c>
      <c r="H7" s="5" t="s">
        <v>62</v>
      </c>
      <c r="I7" s="5">
        <v>0.0</v>
      </c>
      <c r="J7" s="5">
        <v>50.0</v>
      </c>
      <c r="K7" s="5">
        <v>0.0</v>
      </c>
      <c r="L7" s="5">
        <v>0.0</v>
      </c>
      <c r="M7" s="5">
        <v>0.0</v>
      </c>
      <c r="N7" s="5">
        <v>5.0</v>
      </c>
      <c r="O7" s="5" t="s">
        <v>63</v>
      </c>
      <c r="P7" s="5">
        <v>2.0</v>
      </c>
      <c r="Q7" s="6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3">
        <v>0.0</v>
      </c>
      <c r="AB7" s="3">
        <v>0.0</v>
      </c>
      <c r="AC7" s="3">
        <v>0.0</v>
      </c>
      <c r="AD7" s="3">
        <v>0.0</v>
      </c>
      <c r="AE7" s="5">
        <v>0.0</v>
      </c>
      <c r="AF7" s="5" t="s">
        <v>64</v>
      </c>
      <c r="AG7" s="5">
        <f t="shared" si="1"/>
        <v>0</v>
      </c>
      <c r="AH7" s="5" t="str">
        <f t="shared" si="2"/>
        <v>no</v>
      </c>
      <c r="AI7" s="5">
        <f t="shared" si="3"/>
        <v>2</v>
      </c>
      <c r="AJ7" s="5" t="s">
        <v>65</v>
      </c>
      <c r="AK7" s="5">
        <v>3.0</v>
      </c>
      <c r="AL7" s="5">
        <v>10.0</v>
      </c>
      <c r="AM7" s="5">
        <v>10.0</v>
      </c>
      <c r="AN7" s="5">
        <v>0.0</v>
      </c>
      <c r="AO7" s="5">
        <v>12.0</v>
      </c>
      <c r="AP7" s="5">
        <v>11.0</v>
      </c>
      <c r="AQ7" s="5">
        <v>2.0</v>
      </c>
    </row>
    <row r="8" ht="14.25" customHeight="1">
      <c r="A8" s="4">
        <v>3.0</v>
      </c>
      <c r="B8" s="5" t="s">
        <v>74</v>
      </c>
      <c r="C8" s="5">
        <v>0.0</v>
      </c>
      <c r="D8" s="5">
        <v>2.0</v>
      </c>
      <c r="E8" s="5" t="s">
        <v>35</v>
      </c>
      <c r="F8" s="5" t="s">
        <v>75</v>
      </c>
      <c r="G8" s="5" t="s">
        <v>37</v>
      </c>
      <c r="H8" s="5" t="s">
        <v>62</v>
      </c>
      <c r="I8" s="5">
        <v>0.0</v>
      </c>
      <c r="J8" s="5">
        <v>100.0</v>
      </c>
      <c r="K8" s="5">
        <v>0.0</v>
      </c>
      <c r="L8" s="5">
        <v>0.0</v>
      </c>
      <c r="M8" s="5">
        <v>0.0</v>
      </c>
      <c r="N8" s="5">
        <v>0.25</v>
      </c>
      <c r="O8" s="5" t="s">
        <v>76</v>
      </c>
      <c r="P8" s="5">
        <v>2.0</v>
      </c>
      <c r="Q8" s="6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3">
        <v>0.0</v>
      </c>
      <c r="AB8" s="3">
        <v>0.0</v>
      </c>
      <c r="AC8" s="3">
        <v>0.0</v>
      </c>
      <c r="AD8" s="3">
        <v>0.0</v>
      </c>
      <c r="AE8" s="5">
        <v>0.0</v>
      </c>
      <c r="AF8" s="5" t="s">
        <v>64</v>
      </c>
      <c r="AG8" s="5">
        <f t="shared" si="1"/>
        <v>0</v>
      </c>
      <c r="AH8" s="5" t="str">
        <f t="shared" si="2"/>
        <v>no</v>
      </c>
      <c r="AI8" s="5">
        <f t="shared" si="3"/>
        <v>2</v>
      </c>
      <c r="AJ8" s="5" t="s">
        <v>66</v>
      </c>
      <c r="AK8" s="5">
        <v>10.0</v>
      </c>
      <c r="AL8" s="5">
        <v>2.0</v>
      </c>
      <c r="AM8" s="5">
        <v>6.0</v>
      </c>
      <c r="AN8" s="5">
        <v>2.0</v>
      </c>
      <c r="AO8" s="5">
        <v>7.0</v>
      </c>
      <c r="AP8" s="5">
        <v>11.0</v>
      </c>
      <c r="AQ8" s="5">
        <v>5.0</v>
      </c>
    </row>
    <row r="9" ht="14.25" customHeight="1">
      <c r="A9" s="4">
        <v>3.0</v>
      </c>
      <c r="B9" s="5" t="s">
        <v>77</v>
      </c>
      <c r="C9" s="5">
        <v>1.0</v>
      </c>
      <c r="D9" s="5">
        <v>0.0</v>
      </c>
      <c r="E9" s="3" t="s">
        <v>78</v>
      </c>
      <c r="F9" s="5" t="s">
        <v>79</v>
      </c>
      <c r="G9" s="5" t="s">
        <v>61</v>
      </c>
      <c r="H9" s="5" t="s">
        <v>80</v>
      </c>
      <c r="I9" s="5">
        <v>75.0</v>
      </c>
      <c r="J9" s="5">
        <v>75.0</v>
      </c>
      <c r="K9" s="5">
        <v>0.0</v>
      </c>
      <c r="L9" s="5">
        <v>0.0</v>
      </c>
      <c r="M9" s="5">
        <v>6.0</v>
      </c>
      <c r="N9" s="5">
        <v>4.0</v>
      </c>
      <c r="O9" s="5" t="s">
        <v>76</v>
      </c>
      <c r="P9" s="5">
        <v>1.0</v>
      </c>
      <c r="Q9" s="6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75.0</v>
      </c>
      <c r="Z9" s="5">
        <v>6.0</v>
      </c>
      <c r="AA9" s="3">
        <v>0.0</v>
      </c>
      <c r="AB9" s="3">
        <v>0.0</v>
      </c>
      <c r="AC9" s="3">
        <v>0.0</v>
      </c>
      <c r="AD9" s="3">
        <v>0.0</v>
      </c>
      <c r="AE9" s="5">
        <v>1.0</v>
      </c>
      <c r="AF9" s="5" t="s">
        <v>65</v>
      </c>
      <c r="AG9" s="5">
        <f t="shared" si="1"/>
        <v>0</v>
      </c>
      <c r="AH9" s="5" t="str">
        <f t="shared" si="2"/>
        <v>yes</v>
      </c>
      <c r="AI9" s="5">
        <f t="shared" si="3"/>
        <v>1</v>
      </c>
      <c r="AJ9" s="5" t="s">
        <v>58</v>
      </c>
      <c r="AK9" s="5">
        <v>10.0</v>
      </c>
      <c r="AL9" s="5">
        <v>6.0</v>
      </c>
      <c r="AM9" s="5">
        <v>3.0</v>
      </c>
      <c r="AN9" s="5">
        <v>0.0</v>
      </c>
      <c r="AO9" s="5">
        <v>5.0</v>
      </c>
      <c r="AP9" s="5">
        <v>8.0</v>
      </c>
      <c r="AQ9" s="5">
        <v>3.0</v>
      </c>
    </row>
    <row r="10" ht="14.25" customHeight="1">
      <c r="A10" s="4">
        <v>3.0</v>
      </c>
      <c r="B10" s="5" t="s">
        <v>81</v>
      </c>
      <c r="C10" s="5">
        <v>2.0</v>
      </c>
      <c r="D10" s="5">
        <v>0.0</v>
      </c>
      <c r="E10" s="5" t="s">
        <v>55</v>
      </c>
      <c r="F10" s="5" t="s">
        <v>82</v>
      </c>
      <c r="G10" s="5" t="s">
        <v>37</v>
      </c>
      <c r="H10" s="5" t="s">
        <v>83</v>
      </c>
      <c r="I10" s="5">
        <v>20.0</v>
      </c>
      <c r="J10" s="5">
        <v>50.0</v>
      </c>
      <c r="K10" s="5">
        <v>30.0</v>
      </c>
      <c r="L10" s="5">
        <v>0.0</v>
      </c>
      <c r="M10" s="5">
        <v>15.0</v>
      </c>
      <c r="N10" s="5">
        <v>2.0</v>
      </c>
      <c r="O10" s="5" t="s">
        <v>76</v>
      </c>
      <c r="P10" s="5">
        <v>2.0</v>
      </c>
      <c r="Q10" s="6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50.0</v>
      </c>
      <c r="X10" s="5">
        <v>15.0</v>
      </c>
      <c r="Y10" s="5">
        <v>0.0</v>
      </c>
      <c r="Z10" s="5">
        <v>0.0</v>
      </c>
      <c r="AA10" s="3">
        <v>0.0</v>
      </c>
      <c r="AB10" s="3">
        <v>0.0</v>
      </c>
      <c r="AC10" s="3">
        <v>0.0</v>
      </c>
      <c r="AD10" s="3">
        <v>0.0</v>
      </c>
      <c r="AE10" s="5">
        <v>1.0</v>
      </c>
      <c r="AF10" s="5" t="s">
        <v>70</v>
      </c>
      <c r="AG10" s="5">
        <f t="shared" si="1"/>
        <v>0</v>
      </c>
      <c r="AH10" s="5" t="str">
        <f t="shared" si="2"/>
        <v>yes</v>
      </c>
      <c r="AI10" s="5">
        <f t="shared" si="3"/>
        <v>2</v>
      </c>
      <c r="AJ10" s="5" t="s">
        <v>67</v>
      </c>
      <c r="AK10" s="5">
        <v>0.0</v>
      </c>
      <c r="AL10" s="5">
        <v>2.0</v>
      </c>
      <c r="AM10" s="5">
        <v>0.0</v>
      </c>
      <c r="AN10" s="5">
        <v>0.0</v>
      </c>
      <c r="AO10" s="5">
        <v>2.0</v>
      </c>
      <c r="AP10" s="5">
        <v>3.0</v>
      </c>
      <c r="AQ10" s="5">
        <v>4.0</v>
      </c>
    </row>
    <row r="11" ht="14.25" customHeight="1">
      <c r="A11" s="4">
        <v>4.0</v>
      </c>
      <c r="B11" s="5" t="s">
        <v>84</v>
      </c>
      <c r="C11" s="5">
        <v>1.0</v>
      </c>
      <c r="D11" s="5">
        <v>1.0</v>
      </c>
      <c r="E11" s="5" t="s">
        <v>35</v>
      </c>
      <c r="F11" s="5" t="s">
        <v>85</v>
      </c>
      <c r="G11" s="5" t="s">
        <v>61</v>
      </c>
      <c r="H11" s="5" t="s">
        <v>86</v>
      </c>
      <c r="I11" s="5">
        <v>50.0</v>
      </c>
      <c r="J11" s="5">
        <v>50.0</v>
      </c>
      <c r="K11" s="5">
        <v>0.0</v>
      </c>
      <c r="L11" s="5">
        <v>0.0</v>
      </c>
      <c r="M11" s="5">
        <v>25.0</v>
      </c>
      <c r="N11" s="5">
        <v>7.5</v>
      </c>
      <c r="O11" s="5" t="s">
        <v>46</v>
      </c>
      <c r="P11" s="5">
        <v>2.0</v>
      </c>
      <c r="Q11" s="6">
        <v>0.0</v>
      </c>
      <c r="R11" s="5">
        <v>0.0</v>
      </c>
      <c r="S11" s="5">
        <v>0.0</v>
      </c>
      <c r="T11" s="5">
        <v>0.0</v>
      </c>
      <c r="U11" s="5">
        <v>25.0</v>
      </c>
      <c r="V11" s="5">
        <v>12.5</v>
      </c>
      <c r="W11" s="5">
        <v>25.0</v>
      </c>
      <c r="X11" s="5">
        <v>12.5</v>
      </c>
      <c r="Y11" s="5">
        <v>0.0</v>
      </c>
      <c r="Z11" s="5">
        <v>0.0</v>
      </c>
      <c r="AA11" s="3">
        <v>0.0</v>
      </c>
      <c r="AB11" s="3">
        <v>0.0</v>
      </c>
      <c r="AC11" s="3">
        <v>0.0</v>
      </c>
      <c r="AD11" s="3">
        <v>0.0</v>
      </c>
      <c r="AE11" s="5">
        <v>2.0</v>
      </c>
      <c r="AF11" s="5" t="s">
        <v>53</v>
      </c>
      <c r="AG11" s="5">
        <f t="shared" si="1"/>
        <v>0</v>
      </c>
      <c r="AH11" s="5" t="str">
        <f t="shared" si="2"/>
        <v>yes</v>
      </c>
      <c r="AI11" s="5">
        <f t="shared" si="3"/>
        <v>2</v>
      </c>
      <c r="AJ11" s="3" t="s">
        <v>68</v>
      </c>
      <c r="AK11" s="5">
        <v>12.0</v>
      </c>
      <c r="AL11" s="5">
        <v>7.0</v>
      </c>
      <c r="AM11" s="5">
        <v>5.0</v>
      </c>
      <c r="AN11" s="5">
        <v>2.0</v>
      </c>
      <c r="AO11" s="5">
        <v>3.0</v>
      </c>
      <c r="AP11" s="5">
        <v>8.0</v>
      </c>
      <c r="AQ11" s="5">
        <v>4.0</v>
      </c>
    </row>
    <row r="12" ht="14.25" customHeight="1">
      <c r="A12" s="4">
        <v>4.0</v>
      </c>
      <c r="B12" s="5" t="s">
        <v>87</v>
      </c>
      <c r="C12" s="5">
        <v>0.0</v>
      </c>
      <c r="D12" s="5">
        <v>2.0</v>
      </c>
      <c r="E12" s="5" t="s">
        <v>88</v>
      </c>
      <c r="F12" s="5" t="s">
        <v>89</v>
      </c>
      <c r="G12" s="5" t="s">
        <v>37</v>
      </c>
      <c r="H12" s="5" t="s">
        <v>62</v>
      </c>
      <c r="I12" s="5">
        <v>0.0</v>
      </c>
      <c r="J12" s="5">
        <v>50.0</v>
      </c>
      <c r="K12" s="5">
        <v>0.0</v>
      </c>
      <c r="L12" s="5">
        <v>0.0</v>
      </c>
      <c r="M12" s="5">
        <v>0.0</v>
      </c>
      <c r="N12" s="5">
        <v>10.0</v>
      </c>
      <c r="O12" s="5" t="s">
        <v>90</v>
      </c>
      <c r="P12" s="5">
        <v>2.0</v>
      </c>
      <c r="Q12" s="6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3">
        <v>0.0</v>
      </c>
      <c r="AB12" s="3">
        <v>0.0</v>
      </c>
      <c r="AC12" s="3">
        <v>0.0</v>
      </c>
      <c r="AD12" s="3">
        <v>0.0</v>
      </c>
      <c r="AE12" s="5">
        <v>0.0</v>
      </c>
      <c r="AF12" s="5" t="s">
        <v>64</v>
      </c>
      <c r="AG12" s="5">
        <f t="shared" si="1"/>
        <v>0</v>
      </c>
      <c r="AH12" s="5" t="str">
        <f t="shared" si="2"/>
        <v>no</v>
      </c>
      <c r="AI12" s="5">
        <f t="shared" si="3"/>
        <v>2</v>
      </c>
      <c r="AJ12" s="5" t="s">
        <v>69</v>
      </c>
      <c r="AK12" s="5">
        <v>11.0</v>
      </c>
      <c r="AL12" s="5">
        <v>11.0</v>
      </c>
      <c r="AM12" s="5">
        <v>8.0</v>
      </c>
      <c r="AN12" s="5">
        <v>3.0</v>
      </c>
      <c r="AO12" s="5">
        <v>8.0</v>
      </c>
      <c r="AP12" s="5">
        <v>7.0</v>
      </c>
      <c r="AQ12" s="5">
        <v>3.0</v>
      </c>
    </row>
    <row r="13" ht="14.25" customHeight="1">
      <c r="A13" s="4">
        <v>4.0</v>
      </c>
      <c r="B13" s="5" t="s">
        <v>91</v>
      </c>
      <c r="C13" s="5">
        <v>1.0</v>
      </c>
      <c r="D13" s="5">
        <v>0.0</v>
      </c>
      <c r="E13" s="5" t="s">
        <v>42</v>
      </c>
      <c r="F13" s="5" t="s">
        <v>92</v>
      </c>
      <c r="G13" s="5" t="s">
        <v>50</v>
      </c>
      <c r="H13" s="5" t="s">
        <v>93</v>
      </c>
      <c r="I13" s="5">
        <v>75.0</v>
      </c>
      <c r="J13" s="5">
        <v>75.0</v>
      </c>
      <c r="K13" s="5">
        <v>0.0</v>
      </c>
      <c r="L13" s="5">
        <v>0.0</v>
      </c>
      <c r="M13" s="5">
        <v>7.5</v>
      </c>
      <c r="N13" s="5">
        <v>4.0</v>
      </c>
      <c r="O13" s="5" t="s">
        <v>52</v>
      </c>
      <c r="P13" s="5">
        <v>1.0</v>
      </c>
      <c r="Q13" s="6">
        <v>0.0</v>
      </c>
      <c r="R13" s="5">
        <v>0.0</v>
      </c>
      <c r="S13" s="5">
        <v>37.5</v>
      </c>
      <c r="T13" s="5">
        <v>3.75</v>
      </c>
      <c r="U13" s="5">
        <v>0.0</v>
      </c>
      <c r="V13" s="5">
        <v>0.0</v>
      </c>
      <c r="W13" s="5">
        <v>0.0</v>
      </c>
      <c r="X13" s="5">
        <v>0.0</v>
      </c>
      <c r="Y13" s="5">
        <v>37.5</v>
      </c>
      <c r="Z13" s="5">
        <v>3.75</v>
      </c>
      <c r="AA13" s="3">
        <v>0.0</v>
      </c>
      <c r="AB13" s="3">
        <v>0.0</v>
      </c>
      <c r="AC13" s="3">
        <v>0.0</v>
      </c>
      <c r="AD13" s="3">
        <v>0.0</v>
      </c>
      <c r="AE13" s="5">
        <v>2.0</v>
      </c>
      <c r="AF13" s="3" t="s">
        <v>94</v>
      </c>
      <c r="AG13" s="5">
        <f t="shared" si="1"/>
        <v>0</v>
      </c>
      <c r="AH13" s="5" t="str">
        <f t="shared" si="2"/>
        <v>yes</v>
      </c>
      <c r="AI13" s="5">
        <f t="shared" si="3"/>
        <v>1</v>
      </c>
      <c r="AJ13" s="5" t="s">
        <v>70</v>
      </c>
      <c r="AK13" s="5">
        <v>2.0</v>
      </c>
      <c r="AL13" s="5">
        <v>5.0</v>
      </c>
      <c r="AM13" s="5">
        <v>3.0</v>
      </c>
      <c r="AN13" s="5">
        <v>4.0</v>
      </c>
      <c r="AO13" s="5">
        <v>4.0</v>
      </c>
      <c r="AP13" s="5">
        <v>3.0</v>
      </c>
      <c r="AQ13" s="5">
        <v>1.0</v>
      </c>
    </row>
    <row r="14" ht="14.25" customHeight="1">
      <c r="A14" s="4">
        <v>5.0</v>
      </c>
      <c r="B14" s="5" t="s">
        <v>95</v>
      </c>
      <c r="C14" s="5">
        <v>3.0</v>
      </c>
      <c r="D14" s="5">
        <v>0.0</v>
      </c>
      <c r="E14" s="3" t="s">
        <v>96</v>
      </c>
      <c r="F14" s="5" t="s">
        <v>97</v>
      </c>
      <c r="G14" s="5" t="s">
        <v>44</v>
      </c>
      <c r="H14" s="5" t="s">
        <v>98</v>
      </c>
      <c r="I14" s="5">
        <v>100.0</v>
      </c>
      <c r="J14" s="5">
        <v>100.0</v>
      </c>
      <c r="K14" s="5">
        <v>0.0</v>
      </c>
      <c r="L14" s="5">
        <v>0.0</v>
      </c>
      <c r="M14" s="5">
        <v>1.5</v>
      </c>
      <c r="N14" s="5">
        <v>1.0</v>
      </c>
      <c r="O14" s="5" t="s">
        <v>46</v>
      </c>
      <c r="P14" s="5">
        <v>3.0</v>
      </c>
      <c r="Q14" s="6">
        <v>0.0</v>
      </c>
      <c r="R14" s="5">
        <v>0.0</v>
      </c>
      <c r="S14" s="5">
        <v>0.0</v>
      </c>
      <c r="T14" s="5">
        <v>0.0</v>
      </c>
      <c r="U14" s="5">
        <v>50.0</v>
      </c>
      <c r="V14" s="5">
        <v>0.75</v>
      </c>
      <c r="W14" s="5">
        <v>0.0</v>
      </c>
      <c r="X14" s="5">
        <v>0.0</v>
      </c>
      <c r="Y14" s="5">
        <v>50.0</v>
      </c>
      <c r="Z14" s="5">
        <v>0.75</v>
      </c>
      <c r="AA14" s="3">
        <v>0.0</v>
      </c>
      <c r="AB14" s="3">
        <v>0.0</v>
      </c>
      <c r="AC14" s="3">
        <v>0.0</v>
      </c>
      <c r="AD14" s="3">
        <v>0.0</v>
      </c>
      <c r="AE14" s="5">
        <v>2.0</v>
      </c>
      <c r="AF14" s="5" t="s">
        <v>99</v>
      </c>
      <c r="AG14" s="5">
        <f t="shared" si="1"/>
        <v>0</v>
      </c>
      <c r="AH14" s="5" t="str">
        <f t="shared" si="2"/>
        <v>yes</v>
      </c>
      <c r="AI14" s="5">
        <f t="shared" si="3"/>
        <v>3</v>
      </c>
    </row>
    <row r="15" ht="14.25" customHeight="1">
      <c r="A15" s="4">
        <v>5.0</v>
      </c>
      <c r="B15" s="5" t="s">
        <v>100</v>
      </c>
      <c r="C15" s="5">
        <v>2.0</v>
      </c>
      <c r="D15" s="5">
        <v>0.0</v>
      </c>
      <c r="E15" s="5" t="s">
        <v>101</v>
      </c>
      <c r="F15" s="5" t="s">
        <v>102</v>
      </c>
      <c r="G15" s="5" t="s">
        <v>37</v>
      </c>
      <c r="H15" s="5" t="s">
        <v>62</v>
      </c>
      <c r="I15" s="5">
        <v>0.0</v>
      </c>
      <c r="J15" s="5">
        <v>50.0</v>
      </c>
      <c r="K15" s="5">
        <v>0.0</v>
      </c>
      <c r="L15" s="5">
        <v>0.0</v>
      </c>
      <c r="M15" s="5">
        <v>0.0</v>
      </c>
      <c r="N15" s="5">
        <v>5.0</v>
      </c>
      <c r="O15" s="5" t="s">
        <v>39</v>
      </c>
      <c r="P15" s="5">
        <v>2.0</v>
      </c>
      <c r="Q15" s="6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3">
        <v>0.0</v>
      </c>
      <c r="AB15" s="3">
        <v>0.0</v>
      </c>
      <c r="AC15" s="3">
        <v>0.0</v>
      </c>
      <c r="AD15" s="3">
        <v>0.0</v>
      </c>
      <c r="AE15" s="5">
        <v>0.0</v>
      </c>
      <c r="AF15" s="5" t="s">
        <v>64</v>
      </c>
      <c r="AG15" s="5">
        <f t="shared" si="1"/>
        <v>0</v>
      </c>
      <c r="AH15" s="5" t="str">
        <f t="shared" si="2"/>
        <v>no</v>
      </c>
      <c r="AI15" s="5">
        <f t="shared" si="3"/>
        <v>2</v>
      </c>
    </row>
    <row r="16" ht="14.25" customHeight="1">
      <c r="A16" s="4">
        <v>5.0</v>
      </c>
      <c r="B16" s="5" t="s">
        <v>103</v>
      </c>
      <c r="C16" s="5">
        <v>2.0</v>
      </c>
      <c r="D16" s="5">
        <v>0.0</v>
      </c>
      <c r="E16" s="5" t="s">
        <v>104</v>
      </c>
      <c r="F16" s="5" t="s">
        <v>105</v>
      </c>
      <c r="G16" s="5" t="s">
        <v>106</v>
      </c>
      <c r="H16" s="5" t="s">
        <v>62</v>
      </c>
      <c r="I16" s="5">
        <v>0.0</v>
      </c>
      <c r="J16" s="5">
        <v>10.0</v>
      </c>
      <c r="K16" s="5">
        <v>0.0</v>
      </c>
      <c r="L16" s="5">
        <v>0.0</v>
      </c>
      <c r="M16" s="5">
        <v>0.0</v>
      </c>
      <c r="N16" s="5">
        <v>20.0</v>
      </c>
      <c r="O16" s="5" t="s">
        <v>39</v>
      </c>
      <c r="P16" s="5">
        <v>2.0</v>
      </c>
      <c r="Q16" s="6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3">
        <v>0.0</v>
      </c>
      <c r="AB16" s="3">
        <v>0.0</v>
      </c>
      <c r="AC16" s="3">
        <v>0.0</v>
      </c>
      <c r="AD16" s="3">
        <v>0.0</v>
      </c>
      <c r="AE16" s="5">
        <v>0.0</v>
      </c>
      <c r="AF16" s="5" t="s">
        <v>64</v>
      </c>
      <c r="AG16" s="5">
        <f t="shared" si="1"/>
        <v>0</v>
      </c>
      <c r="AH16" s="5" t="str">
        <f t="shared" si="2"/>
        <v>no</v>
      </c>
      <c r="AI16" s="5">
        <f t="shared" si="3"/>
        <v>2</v>
      </c>
    </row>
    <row r="17" ht="14.25" customHeight="1">
      <c r="A17" s="4">
        <v>6.0</v>
      </c>
      <c r="B17" s="5" t="s">
        <v>107</v>
      </c>
      <c r="C17" s="5">
        <v>1.0</v>
      </c>
      <c r="D17" s="5">
        <v>1.0</v>
      </c>
      <c r="E17" s="5" t="s">
        <v>108</v>
      </c>
      <c r="F17" s="5" t="s">
        <v>109</v>
      </c>
      <c r="G17" s="5" t="s">
        <v>37</v>
      </c>
      <c r="H17" s="5" t="s">
        <v>110</v>
      </c>
      <c r="I17" s="5">
        <v>100.0</v>
      </c>
      <c r="J17" s="5">
        <v>45.0</v>
      </c>
      <c r="K17" s="5">
        <v>0.0</v>
      </c>
      <c r="L17" s="5">
        <v>0.0</v>
      </c>
      <c r="M17" s="5">
        <v>15.0</v>
      </c>
      <c r="N17" s="5">
        <v>5.0</v>
      </c>
      <c r="O17" s="5" t="s">
        <v>39</v>
      </c>
      <c r="P17" s="5">
        <v>2.0</v>
      </c>
      <c r="Q17" s="6">
        <v>20.0</v>
      </c>
      <c r="R17" s="5">
        <v>3.0</v>
      </c>
      <c r="S17" s="5">
        <v>20.0</v>
      </c>
      <c r="T17" s="5">
        <v>3.0</v>
      </c>
      <c r="U17" s="5">
        <v>20.0</v>
      </c>
      <c r="V17" s="5">
        <v>3.0</v>
      </c>
      <c r="W17" s="5">
        <v>20.0</v>
      </c>
      <c r="X17" s="5">
        <v>3.0</v>
      </c>
      <c r="Y17" s="5">
        <v>20.0</v>
      </c>
      <c r="Z17" s="5">
        <v>3.0</v>
      </c>
      <c r="AA17" s="3">
        <v>0.0</v>
      </c>
      <c r="AB17" s="3">
        <v>0.0</v>
      </c>
      <c r="AC17" s="3">
        <v>0.0</v>
      </c>
      <c r="AD17" s="3">
        <v>0.0</v>
      </c>
      <c r="AE17" s="5">
        <v>5.0</v>
      </c>
      <c r="AF17" s="3" t="s">
        <v>111</v>
      </c>
      <c r="AG17" s="5">
        <f t="shared" si="1"/>
        <v>0</v>
      </c>
      <c r="AH17" s="5" t="str">
        <f t="shared" si="2"/>
        <v>yes</v>
      </c>
      <c r="AI17" s="5">
        <f t="shared" si="3"/>
        <v>2</v>
      </c>
    </row>
    <row r="18" ht="14.25" customHeight="1">
      <c r="A18" s="4">
        <v>6.0</v>
      </c>
      <c r="B18" s="5" t="s">
        <v>112</v>
      </c>
      <c r="C18" s="5">
        <v>1.0</v>
      </c>
      <c r="D18" s="5">
        <v>1.0</v>
      </c>
      <c r="E18" s="5" t="s">
        <v>42</v>
      </c>
      <c r="F18" s="5" t="s">
        <v>113</v>
      </c>
      <c r="G18" s="5" t="s">
        <v>61</v>
      </c>
      <c r="H18" s="5" t="s">
        <v>114</v>
      </c>
      <c r="I18" s="5">
        <v>50.0</v>
      </c>
      <c r="J18" s="5">
        <v>50.0</v>
      </c>
      <c r="K18" s="5">
        <v>0.0</v>
      </c>
      <c r="L18" s="5">
        <v>0.0</v>
      </c>
      <c r="M18" s="5">
        <v>20.0</v>
      </c>
      <c r="N18" s="5">
        <v>10.0</v>
      </c>
      <c r="O18" s="5" t="s">
        <v>39</v>
      </c>
      <c r="P18" s="5">
        <v>2.0</v>
      </c>
      <c r="Q18" s="6">
        <v>0.0</v>
      </c>
      <c r="R18" s="5">
        <v>0.0</v>
      </c>
      <c r="S18" s="5">
        <v>50.0</v>
      </c>
      <c r="T18" s="5">
        <v>20.0</v>
      </c>
      <c r="U18" s="5">
        <v>0.0</v>
      </c>
      <c r="V18" s="5">
        <v>0.0</v>
      </c>
      <c r="W18" s="5">
        <v>0.0</v>
      </c>
      <c r="X18" s="5">
        <v>0.0</v>
      </c>
      <c r="Y18" s="5">
        <v>0.0</v>
      </c>
      <c r="Z18" s="5">
        <v>0.0</v>
      </c>
      <c r="AA18" s="3">
        <v>0.0</v>
      </c>
      <c r="AB18" s="3">
        <v>0.0</v>
      </c>
      <c r="AC18" s="3">
        <v>0.0</v>
      </c>
      <c r="AD18" s="3">
        <v>0.0</v>
      </c>
      <c r="AE18" s="5">
        <v>1.0</v>
      </c>
      <c r="AF18" s="3" t="s">
        <v>68</v>
      </c>
      <c r="AG18" s="5">
        <f t="shared" si="1"/>
        <v>0</v>
      </c>
      <c r="AH18" s="5" t="str">
        <f t="shared" si="2"/>
        <v>yes</v>
      </c>
      <c r="AI18" s="5">
        <f t="shared" si="3"/>
        <v>2</v>
      </c>
    </row>
    <row r="19" ht="14.25" customHeight="1">
      <c r="A19" s="4">
        <v>6.0</v>
      </c>
      <c r="B19" s="5" t="s">
        <v>115</v>
      </c>
      <c r="C19" s="5">
        <v>0.0</v>
      </c>
      <c r="D19" s="5">
        <v>1.0</v>
      </c>
      <c r="E19" s="5" t="s">
        <v>108</v>
      </c>
      <c r="F19" s="5" t="s">
        <v>116</v>
      </c>
      <c r="G19" s="5" t="s">
        <v>50</v>
      </c>
      <c r="H19" s="5" t="s">
        <v>62</v>
      </c>
      <c r="I19" s="5">
        <v>0.0</v>
      </c>
      <c r="J19" s="5">
        <v>100.0</v>
      </c>
      <c r="K19" s="5">
        <v>0.0</v>
      </c>
      <c r="L19" s="5">
        <v>0.0</v>
      </c>
      <c r="M19" s="5">
        <v>0.0</v>
      </c>
      <c r="N19" s="5">
        <v>1.0</v>
      </c>
      <c r="O19" s="5" t="s">
        <v>39</v>
      </c>
      <c r="P19" s="5">
        <v>1.0</v>
      </c>
      <c r="Q19" s="6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0.0</v>
      </c>
      <c r="AA19" s="3">
        <v>0.0</v>
      </c>
      <c r="AB19" s="3">
        <v>0.0</v>
      </c>
      <c r="AC19" s="3">
        <v>0.0</v>
      </c>
      <c r="AD19" s="3">
        <v>0.0</v>
      </c>
      <c r="AE19" s="5">
        <v>0.0</v>
      </c>
      <c r="AF19" s="5" t="s">
        <v>64</v>
      </c>
      <c r="AG19" s="5">
        <f t="shared" si="1"/>
        <v>0</v>
      </c>
      <c r="AH19" s="5" t="str">
        <f t="shared" si="2"/>
        <v>no</v>
      </c>
      <c r="AI19" s="5">
        <f t="shared" si="3"/>
        <v>1</v>
      </c>
    </row>
    <row r="20" ht="14.25" customHeight="1">
      <c r="A20" s="4">
        <v>7.0</v>
      </c>
      <c r="B20" s="5" t="s">
        <v>117</v>
      </c>
      <c r="C20" s="5">
        <v>1.0</v>
      </c>
      <c r="D20" s="5">
        <v>1.0</v>
      </c>
      <c r="E20" s="5" t="s">
        <v>101</v>
      </c>
      <c r="F20" s="5" t="s">
        <v>118</v>
      </c>
      <c r="G20" s="5" t="s">
        <v>106</v>
      </c>
      <c r="H20" s="5" t="s">
        <v>119</v>
      </c>
      <c r="I20" s="5">
        <v>100.0</v>
      </c>
      <c r="J20" s="5">
        <v>100.0</v>
      </c>
      <c r="K20" s="5">
        <v>0.0</v>
      </c>
      <c r="L20" s="5">
        <v>0.0</v>
      </c>
      <c r="M20" s="5">
        <v>4.0</v>
      </c>
      <c r="N20" s="5">
        <v>2.0</v>
      </c>
      <c r="O20" s="5" t="s">
        <v>39</v>
      </c>
      <c r="P20" s="5">
        <v>2.0</v>
      </c>
      <c r="Q20" s="6">
        <v>50.0</v>
      </c>
      <c r="R20" s="5">
        <v>2.0</v>
      </c>
      <c r="S20" s="5">
        <v>0.0</v>
      </c>
      <c r="T20" s="5">
        <v>0.0</v>
      </c>
      <c r="U20" s="5">
        <v>0.0</v>
      </c>
      <c r="V20" s="5">
        <v>0.0</v>
      </c>
      <c r="W20" s="5">
        <v>0.0</v>
      </c>
      <c r="X20" s="5">
        <v>0.0</v>
      </c>
      <c r="Y20" s="5">
        <v>50.0</v>
      </c>
      <c r="Z20" s="5">
        <v>2.0</v>
      </c>
      <c r="AA20" s="3">
        <v>0.0</v>
      </c>
      <c r="AB20" s="3">
        <v>0.0</v>
      </c>
      <c r="AC20" s="3">
        <v>0.0</v>
      </c>
      <c r="AD20" s="3">
        <v>0.0</v>
      </c>
      <c r="AE20" s="5">
        <v>2.0</v>
      </c>
      <c r="AF20" s="5" t="s">
        <v>120</v>
      </c>
      <c r="AG20" s="5">
        <f t="shared" si="1"/>
        <v>0</v>
      </c>
      <c r="AH20" s="5" t="str">
        <f t="shared" si="2"/>
        <v>yes</v>
      </c>
      <c r="AI20" s="5">
        <f t="shared" si="3"/>
        <v>2</v>
      </c>
    </row>
    <row r="21" ht="14.25" customHeight="1">
      <c r="A21" s="4">
        <v>7.0</v>
      </c>
      <c r="B21" s="5" t="s">
        <v>121</v>
      </c>
      <c r="C21" s="5">
        <v>1.0</v>
      </c>
      <c r="D21" s="5">
        <v>0.0</v>
      </c>
      <c r="E21" s="5" t="s">
        <v>42</v>
      </c>
      <c r="F21" s="5" t="s">
        <v>122</v>
      </c>
      <c r="G21" s="5" t="s">
        <v>61</v>
      </c>
      <c r="H21" s="5" t="s">
        <v>62</v>
      </c>
      <c r="I21" s="5">
        <v>0.0</v>
      </c>
      <c r="J21" s="5">
        <v>75.0</v>
      </c>
      <c r="K21" s="5">
        <v>0.0</v>
      </c>
      <c r="L21" s="5">
        <v>0.0</v>
      </c>
      <c r="M21" s="5">
        <v>0.0</v>
      </c>
      <c r="N21" s="5">
        <v>1.0</v>
      </c>
      <c r="O21" s="5" t="s">
        <v>76</v>
      </c>
      <c r="P21" s="5">
        <v>1.0</v>
      </c>
      <c r="Q21" s="6">
        <v>0.0</v>
      </c>
      <c r="R21" s="5">
        <v>0.0</v>
      </c>
      <c r="S21" s="5">
        <v>0.0</v>
      </c>
      <c r="T21" s="5">
        <v>0.0</v>
      </c>
      <c r="U21" s="5">
        <v>0.0</v>
      </c>
      <c r="V21" s="5">
        <v>0.0</v>
      </c>
      <c r="W21" s="5">
        <v>0.0</v>
      </c>
      <c r="X21" s="5">
        <v>0.0</v>
      </c>
      <c r="Y21" s="5">
        <v>0.0</v>
      </c>
      <c r="Z21" s="5">
        <v>0.0</v>
      </c>
      <c r="AA21" s="3">
        <v>0.0</v>
      </c>
      <c r="AB21" s="3">
        <v>0.0</v>
      </c>
      <c r="AC21" s="3">
        <v>0.0</v>
      </c>
      <c r="AD21" s="3">
        <v>0.0</v>
      </c>
      <c r="AE21" s="5">
        <v>0.0</v>
      </c>
      <c r="AF21" s="5" t="s">
        <v>64</v>
      </c>
      <c r="AG21" s="5">
        <f t="shared" si="1"/>
        <v>0</v>
      </c>
      <c r="AH21" s="5" t="str">
        <f t="shared" si="2"/>
        <v>no</v>
      </c>
      <c r="AI21" s="5">
        <f t="shared" si="3"/>
        <v>1</v>
      </c>
    </row>
    <row r="22" ht="14.25" customHeight="1">
      <c r="A22" s="4">
        <v>7.0</v>
      </c>
      <c r="B22" s="5" t="s">
        <v>123</v>
      </c>
      <c r="C22" s="5">
        <v>1.0</v>
      </c>
      <c r="D22" s="5">
        <v>2.0</v>
      </c>
      <c r="E22" s="5" t="s">
        <v>104</v>
      </c>
      <c r="F22" s="5" t="s">
        <v>124</v>
      </c>
      <c r="G22" s="5" t="s">
        <v>37</v>
      </c>
      <c r="H22" s="5" t="s">
        <v>62</v>
      </c>
      <c r="I22" s="5">
        <v>0.0</v>
      </c>
      <c r="J22" s="5">
        <v>50.0</v>
      </c>
      <c r="K22" s="5">
        <v>0.0</v>
      </c>
      <c r="L22" s="5">
        <v>0.0</v>
      </c>
      <c r="M22" s="5">
        <v>0.0</v>
      </c>
      <c r="N22" s="5">
        <v>7.5</v>
      </c>
      <c r="O22" s="5" t="s">
        <v>39</v>
      </c>
      <c r="P22" s="5">
        <v>3.0</v>
      </c>
      <c r="Q22" s="6">
        <v>0.0</v>
      </c>
      <c r="R22" s="5">
        <v>0.0</v>
      </c>
      <c r="S22" s="5">
        <v>0.0</v>
      </c>
      <c r="T22" s="5">
        <v>0.0</v>
      </c>
      <c r="U22" s="5">
        <v>0.0</v>
      </c>
      <c r="V22" s="5">
        <v>0.0</v>
      </c>
      <c r="W22" s="5">
        <v>0.0</v>
      </c>
      <c r="X22" s="5">
        <v>0.0</v>
      </c>
      <c r="Y22" s="5">
        <v>0.0</v>
      </c>
      <c r="Z22" s="5">
        <v>0.0</v>
      </c>
      <c r="AA22" s="3">
        <v>0.0</v>
      </c>
      <c r="AB22" s="3">
        <v>0.0</v>
      </c>
      <c r="AC22" s="3">
        <v>0.0</v>
      </c>
      <c r="AD22" s="3">
        <v>0.0</v>
      </c>
      <c r="AE22" s="5">
        <v>0.0</v>
      </c>
      <c r="AF22" s="5" t="s">
        <v>64</v>
      </c>
      <c r="AG22" s="5">
        <f t="shared" si="1"/>
        <v>0</v>
      </c>
      <c r="AH22" s="5" t="str">
        <f t="shared" si="2"/>
        <v>no</v>
      </c>
      <c r="AI22" s="5">
        <f t="shared" si="3"/>
        <v>3</v>
      </c>
    </row>
    <row r="23" ht="14.25" customHeight="1">
      <c r="A23" s="4">
        <v>8.0</v>
      </c>
      <c r="B23" s="3" t="s">
        <v>125</v>
      </c>
      <c r="C23" s="5">
        <v>1.0</v>
      </c>
      <c r="D23" s="5">
        <v>0.0</v>
      </c>
      <c r="E23" s="5" t="s">
        <v>126</v>
      </c>
      <c r="F23" s="3" t="s">
        <v>127</v>
      </c>
      <c r="G23" s="5" t="s">
        <v>37</v>
      </c>
      <c r="H23" s="5" t="s">
        <v>128</v>
      </c>
      <c r="I23" s="5">
        <v>50.0</v>
      </c>
      <c r="J23" s="5">
        <v>50.0</v>
      </c>
      <c r="K23" s="5">
        <v>0.0</v>
      </c>
      <c r="L23" s="5">
        <v>0.0</v>
      </c>
      <c r="M23" s="5">
        <v>2.5</v>
      </c>
      <c r="N23" s="5">
        <v>2.5</v>
      </c>
      <c r="O23" s="5" t="s">
        <v>76</v>
      </c>
      <c r="P23" s="5">
        <v>1.0</v>
      </c>
      <c r="Q23" s="6">
        <v>25.0</v>
      </c>
      <c r="R23" s="5">
        <v>1.25</v>
      </c>
      <c r="S23" s="5">
        <v>0.0</v>
      </c>
      <c r="T23" s="5">
        <v>0.0</v>
      </c>
      <c r="U23" s="5">
        <v>0.0</v>
      </c>
      <c r="V23" s="5">
        <v>0.0</v>
      </c>
      <c r="W23" s="3">
        <v>0.0</v>
      </c>
      <c r="X23" s="3">
        <v>0.0</v>
      </c>
      <c r="Y23" s="5">
        <v>25.0</v>
      </c>
      <c r="Z23" s="5">
        <v>1.25</v>
      </c>
      <c r="AA23" s="5">
        <v>0.0</v>
      </c>
      <c r="AB23" s="5">
        <v>0.0</v>
      </c>
      <c r="AC23" s="3">
        <v>0.0</v>
      </c>
      <c r="AD23" s="3">
        <v>0.0</v>
      </c>
      <c r="AE23" s="5">
        <v>2.0</v>
      </c>
      <c r="AF23" s="5" t="s">
        <v>120</v>
      </c>
      <c r="AG23" s="5">
        <f t="shared" si="1"/>
        <v>0</v>
      </c>
      <c r="AH23" s="5" t="str">
        <f t="shared" si="2"/>
        <v>yes</v>
      </c>
      <c r="AI23" s="5">
        <f t="shared" si="3"/>
        <v>1</v>
      </c>
    </row>
    <row r="24" ht="14.25" customHeight="1">
      <c r="A24" s="4">
        <v>8.0</v>
      </c>
      <c r="B24" s="5" t="s">
        <v>129</v>
      </c>
      <c r="C24" s="5">
        <v>1.0</v>
      </c>
      <c r="D24" s="5">
        <v>1.0</v>
      </c>
      <c r="E24" s="5" t="s">
        <v>108</v>
      </c>
      <c r="F24" s="5" t="s">
        <v>130</v>
      </c>
      <c r="G24" s="5" t="s">
        <v>61</v>
      </c>
      <c r="H24" s="5" t="s">
        <v>131</v>
      </c>
      <c r="I24" s="5">
        <v>56.0</v>
      </c>
      <c r="J24" s="5">
        <v>56.0</v>
      </c>
      <c r="K24" s="5">
        <v>0.0</v>
      </c>
      <c r="L24" s="5">
        <v>0.0</v>
      </c>
      <c r="M24" s="5">
        <v>33.33</v>
      </c>
      <c r="N24" s="5">
        <v>7.5</v>
      </c>
      <c r="O24" s="5" t="s">
        <v>52</v>
      </c>
      <c r="P24" s="5">
        <v>1.0</v>
      </c>
      <c r="Q24" s="6">
        <v>0.0</v>
      </c>
      <c r="R24" s="5">
        <v>0.0</v>
      </c>
      <c r="S24" s="5">
        <v>0.0</v>
      </c>
      <c r="T24" s="5">
        <v>0.0</v>
      </c>
      <c r="U24" s="5">
        <v>28.0</v>
      </c>
      <c r="V24" s="5">
        <v>16.66</v>
      </c>
      <c r="W24" s="3">
        <v>0.0</v>
      </c>
      <c r="X24" s="3">
        <v>0.0</v>
      </c>
      <c r="Y24" s="5">
        <v>0.0</v>
      </c>
      <c r="Z24" s="5">
        <v>0.0</v>
      </c>
      <c r="AA24" s="5">
        <v>28.0</v>
      </c>
      <c r="AB24" s="5">
        <v>16.66</v>
      </c>
      <c r="AC24" s="3">
        <v>0.0</v>
      </c>
      <c r="AD24" s="3">
        <v>0.0</v>
      </c>
      <c r="AE24" s="5">
        <v>2.0</v>
      </c>
      <c r="AF24" s="5" t="s">
        <v>132</v>
      </c>
      <c r="AG24" s="5">
        <f t="shared" si="1"/>
        <v>0</v>
      </c>
      <c r="AH24" s="5" t="str">
        <f t="shared" si="2"/>
        <v>yes</v>
      </c>
      <c r="AI24" s="5">
        <f t="shared" si="3"/>
        <v>2</v>
      </c>
    </row>
    <row r="25" ht="14.25" customHeight="1">
      <c r="A25" s="4">
        <v>8.0</v>
      </c>
      <c r="B25" s="5" t="s">
        <v>133</v>
      </c>
      <c r="C25" s="5">
        <v>3.0</v>
      </c>
      <c r="D25" s="5">
        <v>0.0</v>
      </c>
      <c r="E25" s="5" t="s">
        <v>134</v>
      </c>
      <c r="F25" s="5" t="s">
        <v>135</v>
      </c>
      <c r="G25" s="5" t="s">
        <v>44</v>
      </c>
      <c r="H25" s="5" t="s">
        <v>136</v>
      </c>
      <c r="I25" s="5">
        <v>30.0</v>
      </c>
      <c r="J25" s="5">
        <v>30.0</v>
      </c>
      <c r="K25" s="5">
        <v>0.0</v>
      </c>
      <c r="L25" s="5">
        <v>0.0</v>
      </c>
      <c r="M25" s="5">
        <v>6.0</v>
      </c>
      <c r="N25" s="5">
        <v>3.0</v>
      </c>
      <c r="O25" s="5" t="s">
        <v>46</v>
      </c>
      <c r="P25" s="5">
        <v>3.0</v>
      </c>
      <c r="Q25" s="6">
        <v>30.0</v>
      </c>
      <c r="R25" s="5">
        <v>6.0</v>
      </c>
      <c r="S25" s="5">
        <v>0.0</v>
      </c>
      <c r="T25" s="5">
        <v>0.0</v>
      </c>
      <c r="U25" s="5">
        <v>0.0</v>
      </c>
      <c r="V25" s="5">
        <v>0.0</v>
      </c>
      <c r="W25" s="3">
        <v>0.0</v>
      </c>
      <c r="X25" s="3">
        <v>0.0</v>
      </c>
      <c r="Y25" s="5">
        <v>0.0</v>
      </c>
      <c r="Z25" s="5">
        <v>0.0</v>
      </c>
      <c r="AA25" s="5">
        <v>0.0</v>
      </c>
      <c r="AB25" s="5">
        <v>0.0</v>
      </c>
      <c r="AC25" s="3">
        <v>0.0</v>
      </c>
      <c r="AD25" s="3">
        <v>0.0</v>
      </c>
      <c r="AE25" s="5">
        <v>1.0</v>
      </c>
      <c r="AF25" s="5" t="s">
        <v>58</v>
      </c>
      <c r="AG25" s="5">
        <f t="shared" si="1"/>
        <v>0</v>
      </c>
      <c r="AH25" s="5" t="str">
        <f t="shared" si="2"/>
        <v>yes</v>
      </c>
      <c r="AI25" s="5">
        <f t="shared" si="3"/>
        <v>3</v>
      </c>
    </row>
    <row r="26" ht="14.25" customHeight="1">
      <c r="A26" s="4">
        <v>9.0</v>
      </c>
      <c r="B26" s="5" t="s">
        <v>137</v>
      </c>
      <c r="C26" s="5">
        <v>4.0</v>
      </c>
      <c r="D26" s="5">
        <v>0.0</v>
      </c>
      <c r="E26" s="5" t="s">
        <v>138</v>
      </c>
      <c r="F26" s="5" t="s">
        <v>139</v>
      </c>
      <c r="G26" s="5" t="s">
        <v>44</v>
      </c>
      <c r="H26" s="5" t="s">
        <v>140</v>
      </c>
      <c r="I26" s="5">
        <v>50.0</v>
      </c>
      <c r="J26" s="5">
        <v>50.0</v>
      </c>
      <c r="K26" s="5">
        <v>0.0</v>
      </c>
      <c r="L26" s="5">
        <v>0.0</v>
      </c>
      <c r="M26" s="5">
        <v>7.0</v>
      </c>
      <c r="N26" s="5">
        <v>5.0</v>
      </c>
      <c r="O26" s="5" t="s">
        <v>46</v>
      </c>
      <c r="P26" s="5">
        <v>4.0</v>
      </c>
      <c r="Q26" s="6">
        <v>0.0</v>
      </c>
      <c r="R26" s="5">
        <v>0.0</v>
      </c>
      <c r="S26" s="5">
        <v>25.0</v>
      </c>
      <c r="T26" s="5">
        <v>3.5</v>
      </c>
      <c r="U26" s="5">
        <v>0.0</v>
      </c>
      <c r="V26" s="5">
        <v>0.0</v>
      </c>
      <c r="W26" s="3">
        <v>0.0</v>
      </c>
      <c r="X26" s="3">
        <v>0.0</v>
      </c>
      <c r="Y26" s="5">
        <v>25.0</v>
      </c>
      <c r="Z26" s="5">
        <v>3.5</v>
      </c>
      <c r="AA26" s="5">
        <v>0.0</v>
      </c>
      <c r="AB26" s="5">
        <v>0.0</v>
      </c>
      <c r="AC26" s="3">
        <v>0.0</v>
      </c>
      <c r="AD26" s="3">
        <v>0.0</v>
      </c>
      <c r="AE26" s="5">
        <v>2.0</v>
      </c>
      <c r="AF26" s="3" t="s">
        <v>94</v>
      </c>
      <c r="AG26" s="5">
        <f t="shared" si="1"/>
        <v>0</v>
      </c>
      <c r="AH26" s="5" t="str">
        <f t="shared" si="2"/>
        <v>yes</v>
      </c>
      <c r="AI26" s="5">
        <f t="shared" si="3"/>
        <v>4</v>
      </c>
    </row>
    <row r="27" ht="14.25" customHeight="1">
      <c r="A27" s="4">
        <v>9.0</v>
      </c>
      <c r="B27" s="5" t="s">
        <v>141</v>
      </c>
      <c r="C27" s="5">
        <v>1.0</v>
      </c>
      <c r="D27" s="5">
        <v>1.0</v>
      </c>
      <c r="E27" s="3" t="s">
        <v>142</v>
      </c>
      <c r="F27" s="5" t="s">
        <v>143</v>
      </c>
      <c r="G27" s="5" t="s">
        <v>106</v>
      </c>
      <c r="H27" s="5" t="s">
        <v>144</v>
      </c>
      <c r="I27" s="5">
        <v>50.0</v>
      </c>
      <c r="J27" s="5">
        <v>50.0</v>
      </c>
      <c r="K27" s="5">
        <v>0.0</v>
      </c>
      <c r="L27" s="5">
        <v>0.0</v>
      </c>
      <c r="M27" s="5">
        <v>10.0</v>
      </c>
      <c r="N27" s="5">
        <v>2.5</v>
      </c>
      <c r="O27" s="5" t="s">
        <v>39</v>
      </c>
      <c r="P27" s="5">
        <v>2.0</v>
      </c>
      <c r="Q27" s="6">
        <v>0.0</v>
      </c>
      <c r="R27" s="5">
        <v>0.0</v>
      </c>
      <c r="S27" s="5">
        <v>0.0</v>
      </c>
      <c r="T27" s="5">
        <v>0.0</v>
      </c>
      <c r="U27" s="5">
        <v>0.0</v>
      </c>
      <c r="V27" s="5">
        <v>0.0</v>
      </c>
      <c r="W27" s="3">
        <v>0.0</v>
      </c>
      <c r="X27" s="3">
        <v>0.0</v>
      </c>
      <c r="Y27" s="5">
        <v>25.0</v>
      </c>
      <c r="Z27" s="5">
        <v>5.0</v>
      </c>
      <c r="AA27" s="5">
        <v>25.0</v>
      </c>
      <c r="AB27" s="5">
        <v>5.0</v>
      </c>
      <c r="AC27" s="3">
        <v>0.0</v>
      </c>
      <c r="AD27" s="3">
        <v>0.0</v>
      </c>
      <c r="AE27" s="5">
        <v>2.0</v>
      </c>
      <c r="AF27" s="5" t="s">
        <v>145</v>
      </c>
      <c r="AG27" s="5">
        <f t="shared" si="1"/>
        <v>0</v>
      </c>
      <c r="AH27" s="5" t="str">
        <f t="shared" si="2"/>
        <v>yes</v>
      </c>
      <c r="AI27" s="5">
        <f t="shared" si="3"/>
        <v>2</v>
      </c>
    </row>
    <row r="28" ht="14.25" customHeight="1">
      <c r="A28" s="4">
        <v>9.0</v>
      </c>
      <c r="B28" s="5" t="s">
        <v>146</v>
      </c>
      <c r="C28" s="5">
        <v>1.0</v>
      </c>
      <c r="D28" s="5">
        <v>1.0</v>
      </c>
      <c r="E28" s="5" t="s">
        <v>147</v>
      </c>
      <c r="F28" s="5" t="s">
        <v>148</v>
      </c>
      <c r="G28" s="5" t="s">
        <v>37</v>
      </c>
      <c r="H28" s="5" t="s">
        <v>62</v>
      </c>
      <c r="I28" s="5">
        <v>0.0</v>
      </c>
      <c r="J28" s="5">
        <v>100.0</v>
      </c>
      <c r="K28" s="5">
        <v>0.0</v>
      </c>
      <c r="L28" s="5">
        <v>0.0</v>
      </c>
      <c r="M28" s="5">
        <v>0.0</v>
      </c>
      <c r="N28" s="5">
        <v>5.0</v>
      </c>
      <c r="O28" s="5" t="s">
        <v>39</v>
      </c>
      <c r="P28" s="5">
        <v>2.0</v>
      </c>
      <c r="Q28" s="6">
        <v>0.0</v>
      </c>
      <c r="R28" s="5">
        <v>0.0</v>
      </c>
      <c r="S28" s="5">
        <v>0.0</v>
      </c>
      <c r="T28" s="5">
        <v>0.0</v>
      </c>
      <c r="U28" s="5">
        <v>0.0</v>
      </c>
      <c r="V28" s="5">
        <v>0.0</v>
      </c>
      <c r="W28" s="3">
        <v>0.0</v>
      </c>
      <c r="X28" s="3">
        <v>0.0</v>
      </c>
      <c r="Y28" s="5">
        <v>0.0</v>
      </c>
      <c r="Z28" s="5">
        <v>0.0</v>
      </c>
      <c r="AA28" s="5">
        <v>0.0</v>
      </c>
      <c r="AB28" s="5">
        <v>0.0</v>
      </c>
      <c r="AC28" s="3">
        <v>0.0</v>
      </c>
      <c r="AD28" s="3">
        <v>0.0</v>
      </c>
      <c r="AE28" s="5">
        <v>0.0</v>
      </c>
      <c r="AF28" s="5" t="s">
        <v>64</v>
      </c>
      <c r="AG28" s="5">
        <f t="shared" si="1"/>
        <v>0</v>
      </c>
      <c r="AH28" s="5" t="str">
        <f t="shared" si="2"/>
        <v>no</v>
      </c>
      <c r="AI28" s="5">
        <f t="shared" si="3"/>
        <v>2</v>
      </c>
    </row>
    <row r="29" ht="14.25" customHeight="1">
      <c r="A29" s="4">
        <v>10.0</v>
      </c>
      <c r="B29" s="5" t="s">
        <v>149</v>
      </c>
      <c r="C29" s="5">
        <v>0.0</v>
      </c>
      <c r="D29" s="5">
        <v>2.0</v>
      </c>
      <c r="E29" s="5" t="s">
        <v>42</v>
      </c>
      <c r="F29" s="5" t="s">
        <v>150</v>
      </c>
      <c r="G29" s="5" t="s">
        <v>61</v>
      </c>
      <c r="H29" s="5" t="s">
        <v>151</v>
      </c>
      <c r="I29" s="5">
        <v>25.0</v>
      </c>
      <c r="J29" s="5">
        <v>25.0</v>
      </c>
      <c r="K29" s="5">
        <v>0.0</v>
      </c>
      <c r="L29" s="5">
        <v>0.0</v>
      </c>
      <c r="M29" s="5">
        <v>20.0</v>
      </c>
      <c r="N29" s="5">
        <v>5.0</v>
      </c>
      <c r="O29" s="5" t="s">
        <v>52</v>
      </c>
      <c r="P29" s="5">
        <v>2.0</v>
      </c>
      <c r="Q29" s="6">
        <v>0.0</v>
      </c>
      <c r="R29" s="5">
        <v>0.0</v>
      </c>
      <c r="S29" s="5">
        <v>8.3</v>
      </c>
      <c r="T29" s="5">
        <v>6.6</v>
      </c>
      <c r="U29" s="5">
        <v>0.0</v>
      </c>
      <c r="V29" s="5">
        <v>0.0</v>
      </c>
      <c r="W29" s="3">
        <v>0.0</v>
      </c>
      <c r="X29" s="3">
        <v>0.0</v>
      </c>
      <c r="Y29" s="5">
        <v>8.3</v>
      </c>
      <c r="Z29" s="5">
        <v>6.6</v>
      </c>
      <c r="AA29" s="5">
        <v>8.3</v>
      </c>
      <c r="AB29" s="5">
        <v>6.6</v>
      </c>
      <c r="AC29" s="3">
        <v>0.0</v>
      </c>
      <c r="AD29" s="3">
        <v>0.0</v>
      </c>
      <c r="AE29" s="5">
        <v>3.0</v>
      </c>
      <c r="AF29" s="3" t="s">
        <v>152</v>
      </c>
      <c r="AG29" s="5">
        <f t="shared" si="1"/>
        <v>0</v>
      </c>
      <c r="AH29" s="5" t="str">
        <f t="shared" si="2"/>
        <v>yes</v>
      </c>
      <c r="AI29" s="5">
        <f t="shared" si="3"/>
        <v>2</v>
      </c>
    </row>
    <row r="30" ht="14.25" customHeight="1">
      <c r="A30" s="4">
        <v>10.0</v>
      </c>
      <c r="B30" s="5" t="s">
        <v>153</v>
      </c>
      <c r="C30" s="5">
        <v>3.0</v>
      </c>
      <c r="D30" s="5">
        <v>0.0</v>
      </c>
      <c r="E30" s="5" t="s">
        <v>104</v>
      </c>
      <c r="F30" s="5" t="s">
        <v>154</v>
      </c>
      <c r="G30" s="5" t="s">
        <v>37</v>
      </c>
      <c r="H30" s="5" t="s">
        <v>155</v>
      </c>
      <c r="I30" s="5">
        <v>30.0</v>
      </c>
      <c r="J30" s="5">
        <v>30.0</v>
      </c>
      <c r="K30" s="5">
        <v>0.0</v>
      </c>
      <c r="L30" s="5">
        <v>0.0</v>
      </c>
      <c r="M30" s="5">
        <v>20.0</v>
      </c>
      <c r="N30" s="5">
        <v>5.0</v>
      </c>
      <c r="O30" s="5" t="s">
        <v>39</v>
      </c>
      <c r="P30" s="5">
        <v>3.0</v>
      </c>
      <c r="Q30" s="6">
        <v>0.0</v>
      </c>
      <c r="R30" s="5">
        <v>0.0</v>
      </c>
      <c r="S30" s="5">
        <v>0.0</v>
      </c>
      <c r="T30" s="5">
        <v>0.0</v>
      </c>
      <c r="U30" s="5">
        <v>10.0</v>
      </c>
      <c r="V30" s="5">
        <v>6.6</v>
      </c>
      <c r="W30" s="3">
        <v>0.0</v>
      </c>
      <c r="X30" s="3">
        <v>0.0</v>
      </c>
      <c r="Y30" s="5">
        <v>10.0</v>
      </c>
      <c r="Z30" s="5">
        <v>6.6</v>
      </c>
      <c r="AA30" s="5">
        <v>10.0</v>
      </c>
      <c r="AB30" s="5">
        <v>6.6</v>
      </c>
      <c r="AC30" s="3">
        <v>0.0</v>
      </c>
      <c r="AD30" s="3">
        <v>0.0</v>
      </c>
      <c r="AE30" s="5">
        <v>3.0</v>
      </c>
      <c r="AF30" s="5" t="s">
        <v>156</v>
      </c>
      <c r="AG30" s="5">
        <f t="shared" si="1"/>
        <v>0</v>
      </c>
      <c r="AH30" s="5" t="str">
        <f t="shared" si="2"/>
        <v>yes</v>
      </c>
      <c r="AI30" s="5">
        <f t="shared" si="3"/>
        <v>3</v>
      </c>
    </row>
    <row r="31" ht="14.25" customHeight="1">
      <c r="A31" s="4">
        <v>10.0</v>
      </c>
      <c r="B31" s="5" t="s">
        <v>157</v>
      </c>
      <c r="C31" s="5">
        <v>2.0</v>
      </c>
      <c r="D31" s="5">
        <v>1.0</v>
      </c>
      <c r="E31" s="5" t="s">
        <v>104</v>
      </c>
      <c r="F31" s="5" t="s">
        <v>158</v>
      </c>
      <c r="G31" s="5" t="s">
        <v>106</v>
      </c>
      <c r="H31" s="5" t="s">
        <v>159</v>
      </c>
      <c r="I31" s="5">
        <v>30.0</v>
      </c>
      <c r="J31" s="5">
        <v>30.0</v>
      </c>
      <c r="K31" s="5">
        <v>0.0</v>
      </c>
      <c r="L31" s="5">
        <v>0.0</v>
      </c>
      <c r="M31" s="5">
        <v>3.0</v>
      </c>
      <c r="N31" s="5">
        <v>2.0</v>
      </c>
      <c r="O31" s="5" t="s">
        <v>52</v>
      </c>
      <c r="P31" s="5">
        <v>3.0</v>
      </c>
      <c r="Q31" s="6">
        <v>10.0</v>
      </c>
      <c r="R31" s="5">
        <v>1.0</v>
      </c>
      <c r="S31" s="5">
        <v>0.0</v>
      </c>
      <c r="T31" s="5">
        <v>0.0</v>
      </c>
      <c r="U31" s="5">
        <v>0.0</v>
      </c>
      <c r="V31" s="5">
        <v>0.0</v>
      </c>
      <c r="W31" s="3">
        <v>0.0</v>
      </c>
      <c r="X31" s="3">
        <v>0.0</v>
      </c>
      <c r="Y31" s="5">
        <v>10.0</v>
      </c>
      <c r="Z31" s="5">
        <v>1.0</v>
      </c>
      <c r="AA31" s="5">
        <v>10.0</v>
      </c>
      <c r="AB31" s="5">
        <v>1.0</v>
      </c>
      <c r="AC31" s="3">
        <v>0.0</v>
      </c>
      <c r="AD31" s="3">
        <v>0.0</v>
      </c>
      <c r="AE31" s="5">
        <v>3.0</v>
      </c>
      <c r="AF31" s="5" t="s">
        <v>160</v>
      </c>
      <c r="AG31" s="5">
        <f t="shared" si="1"/>
        <v>0</v>
      </c>
      <c r="AH31" s="5" t="str">
        <f t="shared" si="2"/>
        <v>yes</v>
      </c>
      <c r="AI31" s="5">
        <f t="shared" si="3"/>
        <v>3</v>
      </c>
    </row>
    <row r="32" ht="14.25" customHeight="1">
      <c r="A32" s="4">
        <v>11.0</v>
      </c>
      <c r="B32" s="5" t="s">
        <v>161</v>
      </c>
      <c r="C32" s="5">
        <v>1.0</v>
      </c>
      <c r="D32" s="5">
        <v>0.0</v>
      </c>
      <c r="E32" s="5" t="s">
        <v>35</v>
      </c>
      <c r="F32" s="5" t="s">
        <v>162</v>
      </c>
      <c r="G32" s="5" t="s">
        <v>37</v>
      </c>
      <c r="H32" s="5" t="s">
        <v>62</v>
      </c>
      <c r="I32" s="5">
        <v>0.0</v>
      </c>
      <c r="J32" s="5">
        <v>30000.0</v>
      </c>
      <c r="K32" s="5">
        <v>0.0</v>
      </c>
      <c r="L32" s="5">
        <v>0.0</v>
      </c>
      <c r="M32" s="5">
        <v>0.0</v>
      </c>
      <c r="N32" s="5">
        <v>25.0</v>
      </c>
      <c r="O32" s="5" t="s">
        <v>76</v>
      </c>
      <c r="P32" s="5">
        <v>1.0</v>
      </c>
      <c r="Q32" s="6">
        <v>0.0</v>
      </c>
      <c r="R32" s="5">
        <v>0.0</v>
      </c>
      <c r="S32" s="5">
        <v>0.0</v>
      </c>
      <c r="T32" s="5">
        <v>0.0</v>
      </c>
      <c r="U32" s="5">
        <v>0.0</v>
      </c>
      <c r="V32" s="5">
        <v>0.0</v>
      </c>
      <c r="W32" s="3">
        <v>0.0</v>
      </c>
      <c r="X32" s="3">
        <v>0.0</v>
      </c>
      <c r="Y32" s="5">
        <v>0.0</v>
      </c>
      <c r="Z32" s="5">
        <v>0.0</v>
      </c>
      <c r="AA32" s="5">
        <v>0.0</v>
      </c>
      <c r="AB32" s="5">
        <v>0.0</v>
      </c>
      <c r="AC32" s="3">
        <v>0.0</v>
      </c>
      <c r="AD32" s="3">
        <v>0.0</v>
      </c>
      <c r="AE32" s="5">
        <v>0.0</v>
      </c>
      <c r="AF32" s="5" t="s">
        <v>64</v>
      </c>
      <c r="AG32" s="5">
        <f t="shared" si="1"/>
        <v>0</v>
      </c>
      <c r="AH32" s="5" t="str">
        <f t="shared" si="2"/>
        <v>no</v>
      </c>
      <c r="AI32" s="5">
        <f t="shared" si="3"/>
        <v>1</v>
      </c>
    </row>
    <row r="33" ht="14.25" customHeight="1">
      <c r="A33" s="4">
        <v>11.0</v>
      </c>
      <c r="B33" s="5" t="s">
        <v>163</v>
      </c>
      <c r="C33" s="5">
        <v>3.0</v>
      </c>
      <c r="D33" s="5">
        <v>0.0</v>
      </c>
      <c r="E33" s="5" t="s">
        <v>35</v>
      </c>
      <c r="F33" s="5" t="s">
        <v>164</v>
      </c>
      <c r="G33" s="5" t="s">
        <v>106</v>
      </c>
      <c r="H33" s="5" t="s">
        <v>165</v>
      </c>
      <c r="I33" s="5">
        <v>50.0</v>
      </c>
      <c r="J33" s="5">
        <v>50.0</v>
      </c>
      <c r="K33" s="5">
        <v>0.0</v>
      </c>
      <c r="L33" s="5">
        <v>0.0</v>
      </c>
      <c r="M33" s="5">
        <v>15.0</v>
      </c>
      <c r="N33" s="5">
        <v>5.0</v>
      </c>
      <c r="O33" s="5" t="s">
        <v>39</v>
      </c>
      <c r="P33" s="5">
        <v>3.0</v>
      </c>
      <c r="Q33" s="6">
        <v>0.0</v>
      </c>
      <c r="R33" s="5">
        <v>0.0</v>
      </c>
      <c r="S33" s="5">
        <v>0.0</v>
      </c>
      <c r="T33" s="5">
        <v>0.0</v>
      </c>
      <c r="U33" s="5">
        <v>50.0</v>
      </c>
      <c r="V33" s="5">
        <v>15.0</v>
      </c>
      <c r="W33" s="3">
        <v>0.0</v>
      </c>
      <c r="X33" s="3">
        <v>0.0</v>
      </c>
      <c r="Y33" s="5">
        <v>0.0</v>
      </c>
      <c r="Z33" s="5">
        <v>0.0</v>
      </c>
      <c r="AA33" s="5">
        <v>0.0</v>
      </c>
      <c r="AB33" s="5">
        <v>0.0</v>
      </c>
      <c r="AC33" s="3">
        <v>0.0</v>
      </c>
      <c r="AD33" s="3">
        <v>0.0</v>
      </c>
      <c r="AE33" s="5">
        <v>1.0</v>
      </c>
      <c r="AF33" s="5" t="s">
        <v>66</v>
      </c>
      <c r="AG33" s="5">
        <f t="shared" si="1"/>
        <v>0</v>
      </c>
      <c r="AH33" s="5" t="str">
        <f t="shared" si="2"/>
        <v>yes</v>
      </c>
      <c r="AI33" s="5">
        <f t="shared" si="3"/>
        <v>3</v>
      </c>
    </row>
    <row r="34" ht="14.25" customHeight="1">
      <c r="A34" s="4">
        <v>11.0</v>
      </c>
      <c r="B34" s="5" t="s">
        <v>166</v>
      </c>
      <c r="C34" s="5">
        <v>1.0</v>
      </c>
      <c r="D34" s="5">
        <v>1.0</v>
      </c>
      <c r="E34" s="3" t="s">
        <v>167</v>
      </c>
      <c r="F34" s="5" t="s">
        <v>168</v>
      </c>
      <c r="G34" s="5" t="s">
        <v>106</v>
      </c>
      <c r="H34" s="5" t="s">
        <v>155</v>
      </c>
      <c r="I34" s="5">
        <v>30.0</v>
      </c>
      <c r="J34" s="5">
        <v>30.0</v>
      </c>
      <c r="K34" s="5">
        <v>0.0</v>
      </c>
      <c r="L34" s="5">
        <v>0.0</v>
      </c>
      <c r="M34" s="5">
        <v>20.0</v>
      </c>
      <c r="N34" s="5">
        <v>10.0</v>
      </c>
      <c r="O34" s="5" t="s">
        <v>52</v>
      </c>
      <c r="P34" s="5">
        <v>2.0</v>
      </c>
      <c r="Q34" s="6">
        <v>0.0</v>
      </c>
      <c r="R34" s="5">
        <v>0.0</v>
      </c>
      <c r="S34" s="5">
        <v>15.0</v>
      </c>
      <c r="T34" s="5">
        <v>10.0</v>
      </c>
      <c r="U34" s="5">
        <v>0.0</v>
      </c>
      <c r="V34" s="5">
        <v>0.0</v>
      </c>
      <c r="W34" s="3">
        <v>0.0</v>
      </c>
      <c r="X34" s="3">
        <v>0.0</v>
      </c>
      <c r="Y34" s="5">
        <v>15.0</v>
      </c>
      <c r="Z34" s="5">
        <v>10.0</v>
      </c>
      <c r="AA34" s="5">
        <v>0.0</v>
      </c>
      <c r="AB34" s="5">
        <v>0.0</v>
      </c>
      <c r="AC34" s="3">
        <v>0.0</v>
      </c>
      <c r="AD34" s="3">
        <v>0.0</v>
      </c>
      <c r="AE34" s="5">
        <v>2.0</v>
      </c>
      <c r="AF34" s="3" t="s">
        <v>94</v>
      </c>
      <c r="AG34" s="5">
        <f t="shared" si="1"/>
        <v>0</v>
      </c>
      <c r="AH34" s="5" t="str">
        <f t="shared" si="2"/>
        <v>yes</v>
      </c>
      <c r="AI34" s="5">
        <f t="shared" si="3"/>
        <v>2</v>
      </c>
    </row>
    <row r="35" ht="14.25" customHeight="1">
      <c r="A35" s="4">
        <v>12.0</v>
      </c>
      <c r="B35" s="5" t="s">
        <v>169</v>
      </c>
      <c r="C35" s="5">
        <v>0.0</v>
      </c>
      <c r="D35" s="5">
        <v>1.0</v>
      </c>
      <c r="E35" s="5" t="s">
        <v>138</v>
      </c>
      <c r="F35" s="5" t="s">
        <v>170</v>
      </c>
      <c r="G35" s="5" t="s">
        <v>61</v>
      </c>
      <c r="H35" s="5" t="s">
        <v>171</v>
      </c>
      <c r="I35" s="5">
        <v>75.0</v>
      </c>
      <c r="J35" s="5">
        <v>75.0</v>
      </c>
      <c r="K35" s="5">
        <v>0.0</v>
      </c>
      <c r="L35" s="5">
        <v>0.0</v>
      </c>
      <c r="M35" s="5">
        <v>15.0</v>
      </c>
      <c r="N35" s="5">
        <v>4.0</v>
      </c>
      <c r="O35" s="5" t="s">
        <v>46</v>
      </c>
      <c r="P35" s="5">
        <v>1.0</v>
      </c>
      <c r="Q35" s="6">
        <v>0.0</v>
      </c>
      <c r="R35" s="5">
        <v>0.0</v>
      </c>
      <c r="S35" s="5">
        <v>75.0</v>
      </c>
      <c r="T35" s="5">
        <v>15.0</v>
      </c>
      <c r="U35" s="5">
        <v>0.0</v>
      </c>
      <c r="V35" s="5">
        <v>0.0</v>
      </c>
      <c r="W35" s="3">
        <v>0.0</v>
      </c>
      <c r="X35" s="3">
        <v>0.0</v>
      </c>
      <c r="Y35" s="5">
        <v>0.0</v>
      </c>
      <c r="Z35" s="5">
        <v>0.0</v>
      </c>
      <c r="AA35" s="5">
        <v>0.0</v>
      </c>
      <c r="AB35" s="5">
        <v>0.0</v>
      </c>
      <c r="AC35" s="3">
        <v>0.0</v>
      </c>
      <c r="AD35" s="3">
        <v>0.0</v>
      </c>
      <c r="AE35" s="5">
        <v>1.0</v>
      </c>
      <c r="AF35" s="3" t="s">
        <v>68</v>
      </c>
      <c r="AG35" s="5">
        <f t="shared" si="1"/>
        <v>0</v>
      </c>
      <c r="AH35" s="5" t="str">
        <f t="shared" si="2"/>
        <v>yes</v>
      </c>
      <c r="AI35" s="5">
        <f t="shared" si="3"/>
        <v>1</v>
      </c>
    </row>
    <row r="36" ht="14.25" customHeight="1">
      <c r="A36" s="4">
        <v>12.0</v>
      </c>
      <c r="B36" s="5" t="s">
        <v>172</v>
      </c>
      <c r="C36" s="5">
        <v>1.0</v>
      </c>
      <c r="D36" s="5">
        <v>1.0</v>
      </c>
      <c r="E36" s="5" t="s">
        <v>104</v>
      </c>
      <c r="F36" s="5" t="s">
        <v>173</v>
      </c>
      <c r="G36" s="5" t="s">
        <v>37</v>
      </c>
      <c r="H36" s="5" t="s">
        <v>62</v>
      </c>
      <c r="I36" s="5">
        <v>0.0</v>
      </c>
      <c r="J36" s="5">
        <v>40.0</v>
      </c>
      <c r="K36" s="5">
        <v>0.0</v>
      </c>
      <c r="L36" s="5">
        <v>0.0</v>
      </c>
      <c r="M36" s="5">
        <v>0.0</v>
      </c>
      <c r="N36" s="5">
        <v>3.0</v>
      </c>
      <c r="O36" s="5" t="s">
        <v>39</v>
      </c>
      <c r="P36" s="5">
        <v>2.0</v>
      </c>
      <c r="Q36" s="6">
        <v>0.0</v>
      </c>
      <c r="R36" s="5">
        <v>0.0</v>
      </c>
      <c r="S36" s="5">
        <v>0.0</v>
      </c>
      <c r="T36" s="5">
        <v>0.0</v>
      </c>
      <c r="U36" s="5">
        <v>0.0</v>
      </c>
      <c r="V36" s="5">
        <v>0.0</v>
      </c>
      <c r="W36" s="3">
        <v>0.0</v>
      </c>
      <c r="X36" s="3">
        <v>0.0</v>
      </c>
      <c r="Y36" s="5">
        <v>0.0</v>
      </c>
      <c r="Z36" s="5">
        <v>0.0</v>
      </c>
      <c r="AA36" s="5">
        <v>0.0</v>
      </c>
      <c r="AB36" s="5">
        <v>0.0</v>
      </c>
      <c r="AC36" s="3">
        <v>0.0</v>
      </c>
      <c r="AD36" s="3">
        <v>0.0</v>
      </c>
      <c r="AE36" s="5">
        <v>0.0</v>
      </c>
      <c r="AF36" s="5" t="s">
        <v>64</v>
      </c>
      <c r="AG36" s="5">
        <f t="shared" si="1"/>
        <v>0</v>
      </c>
      <c r="AH36" s="5" t="str">
        <f t="shared" si="2"/>
        <v>no</v>
      </c>
      <c r="AI36" s="5">
        <f t="shared" si="3"/>
        <v>2</v>
      </c>
    </row>
    <row r="37" ht="14.25" customHeight="1">
      <c r="A37" s="4">
        <v>12.0</v>
      </c>
      <c r="B37" s="5" t="s">
        <v>174</v>
      </c>
      <c r="C37" s="5">
        <v>1.0</v>
      </c>
      <c r="D37" s="5">
        <v>1.0</v>
      </c>
      <c r="E37" s="5" t="s">
        <v>35</v>
      </c>
      <c r="F37" s="5" t="s">
        <v>175</v>
      </c>
      <c r="G37" s="5" t="s">
        <v>176</v>
      </c>
      <c r="H37" s="5" t="s">
        <v>177</v>
      </c>
      <c r="I37" s="5">
        <v>40.0</v>
      </c>
      <c r="J37" s="5">
        <v>40.0</v>
      </c>
      <c r="K37" s="5">
        <v>0.0</v>
      </c>
      <c r="L37" s="5">
        <v>0.0</v>
      </c>
      <c r="M37" s="5">
        <v>24.0</v>
      </c>
      <c r="N37" s="5">
        <v>5.0</v>
      </c>
      <c r="O37" s="7" t="s">
        <v>52</v>
      </c>
      <c r="P37" s="5">
        <v>1.0</v>
      </c>
      <c r="Q37" s="6">
        <v>0.0</v>
      </c>
      <c r="R37" s="5">
        <v>0.0</v>
      </c>
      <c r="S37" s="5">
        <v>0.0</v>
      </c>
      <c r="T37" s="5">
        <v>0.0</v>
      </c>
      <c r="U37" s="5">
        <v>13.3</v>
      </c>
      <c r="V37" s="5">
        <v>8.0</v>
      </c>
      <c r="W37" s="3">
        <v>0.0</v>
      </c>
      <c r="X37" s="3">
        <v>0.0</v>
      </c>
      <c r="Y37" s="5">
        <v>13.3</v>
      </c>
      <c r="Z37" s="5">
        <v>8.0</v>
      </c>
      <c r="AA37" s="5">
        <v>13.3</v>
      </c>
      <c r="AB37" s="5">
        <v>8.0</v>
      </c>
      <c r="AC37" s="3">
        <v>0.0</v>
      </c>
      <c r="AD37" s="3">
        <v>0.0</v>
      </c>
      <c r="AE37" s="5">
        <v>3.0</v>
      </c>
      <c r="AF37" s="5" t="s">
        <v>156</v>
      </c>
      <c r="AG37" s="5">
        <f t="shared" si="1"/>
        <v>0</v>
      </c>
      <c r="AH37" s="5" t="str">
        <f t="shared" si="2"/>
        <v>yes</v>
      </c>
      <c r="AI37" s="5">
        <f t="shared" si="3"/>
        <v>2</v>
      </c>
    </row>
    <row r="38" ht="14.25" customHeight="1">
      <c r="A38" s="4">
        <v>13.0</v>
      </c>
      <c r="B38" s="5" t="s">
        <v>178</v>
      </c>
      <c r="C38" s="5">
        <v>3.0</v>
      </c>
      <c r="D38" s="5">
        <v>1.0</v>
      </c>
      <c r="E38" s="5" t="s">
        <v>55</v>
      </c>
      <c r="F38" s="5" t="s">
        <v>179</v>
      </c>
      <c r="G38" s="5" t="s">
        <v>61</v>
      </c>
      <c r="H38" s="5" t="s">
        <v>180</v>
      </c>
      <c r="I38" s="5">
        <v>105.0</v>
      </c>
      <c r="J38" s="5">
        <v>30.0</v>
      </c>
      <c r="K38" s="5">
        <v>0.0</v>
      </c>
      <c r="L38" s="5">
        <v>0.0</v>
      </c>
      <c r="M38" s="5">
        <v>3.0</v>
      </c>
      <c r="N38" s="5">
        <v>0.5</v>
      </c>
      <c r="O38" s="5" t="s">
        <v>52</v>
      </c>
      <c r="P38" s="5">
        <v>4.0</v>
      </c>
      <c r="Q38" s="6">
        <v>0.0</v>
      </c>
      <c r="R38" s="5">
        <v>0.0</v>
      </c>
      <c r="S38" s="5">
        <v>35.0</v>
      </c>
      <c r="T38" s="5">
        <v>1.0</v>
      </c>
      <c r="U38" s="5">
        <v>35.0</v>
      </c>
      <c r="V38" s="5">
        <v>1.0</v>
      </c>
      <c r="W38" s="3">
        <v>0.0</v>
      </c>
      <c r="X38" s="3">
        <v>0.0</v>
      </c>
      <c r="Y38" s="5">
        <v>0.0</v>
      </c>
      <c r="Z38" s="5">
        <v>0.0</v>
      </c>
      <c r="AA38" s="5">
        <v>35.0</v>
      </c>
      <c r="AB38" s="5">
        <v>1.0</v>
      </c>
      <c r="AC38" s="3">
        <v>0.0</v>
      </c>
      <c r="AD38" s="3">
        <v>0.0</v>
      </c>
      <c r="AE38" s="5">
        <v>3.0</v>
      </c>
      <c r="AF38" s="3" t="s">
        <v>181</v>
      </c>
      <c r="AG38" s="5">
        <f t="shared" si="1"/>
        <v>0</v>
      </c>
      <c r="AH38" s="5" t="str">
        <f t="shared" si="2"/>
        <v>yes</v>
      </c>
      <c r="AI38" s="5">
        <f t="shared" si="3"/>
        <v>4</v>
      </c>
    </row>
    <row r="39" ht="14.25" customHeight="1">
      <c r="A39" s="4">
        <v>13.0</v>
      </c>
      <c r="B39" s="5" t="s">
        <v>182</v>
      </c>
      <c r="C39" s="5">
        <v>0.0</v>
      </c>
      <c r="D39" s="5">
        <v>2.0</v>
      </c>
      <c r="E39" s="5" t="s">
        <v>183</v>
      </c>
      <c r="F39" s="5" t="s">
        <v>184</v>
      </c>
      <c r="G39" s="5" t="s">
        <v>106</v>
      </c>
      <c r="H39" s="5" t="s">
        <v>114</v>
      </c>
      <c r="I39" s="5">
        <v>50.0</v>
      </c>
      <c r="J39" s="5">
        <v>50.0</v>
      </c>
      <c r="K39" s="5">
        <v>0.0</v>
      </c>
      <c r="L39" s="5">
        <v>0.0</v>
      </c>
      <c r="M39" s="5">
        <v>20.0</v>
      </c>
      <c r="N39" s="5">
        <v>10.0</v>
      </c>
      <c r="O39" s="5" t="s">
        <v>185</v>
      </c>
      <c r="P39" s="5">
        <v>2.0</v>
      </c>
      <c r="Q39" s="6">
        <v>0.0</v>
      </c>
      <c r="R39" s="5">
        <v>0.0</v>
      </c>
      <c r="S39" s="5">
        <v>0.0</v>
      </c>
      <c r="T39" s="5">
        <v>0.0</v>
      </c>
      <c r="U39" s="5">
        <v>25.0</v>
      </c>
      <c r="V39" s="5">
        <v>10.0</v>
      </c>
      <c r="W39" s="3">
        <v>0.0</v>
      </c>
      <c r="X39" s="3">
        <v>0.0</v>
      </c>
      <c r="Y39" s="5">
        <v>0.0</v>
      </c>
      <c r="Z39" s="5">
        <v>0.0</v>
      </c>
      <c r="AA39" s="5">
        <v>25.0</v>
      </c>
      <c r="AB39" s="5">
        <v>10.0</v>
      </c>
      <c r="AC39" s="3">
        <v>0.0</v>
      </c>
      <c r="AD39" s="3">
        <v>0.0</v>
      </c>
      <c r="AE39" s="5">
        <v>2.0</v>
      </c>
      <c r="AF39" s="5" t="s">
        <v>132</v>
      </c>
      <c r="AG39" s="5">
        <f t="shared" si="1"/>
        <v>0</v>
      </c>
      <c r="AH39" s="5" t="str">
        <f t="shared" si="2"/>
        <v>yes</v>
      </c>
      <c r="AI39" s="5">
        <f t="shared" si="3"/>
        <v>2</v>
      </c>
    </row>
    <row r="40" ht="14.25" customHeight="1">
      <c r="A40" s="4">
        <v>13.0</v>
      </c>
      <c r="B40" s="5" t="s">
        <v>186</v>
      </c>
      <c r="C40" s="5">
        <v>1.0</v>
      </c>
      <c r="D40" s="5">
        <v>0.0</v>
      </c>
      <c r="E40" s="5" t="s">
        <v>101</v>
      </c>
      <c r="F40" s="5" t="s">
        <v>187</v>
      </c>
      <c r="G40" s="5" t="s">
        <v>50</v>
      </c>
      <c r="H40" s="5" t="s">
        <v>188</v>
      </c>
      <c r="I40" s="5">
        <v>100.0</v>
      </c>
      <c r="J40" s="5">
        <v>50.0</v>
      </c>
      <c r="K40" s="5">
        <v>0.0</v>
      </c>
      <c r="L40" s="5">
        <v>0.0</v>
      </c>
      <c r="M40" s="5">
        <v>10.0</v>
      </c>
      <c r="N40" s="5">
        <v>2.0</v>
      </c>
      <c r="O40" s="5" t="s">
        <v>76</v>
      </c>
      <c r="P40" s="5">
        <v>1.0</v>
      </c>
      <c r="Q40" s="6">
        <v>25.0</v>
      </c>
      <c r="R40" s="5">
        <v>2.5</v>
      </c>
      <c r="S40" s="5">
        <v>0.0</v>
      </c>
      <c r="T40" s="5">
        <v>0.0</v>
      </c>
      <c r="U40" s="5">
        <v>25.0</v>
      </c>
      <c r="V40" s="5">
        <v>2.5</v>
      </c>
      <c r="W40" s="3">
        <v>0.0</v>
      </c>
      <c r="X40" s="3">
        <v>0.0</v>
      </c>
      <c r="Y40" s="5">
        <v>25.0</v>
      </c>
      <c r="Z40" s="5">
        <v>2.5</v>
      </c>
      <c r="AA40" s="5">
        <v>25.0</v>
      </c>
      <c r="AB40" s="5">
        <v>2.5</v>
      </c>
      <c r="AC40" s="3">
        <v>0.0</v>
      </c>
      <c r="AD40" s="3">
        <v>0.0</v>
      </c>
      <c r="AE40" s="5">
        <v>4.0</v>
      </c>
      <c r="AF40" s="5" t="s">
        <v>189</v>
      </c>
      <c r="AG40" s="5">
        <f t="shared" si="1"/>
        <v>0</v>
      </c>
      <c r="AH40" s="5" t="str">
        <f t="shared" si="2"/>
        <v>yes</v>
      </c>
      <c r="AI40" s="5">
        <f t="shared" si="3"/>
        <v>1</v>
      </c>
    </row>
    <row r="41" ht="14.25" customHeight="1">
      <c r="A41" s="4">
        <v>14.0</v>
      </c>
      <c r="B41" s="3" t="s">
        <v>190</v>
      </c>
      <c r="C41" s="5">
        <v>2.0</v>
      </c>
      <c r="D41" s="5">
        <v>0.0</v>
      </c>
      <c r="E41" s="5" t="s">
        <v>101</v>
      </c>
      <c r="F41" s="5" t="s">
        <v>191</v>
      </c>
      <c r="G41" s="5" t="s">
        <v>61</v>
      </c>
      <c r="H41" s="5" t="s">
        <v>192</v>
      </c>
      <c r="I41" s="5">
        <v>100.0</v>
      </c>
      <c r="J41" s="5">
        <v>100.0</v>
      </c>
      <c r="K41" s="5">
        <v>0.0</v>
      </c>
      <c r="L41" s="5">
        <v>0.0</v>
      </c>
      <c r="M41" s="5">
        <v>6.0</v>
      </c>
      <c r="N41" s="5">
        <v>3.0</v>
      </c>
      <c r="O41" s="5" t="s">
        <v>76</v>
      </c>
      <c r="P41" s="5">
        <v>2.0</v>
      </c>
      <c r="Q41" s="6">
        <v>0.0</v>
      </c>
      <c r="R41" s="5">
        <v>0.0</v>
      </c>
      <c r="S41" s="5">
        <v>50.0</v>
      </c>
      <c r="T41" s="5">
        <v>3.0</v>
      </c>
      <c r="U41" s="5">
        <v>0.0</v>
      </c>
      <c r="V41" s="5">
        <v>0.0</v>
      </c>
      <c r="W41" s="3">
        <v>0.0</v>
      </c>
      <c r="X41" s="3">
        <v>0.0</v>
      </c>
      <c r="Y41" s="5">
        <v>50.0</v>
      </c>
      <c r="Z41" s="5">
        <v>3.0</v>
      </c>
      <c r="AA41" s="5">
        <v>0.0</v>
      </c>
      <c r="AB41" s="5">
        <v>0.0</v>
      </c>
      <c r="AC41" s="3">
        <v>0.0</v>
      </c>
      <c r="AD41" s="3">
        <v>0.0</v>
      </c>
      <c r="AE41" s="5">
        <v>2.0</v>
      </c>
      <c r="AF41" s="3" t="s">
        <v>94</v>
      </c>
      <c r="AG41" s="5">
        <f t="shared" si="1"/>
        <v>0</v>
      </c>
      <c r="AH41" s="5" t="str">
        <f t="shared" si="2"/>
        <v>yes</v>
      </c>
      <c r="AI41" s="5">
        <f t="shared" si="3"/>
        <v>2</v>
      </c>
    </row>
    <row r="42" ht="14.25" customHeight="1">
      <c r="A42" s="4">
        <v>14.0</v>
      </c>
      <c r="B42" s="5" t="s">
        <v>193</v>
      </c>
      <c r="C42" s="5">
        <v>2.0</v>
      </c>
      <c r="D42" s="5">
        <v>1.0</v>
      </c>
      <c r="E42" s="5" t="s">
        <v>194</v>
      </c>
      <c r="F42" s="3" t="s">
        <v>195</v>
      </c>
      <c r="G42" s="5" t="s">
        <v>37</v>
      </c>
      <c r="H42" s="5" t="s">
        <v>62</v>
      </c>
      <c r="I42" s="5">
        <v>0.0</v>
      </c>
      <c r="J42" s="5">
        <v>100.0</v>
      </c>
      <c r="K42" s="5">
        <v>0.0</v>
      </c>
      <c r="L42" s="5">
        <v>0.0</v>
      </c>
      <c r="M42" s="5">
        <v>0.0</v>
      </c>
      <c r="N42" s="5">
        <v>3.0</v>
      </c>
      <c r="O42" s="5" t="s">
        <v>90</v>
      </c>
      <c r="P42" s="5">
        <v>3.0</v>
      </c>
      <c r="Q42" s="6">
        <v>0.0</v>
      </c>
      <c r="R42" s="5">
        <v>0.0</v>
      </c>
      <c r="S42" s="5">
        <v>0.0</v>
      </c>
      <c r="T42" s="5">
        <v>0.0</v>
      </c>
      <c r="U42" s="5">
        <v>0.0</v>
      </c>
      <c r="V42" s="5">
        <v>0.0</v>
      </c>
      <c r="W42" s="3">
        <v>0.0</v>
      </c>
      <c r="X42" s="3">
        <v>0.0</v>
      </c>
      <c r="Y42" s="5">
        <v>0.0</v>
      </c>
      <c r="Z42" s="5">
        <v>0.0</v>
      </c>
      <c r="AA42" s="5">
        <v>0.0</v>
      </c>
      <c r="AB42" s="5">
        <v>0.0</v>
      </c>
      <c r="AC42" s="3">
        <v>0.0</v>
      </c>
      <c r="AD42" s="3">
        <v>0.0</v>
      </c>
      <c r="AE42" s="5">
        <v>0.0</v>
      </c>
      <c r="AF42" s="5" t="s">
        <v>64</v>
      </c>
      <c r="AG42" s="5">
        <f t="shared" si="1"/>
        <v>0</v>
      </c>
      <c r="AH42" s="5" t="str">
        <f t="shared" si="2"/>
        <v>no</v>
      </c>
      <c r="AI42" s="5">
        <f t="shared" si="3"/>
        <v>3</v>
      </c>
    </row>
    <row r="43" ht="14.25" customHeight="1">
      <c r="A43" s="4">
        <v>14.0</v>
      </c>
      <c r="B43" s="5" t="s">
        <v>196</v>
      </c>
      <c r="C43" s="5">
        <v>0.0</v>
      </c>
      <c r="D43" s="5">
        <v>1.0</v>
      </c>
      <c r="E43" s="5" t="s">
        <v>35</v>
      </c>
      <c r="F43" s="5" t="s">
        <v>197</v>
      </c>
      <c r="G43" s="5" t="s">
        <v>106</v>
      </c>
      <c r="H43" s="5" t="s">
        <v>62</v>
      </c>
      <c r="I43" s="5">
        <v>0.0</v>
      </c>
      <c r="J43" s="5">
        <v>45.0</v>
      </c>
      <c r="K43" s="5">
        <v>0.0</v>
      </c>
      <c r="L43" s="5">
        <v>0.0</v>
      </c>
      <c r="M43" s="5">
        <v>0.0</v>
      </c>
      <c r="N43" s="5">
        <v>5.0</v>
      </c>
      <c r="O43" s="5" t="s">
        <v>46</v>
      </c>
      <c r="P43" s="5">
        <v>1.0</v>
      </c>
      <c r="Q43" s="6">
        <v>0.0</v>
      </c>
      <c r="R43" s="5">
        <v>0.0</v>
      </c>
      <c r="S43" s="5">
        <v>0.0</v>
      </c>
      <c r="T43" s="5">
        <v>0.0</v>
      </c>
      <c r="U43" s="5">
        <v>0.0</v>
      </c>
      <c r="V43" s="5">
        <v>0.0</v>
      </c>
      <c r="W43" s="3">
        <v>0.0</v>
      </c>
      <c r="X43" s="3">
        <v>0.0</v>
      </c>
      <c r="Y43" s="5">
        <v>0.0</v>
      </c>
      <c r="Z43" s="5">
        <v>0.0</v>
      </c>
      <c r="AA43" s="5">
        <v>0.0</v>
      </c>
      <c r="AB43" s="5">
        <v>0.0</v>
      </c>
      <c r="AC43" s="3">
        <v>0.0</v>
      </c>
      <c r="AD43" s="3">
        <v>0.0</v>
      </c>
      <c r="AE43" s="5">
        <v>0.0</v>
      </c>
      <c r="AF43" s="5" t="s">
        <v>64</v>
      </c>
      <c r="AG43" s="5">
        <f t="shared" si="1"/>
        <v>0</v>
      </c>
      <c r="AH43" s="5" t="str">
        <f t="shared" si="2"/>
        <v>no</v>
      </c>
      <c r="AI43" s="5">
        <f t="shared" si="3"/>
        <v>1</v>
      </c>
    </row>
    <row r="44" ht="14.25" customHeight="1">
      <c r="A44" s="4">
        <v>15.0</v>
      </c>
      <c r="B44" s="5" t="s">
        <v>198</v>
      </c>
      <c r="C44" s="5">
        <v>1.0</v>
      </c>
      <c r="D44" s="5">
        <v>0.0</v>
      </c>
      <c r="E44" s="5" t="s">
        <v>199</v>
      </c>
      <c r="F44" s="5" t="s">
        <v>200</v>
      </c>
      <c r="G44" s="5" t="s">
        <v>106</v>
      </c>
      <c r="H44" s="5" t="s">
        <v>201</v>
      </c>
      <c r="I44" s="5">
        <v>100.0</v>
      </c>
      <c r="J44" s="5">
        <v>30.0</v>
      </c>
      <c r="K44" s="5">
        <v>0.0</v>
      </c>
      <c r="L44" s="5">
        <v>0.0</v>
      </c>
      <c r="M44" s="5">
        <v>40.0</v>
      </c>
      <c r="N44" s="5">
        <v>3.0</v>
      </c>
      <c r="O44" s="5" t="s">
        <v>46</v>
      </c>
      <c r="P44" s="5">
        <v>1.0</v>
      </c>
      <c r="Q44" s="6">
        <v>0.0</v>
      </c>
      <c r="R44" s="5">
        <v>0.0</v>
      </c>
      <c r="S44" s="5">
        <v>0.0</v>
      </c>
      <c r="T44" s="5">
        <v>0.0</v>
      </c>
      <c r="U44" s="5">
        <v>0.0</v>
      </c>
      <c r="V44" s="5">
        <v>0.0</v>
      </c>
      <c r="W44" s="3">
        <v>0.0</v>
      </c>
      <c r="X44" s="3">
        <v>0.0</v>
      </c>
      <c r="Y44" s="5">
        <v>100.0</v>
      </c>
      <c r="Z44" s="5">
        <v>40.0</v>
      </c>
      <c r="AA44" s="5">
        <v>0.0</v>
      </c>
      <c r="AB44" s="5">
        <v>0.0</v>
      </c>
      <c r="AC44" s="3">
        <v>0.0</v>
      </c>
      <c r="AD44" s="3">
        <v>0.0</v>
      </c>
      <c r="AE44" s="5">
        <v>1.0</v>
      </c>
      <c r="AF44" s="5" t="s">
        <v>65</v>
      </c>
      <c r="AG44" s="5">
        <f t="shared" si="1"/>
        <v>0</v>
      </c>
      <c r="AH44" s="5" t="str">
        <f t="shared" si="2"/>
        <v>yes</v>
      </c>
      <c r="AI44" s="5">
        <f t="shared" si="3"/>
        <v>1</v>
      </c>
    </row>
    <row r="45" ht="14.25" customHeight="1">
      <c r="A45" s="4">
        <v>15.0</v>
      </c>
      <c r="B45" s="5" t="s">
        <v>202</v>
      </c>
      <c r="C45" s="5">
        <v>2.0</v>
      </c>
      <c r="D45" s="5">
        <v>0.0</v>
      </c>
      <c r="E45" s="5" t="s">
        <v>101</v>
      </c>
      <c r="F45" s="5" t="s">
        <v>203</v>
      </c>
      <c r="G45" s="5" t="s">
        <v>176</v>
      </c>
      <c r="H45" s="5" t="s">
        <v>204</v>
      </c>
      <c r="I45" s="5">
        <v>25.0</v>
      </c>
      <c r="J45" s="5">
        <v>50.0</v>
      </c>
      <c r="K45" s="5">
        <v>25.0</v>
      </c>
      <c r="L45" s="5">
        <v>0.0</v>
      </c>
      <c r="M45" s="5">
        <v>25.0</v>
      </c>
      <c r="N45" s="5">
        <v>4.0</v>
      </c>
      <c r="O45" s="5" t="s">
        <v>52</v>
      </c>
      <c r="P45" s="5">
        <v>2.0</v>
      </c>
      <c r="Q45" s="6">
        <v>0.0</v>
      </c>
      <c r="R45" s="5">
        <v>0.0</v>
      </c>
      <c r="S45" s="5">
        <v>0.0</v>
      </c>
      <c r="T45" s="5">
        <v>0.0</v>
      </c>
      <c r="U45" s="5">
        <v>0.0</v>
      </c>
      <c r="V45" s="5">
        <v>0.0</v>
      </c>
      <c r="W45" s="3">
        <v>0.0</v>
      </c>
      <c r="X45" s="3">
        <v>0.0</v>
      </c>
      <c r="Y45" s="5">
        <v>0.0</v>
      </c>
      <c r="Z45" s="5">
        <v>0.0</v>
      </c>
      <c r="AA45" s="5">
        <v>50.0</v>
      </c>
      <c r="AB45" s="5">
        <v>50.0</v>
      </c>
      <c r="AC45" s="3">
        <v>0.0</v>
      </c>
      <c r="AD45" s="3">
        <v>0.0</v>
      </c>
      <c r="AE45" s="5">
        <v>1.0</v>
      </c>
      <c r="AF45" s="5" t="s">
        <v>69</v>
      </c>
      <c r="AG45" s="5">
        <f t="shared" si="1"/>
        <v>0</v>
      </c>
      <c r="AH45" s="5" t="str">
        <f t="shared" si="2"/>
        <v>yes</v>
      </c>
      <c r="AI45" s="5">
        <f t="shared" si="3"/>
        <v>2</v>
      </c>
    </row>
    <row r="46" ht="14.25" customHeight="1">
      <c r="A46" s="4">
        <v>15.0</v>
      </c>
      <c r="B46" s="8" t="s">
        <v>205</v>
      </c>
      <c r="C46" s="9">
        <v>3.0</v>
      </c>
      <c r="D46" s="9">
        <v>0.0</v>
      </c>
      <c r="E46" s="5" t="s">
        <v>108</v>
      </c>
      <c r="F46" s="5" t="s">
        <v>206</v>
      </c>
      <c r="G46" s="5" t="s">
        <v>37</v>
      </c>
      <c r="H46" s="5" t="s">
        <v>207</v>
      </c>
      <c r="I46" s="3">
        <v>5.0E-5</v>
      </c>
      <c r="J46" s="10">
        <v>5.0E-5</v>
      </c>
      <c r="K46" s="5">
        <v>0.0</v>
      </c>
      <c r="L46" s="5">
        <v>0.0</v>
      </c>
      <c r="M46" s="5">
        <v>5.0</v>
      </c>
      <c r="N46" s="5">
        <v>5.0</v>
      </c>
      <c r="O46" s="5" t="s">
        <v>39</v>
      </c>
      <c r="P46" s="5">
        <v>3.0</v>
      </c>
      <c r="Q46" s="6">
        <v>0.0</v>
      </c>
      <c r="R46" s="5">
        <v>0.0</v>
      </c>
      <c r="S46" s="5">
        <f>(5/3)/100000</f>
        <v>0.00001666666667</v>
      </c>
      <c r="T46" s="5">
        <f>5/3</f>
        <v>1.666666667</v>
      </c>
      <c r="U46" s="5">
        <f>(5/3)/100000</f>
        <v>0.00001666666667</v>
      </c>
      <c r="V46" s="5">
        <f>5/3</f>
        <v>1.666666667</v>
      </c>
      <c r="W46" s="3">
        <v>0.0</v>
      </c>
      <c r="X46" s="3">
        <v>0.0</v>
      </c>
      <c r="Y46" s="5">
        <f>(5/3)/100000</f>
        <v>0.00001666666667</v>
      </c>
      <c r="Z46" s="5">
        <f>5/3</f>
        <v>1.666666667</v>
      </c>
      <c r="AA46" s="3">
        <v>0.0</v>
      </c>
      <c r="AB46" s="3">
        <v>0.0</v>
      </c>
      <c r="AC46" s="3">
        <v>0.0</v>
      </c>
      <c r="AD46" s="3">
        <v>0.0</v>
      </c>
      <c r="AE46" s="5">
        <v>3.0</v>
      </c>
      <c r="AF46" s="3" t="s">
        <v>208</v>
      </c>
      <c r="AG46" s="5">
        <f t="shared" si="1"/>
        <v>0</v>
      </c>
      <c r="AH46" s="5" t="str">
        <f t="shared" si="2"/>
        <v>yes</v>
      </c>
      <c r="AI46" s="5">
        <f t="shared" si="3"/>
        <v>3</v>
      </c>
    </row>
    <row r="47" ht="14.25" customHeight="1">
      <c r="A47" s="4">
        <v>16.0</v>
      </c>
      <c r="B47" s="5" t="s">
        <v>209</v>
      </c>
      <c r="C47" s="5">
        <v>1.0</v>
      </c>
      <c r="D47" s="5">
        <v>1.0</v>
      </c>
      <c r="E47" s="5" t="s">
        <v>104</v>
      </c>
      <c r="F47" s="5" t="s">
        <v>210</v>
      </c>
      <c r="G47" s="5" t="s">
        <v>106</v>
      </c>
      <c r="H47" s="5" t="s">
        <v>211</v>
      </c>
      <c r="I47" s="5">
        <v>50.0</v>
      </c>
      <c r="J47" s="5">
        <v>80.0</v>
      </c>
      <c r="K47" s="5">
        <v>30.0</v>
      </c>
      <c r="L47" s="5">
        <v>0.0</v>
      </c>
      <c r="M47" s="5">
        <v>3.5</v>
      </c>
      <c r="N47" s="5">
        <v>4.0</v>
      </c>
      <c r="O47" s="5" t="s">
        <v>185</v>
      </c>
      <c r="P47" s="5">
        <v>2.0</v>
      </c>
      <c r="Q47" s="6">
        <v>40.0</v>
      </c>
      <c r="R47" s="5">
        <v>1.75</v>
      </c>
      <c r="S47" s="5">
        <v>0.0</v>
      </c>
      <c r="T47" s="5">
        <v>0.0</v>
      </c>
      <c r="U47" s="5">
        <v>40.0</v>
      </c>
      <c r="V47" s="5">
        <v>1.75</v>
      </c>
      <c r="W47" s="3">
        <v>0.0</v>
      </c>
      <c r="X47" s="3">
        <v>0.0</v>
      </c>
      <c r="Y47" s="5">
        <v>0.0</v>
      </c>
      <c r="Z47" s="5">
        <v>0.0</v>
      </c>
      <c r="AA47" s="5">
        <v>0.0</v>
      </c>
      <c r="AB47" s="5">
        <v>0.0</v>
      </c>
      <c r="AC47" s="3">
        <v>0.0</v>
      </c>
      <c r="AD47" s="3">
        <v>0.0</v>
      </c>
      <c r="AE47" s="5">
        <v>2.0</v>
      </c>
      <c r="AF47" s="5" t="s">
        <v>212</v>
      </c>
      <c r="AG47" s="5">
        <f t="shared" si="1"/>
        <v>0</v>
      </c>
      <c r="AH47" s="5" t="str">
        <f t="shared" si="2"/>
        <v>yes</v>
      </c>
      <c r="AI47" s="5">
        <f t="shared" si="3"/>
        <v>2</v>
      </c>
    </row>
    <row r="48" ht="14.25" customHeight="1">
      <c r="A48" s="4">
        <v>16.0</v>
      </c>
      <c r="B48" s="5" t="s">
        <v>213</v>
      </c>
      <c r="C48" s="5">
        <v>3.0</v>
      </c>
      <c r="D48" s="5">
        <v>1.0</v>
      </c>
      <c r="E48" s="5" t="s">
        <v>35</v>
      </c>
      <c r="F48" s="5" t="s">
        <v>214</v>
      </c>
      <c r="G48" s="5" t="s">
        <v>37</v>
      </c>
      <c r="H48" s="5" t="s">
        <v>62</v>
      </c>
      <c r="I48" s="5">
        <v>0.0</v>
      </c>
      <c r="J48" s="5">
        <v>75.0</v>
      </c>
      <c r="K48" s="5">
        <v>0.0</v>
      </c>
      <c r="L48" s="5">
        <v>0.0</v>
      </c>
      <c r="M48" s="5">
        <v>0.0</v>
      </c>
      <c r="N48" s="5">
        <v>7.0</v>
      </c>
      <c r="O48" s="5" t="s">
        <v>46</v>
      </c>
      <c r="P48" s="5">
        <v>4.0</v>
      </c>
      <c r="Q48" s="6">
        <v>0.0</v>
      </c>
      <c r="R48" s="5">
        <v>0.0</v>
      </c>
      <c r="S48" s="5">
        <v>0.0</v>
      </c>
      <c r="T48" s="5">
        <v>0.0</v>
      </c>
      <c r="U48" s="5">
        <v>0.0</v>
      </c>
      <c r="V48" s="5">
        <v>0.0</v>
      </c>
      <c r="W48" s="3">
        <v>0.0</v>
      </c>
      <c r="X48" s="3">
        <v>0.0</v>
      </c>
      <c r="Y48" s="5">
        <v>0.0</v>
      </c>
      <c r="Z48" s="5">
        <v>0.0</v>
      </c>
      <c r="AA48" s="5">
        <v>0.0</v>
      </c>
      <c r="AB48" s="5">
        <v>0.0</v>
      </c>
      <c r="AC48" s="3">
        <v>0.0</v>
      </c>
      <c r="AD48" s="3">
        <v>0.0</v>
      </c>
      <c r="AE48" s="5">
        <v>0.0</v>
      </c>
      <c r="AF48" s="5" t="s">
        <v>64</v>
      </c>
      <c r="AG48" s="5">
        <f t="shared" si="1"/>
        <v>0</v>
      </c>
      <c r="AH48" s="5" t="str">
        <f t="shared" si="2"/>
        <v>no</v>
      </c>
      <c r="AI48" s="5">
        <f t="shared" si="3"/>
        <v>4</v>
      </c>
    </row>
    <row r="49" ht="14.25" customHeight="1">
      <c r="A49" s="4">
        <v>16.0</v>
      </c>
      <c r="B49" s="5" t="s">
        <v>215</v>
      </c>
      <c r="C49" s="5">
        <v>1.0</v>
      </c>
      <c r="D49" s="5">
        <v>1.0</v>
      </c>
      <c r="E49" s="5" t="s">
        <v>138</v>
      </c>
      <c r="F49" s="5" t="s">
        <v>216</v>
      </c>
      <c r="G49" s="5" t="s">
        <v>106</v>
      </c>
      <c r="H49" s="5" t="s">
        <v>217</v>
      </c>
      <c r="I49" s="5">
        <v>75.0</v>
      </c>
      <c r="J49" s="5">
        <v>75.0</v>
      </c>
      <c r="K49" s="5">
        <v>0.0</v>
      </c>
      <c r="L49" s="5">
        <v>0.0</v>
      </c>
      <c r="M49" s="5">
        <v>15.0</v>
      </c>
      <c r="N49" s="5">
        <v>4.0</v>
      </c>
      <c r="O49" s="5" t="s">
        <v>76</v>
      </c>
      <c r="P49" s="5">
        <v>2.0</v>
      </c>
      <c r="Q49" s="6">
        <v>0.0</v>
      </c>
      <c r="R49" s="5">
        <v>0.0</v>
      </c>
      <c r="S49" s="5">
        <v>37.5</v>
      </c>
      <c r="T49" s="5">
        <v>7.5</v>
      </c>
      <c r="U49" s="5">
        <v>0.0</v>
      </c>
      <c r="V49" s="5">
        <v>0.0</v>
      </c>
      <c r="W49" s="3">
        <v>0.0</v>
      </c>
      <c r="X49" s="3">
        <v>0.0</v>
      </c>
      <c r="Y49" s="5">
        <v>37.5</v>
      </c>
      <c r="Z49" s="5">
        <v>7.5</v>
      </c>
      <c r="AA49" s="5">
        <v>0.0</v>
      </c>
      <c r="AB49" s="5">
        <v>0.0</v>
      </c>
      <c r="AC49" s="3">
        <v>0.0</v>
      </c>
      <c r="AD49" s="3">
        <v>0.0</v>
      </c>
      <c r="AE49" s="5">
        <v>2.0</v>
      </c>
      <c r="AF49" s="3" t="s">
        <v>94</v>
      </c>
      <c r="AG49" s="5">
        <f t="shared" si="1"/>
        <v>0</v>
      </c>
      <c r="AH49" s="5" t="str">
        <f t="shared" si="2"/>
        <v>yes</v>
      </c>
      <c r="AI49" s="5">
        <f t="shared" si="3"/>
        <v>2</v>
      </c>
    </row>
    <row r="50" ht="14.25" customHeight="1">
      <c r="A50" s="4">
        <v>16.0</v>
      </c>
      <c r="B50" s="5" t="s">
        <v>218</v>
      </c>
      <c r="C50" s="5">
        <v>1.0</v>
      </c>
      <c r="D50" s="5">
        <v>3.0</v>
      </c>
      <c r="E50" s="5" t="s">
        <v>35</v>
      </c>
      <c r="F50" s="3" t="s">
        <v>219</v>
      </c>
      <c r="G50" s="5" t="s">
        <v>37</v>
      </c>
      <c r="H50" s="5" t="s">
        <v>220</v>
      </c>
      <c r="I50" s="5">
        <v>45.0</v>
      </c>
      <c r="J50" s="5">
        <v>45.0</v>
      </c>
      <c r="K50" s="5">
        <v>0.0</v>
      </c>
      <c r="L50" s="5">
        <v>0.0</v>
      </c>
      <c r="M50" s="5">
        <v>12.0</v>
      </c>
      <c r="N50" s="5">
        <v>2.0</v>
      </c>
      <c r="O50" s="5" t="s">
        <v>90</v>
      </c>
      <c r="P50" s="5">
        <v>4.0</v>
      </c>
      <c r="Q50" s="6">
        <v>0.0</v>
      </c>
      <c r="R50" s="5">
        <v>0.0</v>
      </c>
      <c r="S50" s="5">
        <v>0.0</v>
      </c>
      <c r="T50" s="5">
        <v>0.0</v>
      </c>
      <c r="U50" s="5">
        <v>22.5</v>
      </c>
      <c r="V50" s="5">
        <v>6.0</v>
      </c>
      <c r="W50" s="3">
        <v>0.0</v>
      </c>
      <c r="X50" s="3">
        <v>0.0</v>
      </c>
      <c r="Y50" s="5">
        <v>22.5</v>
      </c>
      <c r="Z50" s="5">
        <v>6.0</v>
      </c>
      <c r="AA50" s="5">
        <v>0.0</v>
      </c>
      <c r="AB50" s="5">
        <v>0.0</v>
      </c>
      <c r="AC50" s="3">
        <v>0.0</v>
      </c>
      <c r="AD50" s="3">
        <v>0.0</v>
      </c>
      <c r="AE50" s="5">
        <v>2.0</v>
      </c>
      <c r="AF50" s="5" t="s">
        <v>99</v>
      </c>
      <c r="AG50" s="5">
        <f t="shared" si="1"/>
        <v>0</v>
      </c>
      <c r="AH50" s="5" t="str">
        <f t="shared" si="2"/>
        <v>yes</v>
      </c>
      <c r="AI50" s="5">
        <f t="shared" si="3"/>
        <v>4</v>
      </c>
    </row>
    <row r="51" ht="14.25" customHeight="1">
      <c r="A51" s="4">
        <v>17.0</v>
      </c>
      <c r="B51" s="5" t="s">
        <v>221</v>
      </c>
      <c r="C51" s="5">
        <v>3.0</v>
      </c>
      <c r="D51" s="5">
        <v>0.0</v>
      </c>
      <c r="E51" s="3" t="s">
        <v>222</v>
      </c>
      <c r="F51" s="5" t="s">
        <v>223</v>
      </c>
      <c r="G51" s="5" t="s">
        <v>106</v>
      </c>
      <c r="H51" s="5" t="s">
        <v>86</v>
      </c>
      <c r="I51" s="5">
        <v>50.0</v>
      </c>
      <c r="J51" s="5">
        <v>50.0</v>
      </c>
      <c r="K51" s="5">
        <v>0.0</v>
      </c>
      <c r="L51" s="5">
        <v>0.0</v>
      </c>
      <c r="M51" s="5">
        <v>25.0</v>
      </c>
      <c r="N51" s="5">
        <v>10.0</v>
      </c>
      <c r="O51" s="5" t="s">
        <v>52</v>
      </c>
      <c r="P51" s="5">
        <v>3.0</v>
      </c>
      <c r="Q51" s="6">
        <v>10.0</v>
      </c>
      <c r="R51" s="5">
        <v>5.0</v>
      </c>
      <c r="S51" s="5">
        <v>10.0</v>
      </c>
      <c r="T51" s="5">
        <v>5.0</v>
      </c>
      <c r="U51" s="5">
        <v>10.0</v>
      </c>
      <c r="V51" s="5">
        <v>5.0</v>
      </c>
      <c r="W51" s="3">
        <v>0.0</v>
      </c>
      <c r="X51" s="3">
        <v>0.0</v>
      </c>
      <c r="Y51" s="5">
        <v>10.0</v>
      </c>
      <c r="Z51" s="5">
        <v>5.0</v>
      </c>
      <c r="AA51" s="5">
        <v>10.0</v>
      </c>
      <c r="AB51" s="5">
        <v>5.0</v>
      </c>
      <c r="AC51" s="3">
        <v>0.0</v>
      </c>
      <c r="AD51" s="3">
        <v>0.0</v>
      </c>
      <c r="AE51" s="5">
        <v>5.0</v>
      </c>
      <c r="AF51" s="3" t="s">
        <v>224</v>
      </c>
      <c r="AG51" s="5">
        <f t="shared" si="1"/>
        <v>0</v>
      </c>
      <c r="AH51" s="5" t="str">
        <f t="shared" si="2"/>
        <v>yes</v>
      </c>
      <c r="AI51" s="5">
        <f t="shared" si="3"/>
        <v>3</v>
      </c>
    </row>
    <row r="52" ht="14.25" customHeight="1">
      <c r="A52" s="4">
        <v>17.0</v>
      </c>
      <c r="B52" s="5" t="s">
        <v>225</v>
      </c>
      <c r="C52" s="5">
        <v>1.0</v>
      </c>
      <c r="D52" s="5">
        <v>1.0</v>
      </c>
      <c r="E52" s="5" t="s">
        <v>101</v>
      </c>
      <c r="F52" s="5" t="s">
        <v>226</v>
      </c>
      <c r="G52" s="5" t="s">
        <v>176</v>
      </c>
      <c r="H52" s="5" t="s">
        <v>227</v>
      </c>
      <c r="I52" s="5">
        <v>150.0</v>
      </c>
      <c r="J52" s="5">
        <v>150.0</v>
      </c>
      <c r="K52" s="5">
        <v>0.0</v>
      </c>
      <c r="L52" s="5">
        <v>0.0</v>
      </c>
      <c r="M52" s="5">
        <v>15.0</v>
      </c>
      <c r="N52" s="5">
        <v>3.0</v>
      </c>
      <c r="O52" s="5" t="s">
        <v>63</v>
      </c>
      <c r="P52" s="5">
        <v>2.0</v>
      </c>
      <c r="Q52" s="6">
        <v>50.0</v>
      </c>
      <c r="R52" s="5">
        <v>3.0</v>
      </c>
      <c r="S52" s="5">
        <v>50.0</v>
      </c>
      <c r="T52" s="5">
        <v>3.0</v>
      </c>
      <c r="U52" s="5">
        <v>0.0</v>
      </c>
      <c r="V52" s="5">
        <v>0.0</v>
      </c>
      <c r="W52" s="3">
        <v>0.0</v>
      </c>
      <c r="X52" s="3">
        <v>0.0</v>
      </c>
      <c r="Y52" s="5">
        <v>0.0</v>
      </c>
      <c r="Z52" s="5">
        <v>0.0</v>
      </c>
      <c r="AA52" s="5">
        <v>50.0</v>
      </c>
      <c r="AB52" s="5">
        <v>3.0</v>
      </c>
      <c r="AC52" s="3">
        <v>0.0</v>
      </c>
      <c r="AD52" s="3">
        <v>0.0</v>
      </c>
      <c r="AE52" s="5">
        <v>3.0</v>
      </c>
      <c r="AF52" s="3" t="s">
        <v>228</v>
      </c>
      <c r="AG52" s="5">
        <f t="shared" si="1"/>
        <v>0</v>
      </c>
      <c r="AH52" s="5" t="str">
        <f t="shared" si="2"/>
        <v>yes</v>
      </c>
      <c r="AI52" s="5">
        <f t="shared" si="3"/>
        <v>2</v>
      </c>
    </row>
    <row r="53" ht="14.25" customHeight="1">
      <c r="A53" s="4">
        <v>17.0</v>
      </c>
      <c r="B53" s="5" t="s">
        <v>229</v>
      </c>
      <c r="C53" s="5">
        <v>1.0</v>
      </c>
      <c r="D53" s="5">
        <v>1.0</v>
      </c>
      <c r="E53" s="5" t="s">
        <v>138</v>
      </c>
      <c r="F53" s="5" t="s">
        <v>230</v>
      </c>
      <c r="G53" s="5" t="s">
        <v>106</v>
      </c>
      <c r="H53" s="5" t="s">
        <v>62</v>
      </c>
      <c r="I53" s="5">
        <v>0.0</v>
      </c>
      <c r="J53" s="5">
        <v>50.0</v>
      </c>
      <c r="K53" s="5">
        <v>0.0</v>
      </c>
      <c r="L53" s="5">
        <v>0.0</v>
      </c>
      <c r="M53" s="5">
        <v>0.0</v>
      </c>
      <c r="N53" s="5">
        <v>5.0</v>
      </c>
      <c r="O53" s="5" t="s">
        <v>76</v>
      </c>
      <c r="P53" s="5">
        <v>2.0</v>
      </c>
      <c r="Q53" s="6">
        <v>0.0</v>
      </c>
      <c r="R53" s="5">
        <v>0.0</v>
      </c>
      <c r="S53" s="5">
        <v>0.0</v>
      </c>
      <c r="T53" s="5">
        <v>0.0</v>
      </c>
      <c r="U53" s="5">
        <v>0.0</v>
      </c>
      <c r="V53" s="5">
        <v>0.0</v>
      </c>
      <c r="W53" s="3">
        <v>0.0</v>
      </c>
      <c r="X53" s="3">
        <v>0.0</v>
      </c>
      <c r="Y53" s="5">
        <v>0.0</v>
      </c>
      <c r="Z53" s="5">
        <v>0.0</v>
      </c>
      <c r="AA53" s="5">
        <v>0.0</v>
      </c>
      <c r="AB53" s="5">
        <v>0.0</v>
      </c>
      <c r="AC53" s="3">
        <v>0.0</v>
      </c>
      <c r="AD53" s="3">
        <v>0.0</v>
      </c>
      <c r="AE53" s="5">
        <v>0.0</v>
      </c>
      <c r="AF53" s="5" t="s">
        <v>64</v>
      </c>
      <c r="AG53" s="5">
        <f t="shared" si="1"/>
        <v>0</v>
      </c>
      <c r="AH53" s="5" t="str">
        <f t="shared" si="2"/>
        <v>no</v>
      </c>
      <c r="AI53" s="5">
        <f t="shared" si="3"/>
        <v>2</v>
      </c>
    </row>
    <row r="54" ht="14.25" customHeight="1">
      <c r="A54" s="4">
        <v>17.0</v>
      </c>
      <c r="B54" s="5" t="s">
        <v>231</v>
      </c>
      <c r="C54" s="5">
        <v>1.0</v>
      </c>
      <c r="D54" s="5">
        <v>0.0</v>
      </c>
      <c r="E54" s="5" t="s">
        <v>104</v>
      </c>
      <c r="F54" s="5" t="s">
        <v>232</v>
      </c>
      <c r="G54" s="5" t="s">
        <v>176</v>
      </c>
      <c r="H54" s="5" t="s">
        <v>233</v>
      </c>
      <c r="I54" s="5">
        <v>80.0</v>
      </c>
      <c r="J54" s="5">
        <v>80.0</v>
      </c>
      <c r="K54" s="5">
        <v>0.0</v>
      </c>
      <c r="L54" s="5">
        <v>0.0</v>
      </c>
      <c r="M54" s="5">
        <v>20.0</v>
      </c>
      <c r="N54" s="5">
        <v>10.0</v>
      </c>
      <c r="O54" s="5" t="s">
        <v>90</v>
      </c>
      <c r="P54" s="5">
        <v>1.0</v>
      </c>
      <c r="Q54" s="6">
        <v>0.0</v>
      </c>
      <c r="R54" s="5">
        <v>0.0</v>
      </c>
      <c r="S54" s="5">
        <v>0.0</v>
      </c>
      <c r="T54" s="5">
        <v>0.0</v>
      </c>
      <c r="U54" s="5">
        <v>0.0</v>
      </c>
      <c r="V54" s="5">
        <v>0.0</v>
      </c>
      <c r="W54" s="3">
        <v>0.0</v>
      </c>
      <c r="X54" s="3">
        <v>0.0</v>
      </c>
      <c r="Y54" s="5">
        <v>0.0</v>
      </c>
      <c r="Z54" s="5">
        <v>0.0</v>
      </c>
      <c r="AA54" s="5">
        <v>80.0</v>
      </c>
      <c r="AB54" s="5">
        <v>20.0</v>
      </c>
      <c r="AC54" s="3">
        <v>0.0</v>
      </c>
      <c r="AD54" s="3">
        <v>0.0</v>
      </c>
      <c r="AE54" s="5">
        <v>1.0</v>
      </c>
      <c r="AF54" s="5" t="s">
        <v>69</v>
      </c>
      <c r="AG54" s="5">
        <f t="shared" si="1"/>
        <v>0</v>
      </c>
      <c r="AH54" s="5" t="str">
        <f t="shared" si="2"/>
        <v>yes</v>
      </c>
      <c r="AI54" s="5">
        <f t="shared" si="3"/>
        <v>1</v>
      </c>
    </row>
    <row r="55" ht="14.25" customHeight="1">
      <c r="A55" s="4">
        <v>18.0</v>
      </c>
      <c r="B55" s="5" t="s">
        <v>234</v>
      </c>
      <c r="C55" s="5">
        <v>2.0</v>
      </c>
      <c r="D55" s="5">
        <v>1.0</v>
      </c>
      <c r="E55" s="5" t="s">
        <v>55</v>
      </c>
      <c r="F55" s="5" t="s">
        <v>235</v>
      </c>
      <c r="G55" s="5" t="s">
        <v>37</v>
      </c>
      <c r="H55" s="5" t="s">
        <v>62</v>
      </c>
      <c r="I55" s="5">
        <v>0.0</v>
      </c>
      <c r="J55" s="5">
        <v>90.0</v>
      </c>
      <c r="K55" s="5">
        <v>0.0</v>
      </c>
      <c r="L55" s="5">
        <v>0.0</v>
      </c>
      <c r="M55" s="5">
        <v>0.0</v>
      </c>
      <c r="N55" s="5">
        <v>3.0</v>
      </c>
      <c r="O55" s="5" t="s">
        <v>90</v>
      </c>
      <c r="P55" s="5">
        <v>3.0</v>
      </c>
      <c r="Q55" s="6">
        <v>0.0</v>
      </c>
      <c r="R55" s="5">
        <v>0.0</v>
      </c>
      <c r="S55" s="5">
        <v>0.0</v>
      </c>
      <c r="T55" s="5">
        <v>0.0</v>
      </c>
      <c r="U55" s="5">
        <v>0.0</v>
      </c>
      <c r="V55" s="5">
        <v>0.0</v>
      </c>
      <c r="W55" s="3">
        <v>0.0</v>
      </c>
      <c r="X55" s="3">
        <v>0.0</v>
      </c>
      <c r="Y55" s="5">
        <v>0.0</v>
      </c>
      <c r="Z55" s="5">
        <v>0.0</v>
      </c>
      <c r="AA55" s="5">
        <v>0.0</v>
      </c>
      <c r="AB55" s="5">
        <v>0.0</v>
      </c>
      <c r="AC55" s="3">
        <v>0.0</v>
      </c>
      <c r="AD55" s="3">
        <v>0.0</v>
      </c>
      <c r="AE55" s="5">
        <v>0.0</v>
      </c>
      <c r="AF55" s="5" t="s">
        <v>64</v>
      </c>
      <c r="AG55" s="5">
        <f t="shared" si="1"/>
        <v>0</v>
      </c>
      <c r="AH55" s="5" t="str">
        <f t="shared" si="2"/>
        <v>no</v>
      </c>
      <c r="AI55" s="5">
        <f t="shared" si="3"/>
        <v>3</v>
      </c>
    </row>
    <row r="56" ht="14.25" customHeight="1">
      <c r="A56" s="4">
        <v>18.0</v>
      </c>
      <c r="B56" s="5" t="s">
        <v>236</v>
      </c>
      <c r="C56" s="5">
        <v>0.0</v>
      </c>
      <c r="D56" s="5">
        <v>1.0</v>
      </c>
      <c r="E56" s="5" t="s">
        <v>55</v>
      </c>
      <c r="F56" s="5" t="s">
        <v>237</v>
      </c>
      <c r="G56" s="5" t="s">
        <v>37</v>
      </c>
      <c r="H56" s="5" t="s">
        <v>62</v>
      </c>
      <c r="I56" s="5">
        <v>0.0</v>
      </c>
      <c r="J56" s="5">
        <v>50.0</v>
      </c>
      <c r="K56" s="5">
        <v>0.0</v>
      </c>
      <c r="L56" s="5">
        <v>0.0</v>
      </c>
      <c r="M56" s="5">
        <v>0.0</v>
      </c>
      <c r="N56" s="5">
        <v>4.0</v>
      </c>
      <c r="O56" s="5" t="s">
        <v>39</v>
      </c>
      <c r="P56" s="5">
        <v>2.0</v>
      </c>
      <c r="Q56" s="6">
        <v>0.0</v>
      </c>
      <c r="R56" s="5">
        <v>0.0</v>
      </c>
      <c r="S56" s="5">
        <v>0.0</v>
      </c>
      <c r="T56" s="5">
        <v>0.0</v>
      </c>
      <c r="U56" s="5">
        <v>0.0</v>
      </c>
      <c r="V56" s="5">
        <v>0.0</v>
      </c>
      <c r="W56" s="3">
        <v>0.0</v>
      </c>
      <c r="X56" s="3">
        <v>0.0</v>
      </c>
      <c r="Y56" s="5">
        <v>0.0</v>
      </c>
      <c r="Z56" s="5">
        <v>0.0</v>
      </c>
      <c r="AA56" s="5">
        <v>0.0</v>
      </c>
      <c r="AB56" s="5">
        <v>0.0</v>
      </c>
      <c r="AC56" s="3">
        <v>0.0</v>
      </c>
      <c r="AD56" s="3">
        <v>0.0</v>
      </c>
      <c r="AE56" s="5">
        <v>0.0</v>
      </c>
      <c r="AF56" s="5" t="s">
        <v>64</v>
      </c>
      <c r="AG56" s="5">
        <f t="shared" si="1"/>
        <v>0</v>
      </c>
      <c r="AH56" s="5" t="str">
        <f t="shared" si="2"/>
        <v>no</v>
      </c>
      <c r="AI56" s="5">
        <f t="shared" si="3"/>
        <v>1</v>
      </c>
    </row>
    <row r="57" ht="14.25" customHeight="1">
      <c r="A57" s="4">
        <v>18.0</v>
      </c>
      <c r="B57" s="5" t="s">
        <v>238</v>
      </c>
      <c r="C57" s="5">
        <v>2.0</v>
      </c>
      <c r="D57" s="5">
        <v>0.0</v>
      </c>
      <c r="E57" s="5" t="s">
        <v>239</v>
      </c>
      <c r="F57" s="5" t="s">
        <v>240</v>
      </c>
      <c r="G57" s="5" t="s">
        <v>44</v>
      </c>
      <c r="H57" s="5" t="s">
        <v>241</v>
      </c>
      <c r="I57" s="5">
        <v>1.0</v>
      </c>
      <c r="J57" s="5">
        <v>100.0</v>
      </c>
      <c r="K57" s="5">
        <v>99.0</v>
      </c>
      <c r="L57" s="5">
        <v>0.0</v>
      </c>
      <c r="M57" s="5">
        <v>1.0</v>
      </c>
      <c r="N57" s="5">
        <v>1.0</v>
      </c>
      <c r="O57" s="5" t="s">
        <v>242</v>
      </c>
      <c r="P57" s="5">
        <v>2.0</v>
      </c>
      <c r="Q57" s="6">
        <v>100.0</v>
      </c>
      <c r="R57" s="5">
        <v>1.0</v>
      </c>
      <c r="S57" s="5">
        <v>0.0</v>
      </c>
      <c r="T57" s="5">
        <v>0.0</v>
      </c>
      <c r="U57" s="5">
        <v>0.0</v>
      </c>
      <c r="V57" s="5">
        <v>0.0</v>
      </c>
      <c r="W57" s="3">
        <v>0.0</v>
      </c>
      <c r="X57" s="3">
        <v>0.0</v>
      </c>
      <c r="Y57" s="5">
        <v>0.0</v>
      </c>
      <c r="Z57" s="5">
        <v>0.0</v>
      </c>
      <c r="AA57" s="5">
        <v>0.0</v>
      </c>
      <c r="AB57" s="5">
        <v>0.0</v>
      </c>
      <c r="AC57" s="3">
        <v>0.0</v>
      </c>
      <c r="AD57" s="3">
        <v>0.0</v>
      </c>
      <c r="AE57" s="5">
        <v>1.0</v>
      </c>
      <c r="AF57" s="5" t="s">
        <v>58</v>
      </c>
      <c r="AG57" s="5">
        <f t="shared" si="1"/>
        <v>0</v>
      </c>
      <c r="AH57" s="5" t="str">
        <f t="shared" si="2"/>
        <v>yes</v>
      </c>
      <c r="AI57" s="5">
        <f t="shared" si="3"/>
        <v>2</v>
      </c>
    </row>
    <row r="58" ht="14.25" customHeight="1">
      <c r="A58" s="4">
        <v>18.0</v>
      </c>
      <c r="B58" s="5" t="s">
        <v>243</v>
      </c>
      <c r="C58" s="5">
        <v>0.0</v>
      </c>
      <c r="D58" s="5">
        <v>1.0</v>
      </c>
      <c r="E58" s="5" t="s">
        <v>138</v>
      </c>
      <c r="F58" s="5" t="s">
        <v>244</v>
      </c>
      <c r="G58" s="5" t="s">
        <v>106</v>
      </c>
      <c r="H58" s="5" t="s">
        <v>62</v>
      </c>
      <c r="I58" s="5">
        <v>0.0</v>
      </c>
      <c r="J58" s="5">
        <v>50.0</v>
      </c>
      <c r="K58" s="5">
        <v>0.0</v>
      </c>
      <c r="L58" s="5">
        <v>0.0</v>
      </c>
      <c r="M58" s="5">
        <v>0.0</v>
      </c>
      <c r="N58" s="5">
        <v>2.5</v>
      </c>
      <c r="O58" s="5" t="s">
        <v>76</v>
      </c>
      <c r="P58" s="5">
        <v>1.0</v>
      </c>
      <c r="Q58" s="6">
        <v>0.0</v>
      </c>
      <c r="R58" s="5">
        <v>0.0</v>
      </c>
      <c r="S58" s="5">
        <v>0.0</v>
      </c>
      <c r="T58" s="5">
        <v>0.0</v>
      </c>
      <c r="U58" s="5">
        <v>0.0</v>
      </c>
      <c r="V58" s="5">
        <v>0.0</v>
      </c>
      <c r="W58" s="3">
        <v>0.0</v>
      </c>
      <c r="X58" s="3">
        <v>0.0</v>
      </c>
      <c r="Y58" s="5">
        <v>0.0</v>
      </c>
      <c r="Z58" s="5">
        <v>0.0</v>
      </c>
      <c r="AA58" s="5">
        <v>0.0</v>
      </c>
      <c r="AB58" s="5">
        <v>0.0</v>
      </c>
      <c r="AC58" s="3">
        <v>0.0</v>
      </c>
      <c r="AD58" s="3">
        <v>0.0</v>
      </c>
      <c r="AE58" s="5">
        <v>0.0</v>
      </c>
      <c r="AF58" s="5" t="s">
        <v>64</v>
      </c>
      <c r="AG58" s="5">
        <f t="shared" si="1"/>
        <v>0</v>
      </c>
      <c r="AH58" s="5" t="str">
        <f t="shared" si="2"/>
        <v>no</v>
      </c>
      <c r="AI58" s="5">
        <f t="shared" si="3"/>
        <v>1</v>
      </c>
    </row>
    <row r="59" ht="14.25" customHeight="1">
      <c r="A59" s="4">
        <v>19.0</v>
      </c>
      <c r="B59" s="5" t="s">
        <v>245</v>
      </c>
      <c r="C59" s="5">
        <v>2.0</v>
      </c>
      <c r="D59" s="5">
        <v>0.0</v>
      </c>
      <c r="E59" s="5" t="s">
        <v>55</v>
      </c>
      <c r="F59" s="5" t="s">
        <v>246</v>
      </c>
      <c r="G59" s="5" t="s">
        <v>106</v>
      </c>
      <c r="H59" s="5" t="s">
        <v>62</v>
      </c>
      <c r="I59" s="5">
        <v>0.0</v>
      </c>
      <c r="J59" s="5">
        <v>15.0</v>
      </c>
      <c r="K59" s="5">
        <v>0.0</v>
      </c>
      <c r="L59" s="5">
        <v>0.0</v>
      </c>
      <c r="M59" s="5">
        <v>0.0</v>
      </c>
      <c r="N59" s="5">
        <v>5.0</v>
      </c>
      <c r="O59" s="5" t="s">
        <v>39</v>
      </c>
      <c r="P59" s="5">
        <v>2.0</v>
      </c>
      <c r="Q59" s="6">
        <v>0.0</v>
      </c>
      <c r="R59" s="5">
        <v>0.0</v>
      </c>
      <c r="S59" s="5">
        <v>0.0</v>
      </c>
      <c r="T59" s="5">
        <v>0.0</v>
      </c>
      <c r="U59" s="5">
        <v>0.0</v>
      </c>
      <c r="V59" s="5">
        <v>0.0</v>
      </c>
      <c r="W59" s="3">
        <v>0.0</v>
      </c>
      <c r="X59" s="3">
        <v>0.0</v>
      </c>
      <c r="Y59" s="5">
        <v>0.0</v>
      </c>
      <c r="Z59" s="5">
        <v>0.0</v>
      </c>
      <c r="AA59" s="5">
        <v>0.0</v>
      </c>
      <c r="AB59" s="5">
        <v>0.0</v>
      </c>
      <c r="AC59" s="3">
        <v>0.0</v>
      </c>
      <c r="AD59" s="3">
        <v>0.0</v>
      </c>
      <c r="AE59" s="5">
        <v>0.0</v>
      </c>
      <c r="AF59" s="5" t="s">
        <v>64</v>
      </c>
      <c r="AG59" s="5">
        <f t="shared" si="1"/>
        <v>0</v>
      </c>
      <c r="AH59" s="5" t="str">
        <f t="shared" si="2"/>
        <v>no</v>
      </c>
      <c r="AI59" s="5">
        <f t="shared" si="3"/>
        <v>2</v>
      </c>
    </row>
    <row r="60" ht="14.25" customHeight="1">
      <c r="A60" s="4">
        <v>19.0</v>
      </c>
      <c r="B60" s="5" t="s">
        <v>247</v>
      </c>
      <c r="C60" s="5">
        <v>2.0</v>
      </c>
      <c r="D60" s="5">
        <v>0.0</v>
      </c>
      <c r="E60" s="5" t="s">
        <v>126</v>
      </c>
      <c r="F60" s="5" t="s">
        <v>248</v>
      </c>
      <c r="G60" s="5" t="s">
        <v>176</v>
      </c>
      <c r="H60" s="5" t="s">
        <v>249</v>
      </c>
      <c r="I60" s="5">
        <v>50.0</v>
      </c>
      <c r="J60" s="5">
        <v>50.0</v>
      </c>
      <c r="K60" s="5">
        <v>0.0</v>
      </c>
      <c r="L60" s="5">
        <v>0.0</v>
      </c>
      <c r="M60" s="5">
        <v>10.0</v>
      </c>
      <c r="N60" s="5">
        <v>5.0</v>
      </c>
      <c r="O60" s="5" t="s">
        <v>39</v>
      </c>
      <c r="P60" s="5">
        <v>2.0</v>
      </c>
      <c r="Q60" s="6">
        <v>12.5</v>
      </c>
      <c r="R60" s="5">
        <v>2.5</v>
      </c>
      <c r="S60" s="5">
        <v>12.5</v>
      </c>
      <c r="T60" s="5">
        <v>2.5</v>
      </c>
      <c r="U60" s="5">
        <v>0.0</v>
      </c>
      <c r="V60" s="5">
        <v>0.0</v>
      </c>
      <c r="W60" s="3">
        <v>0.0</v>
      </c>
      <c r="X60" s="3">
        <v>0.0</v>
      </c>
      <c r="Y60" s="5">
        <v>12.5</v>
      </c>
      <c r="Z60" s="5">
        <v>2.5</v>
      </c>
      <c r="AA60" s="5">
        <v>12.5</v>
      </c>
      <c r="AB60" s="5">
        <v>2.5</v>
      </c>
      <c r="AC60" s="3">
        <v>0.0</v>
      </c>
      <c r="AD60" s="3">
        <v>0.0</v>
      </c>
      <c r="AE60" s="5">
        <v>4.0</v>
      </c>
      <c r="AF60" s="3" t="s">
        <v>250</v>
      </c>
      <c r="AG60" s="5">
        <f t="shared" si="1"/>
        <v>0</v>
      </c>
      <c r="AH60" s="5" t="str">
        <f t="shared" si="2"/>
        <v>yes</v>
      </c>
      <c r="AI60" s="5">
        <f t="shared" si="3"/>
        <v>2</v>
      </c>
    </row>
    <row r="61" ht="14.25" customHeight="1">
      <c r="A61" s="4">
        <v>19.0</v>
      </c>
      <c r="B61" s="5" t="s">
        <v>251</v>
      </c>
      <c r="C61" s="5">
        <v>1.0</v>
      </c>
      <c r="D61" s="5">
        <v>1.0</v>
      </c>
      <c r="E61" s="5" t="s">
        <v>35</v>
      </c>
      <c r="F61" s="5" t="s">
        <v>252</v>
      </c>
      <c r="G61" s="5" t="s">
        <v>61</v>
      </c>
      <c r="H61" s="5" t="s">
        <v>62</v>
      </c>
      <c r="I61" s="5">
        <v>0.0</v>
      </c>
      <c r="J61" s="5">
        <v>150.0</v>
      </c>
      <c r="K61" s="5">
        <v>0.0</v>
      </c>
      <c r="L61" s="5">
        <v>0.0</v>
      </c>
      <c r="M61" s="5">
        <v>0.0</v>
      </c>
      <c r="N61" s="5">
        <v>1.25</v>
      </c>
      <c r="O61" s="5" t="s">
        <v>76</v>
      </c>
      <c r="P61" s="5">
        <v>2.0</v>
      </c>
      <c r="Q61" s="6">
        <v>0.0</v>
      </c>
      <c r="R61" s="5">
        <v>0.0</v>
      </c>
      <c r="S61" s="5">
        <v>0.0</v>
      </c>
      <c r="T61" s="5">
        <v>0.0</v>
      </c>
      <c r="U61" s="5">
        <v>0.0</v>
      </c>
      <c r="V61" s="5">
        <v>0.0</v>
      </c>
      <c r="W61" s="3">
        <v>0.0</v>
      </c>
      <c r="X61" s="3">
        <v>0.0</v>
      </c>
      <c r="Y61" s="5">
        <v>0.0</v>
      </c>
      <c r="Z61" s="5">
        <v>0.0</v>
      </c>
      <c r="AA61" s="5">
        <v>0.0</v>
      </c>
      <c r="AB61" s="5">
        <v>0.0</v>
      </c>
      <c r="AC61" s="3">
        <v>0.0</v>
      </c>
      <c r="AD61" s="3">
        <v>0.0</v>
      </c>
      <c r="AE61" s="5">
        <v>0.0</v>
      </c>
      <c r="AF61" s="5" t="s">
        <v>64</v>
      </c>
      <c r="AG61" s="5">
        <f t="shared" si="1"/>
        <v>0</v>
      </c>
      <c r="AH61" s="5" t="str">
        <f t="shared" si="2"/>
        <v>no</v>
      </c>
      <c r="AI61" s="5">
        <f t="shared" si="3"/>
        <v>2</v>
      </c>
    </row>
    <row r="62" ht="14.25" customHeight="1">
      <c r="A62" s="4">
        <v>19.0</v>
      </c>
      <c r="B62" s="5" t="s">
        <v>253</v>
      </c>
      <c r="C62" s="5">
        <v>3.0</v>
      </c>
      <c r="D62" s="5">
        <v>0.0</v>
      </c>
      <c r="E62" s="5" t="s">
        <v>254</v>
      </c>
      <c r="F62" s="5" t="s">
        <v>255</v>
      </c>
      <c r="G62" s="5" t="s">
        <v>106</v>
      </c>
      <c r="H62" s="5" t="s">
        <v>62</v>
      </c>
      <c r="I62" s="5">
        <v>0.0</v>
      </c>
      <c r="J62" s="5">
        <v>120.0</v>
      </c>
      <c r="K62" s="5">
        <v>0.0</v>
      </c>
      <c r="L62" s="5">
        <v>0.0</v>
      </c>
      <c r="M62" s="5">
        <v>0.0</v>
      </c>
      <c r="N62" s="5">
        <v>8.0</v>
      </c>
      <c r="O62" s="5" t="s">
        <v>185</v>
      </c>
      <c r="P62" s="5">
        <v>3.0</v>
      </c>
      <c r="Q62" s="6">
        <v>0.0</v>
      </c>
      <c r="R62" s="5">
        <v>0.0</v>
      </c>
      <c r="S62" s="5">
        <v>0.0</v>
      </c>
      <c r="T62" s="5">
        <v>0.0</v>
      </c>
      <c r="U62" s="5">
        <v>0.0</v>
      </c>
      <c r="V62" s="5">
        <v>0.0</v>
      </c>
      <c r="W62" s="3">
        <v>0.0</v>
      </c>
      <c r="X62" s="3">
        <v>0.0</v>
      </c>
      <c r="Y62" s="5">
        <v>0.0</v>
      </c>
      <c r="Z62" s="5">
        <v>0.0</v>
      </c>
      <c r="AA62" s="5">
        <v>0.0</v>
      </c>
      <c r="AB62" s="5">
        <v>0.0</v>
      </c>
      <c r="AC62" s="3">
        <v>0.0</v>
      </c>
      <c r="AD62" s="3">
        <v>0.0</v>
      </c>
      <c r="AE62" s="5">
        <v>0.0</v>
      </c>
      <c r="AF62" s="5" t="s">
        <v>64</v>
      </c>
      <c r="AG62" s="5">
        <f t="shared" si="1"/>
        <v>0</v>
      </c>
      <c r="AH62" s="5" t="str">
        <f t="shared" si="2"/>
        <v>no</v>
      </c>
      <c r="AI62" s="5">
        <f t="shared" si="3"/>
        <v>3</v>
      </c>
    </row>
    <row r="63" ht="14.25" customHeight="1">
      <c r="A63" s="4">
        <v>20.0</v>
      </c>
      <c r="B63" s="5" t="s">
        <v>256</v>
      </c>
      <c r="C63" s="5">
        <v>1.0</v>
      </c>
      <c r="D63" s="5">
        <v>1.0</v>
      </c>
      <c r="E63" s="5" t="s">
        <v>55</v>
      </c>
      <c r="F63" s="5" t="s">
        <v>257</v>
      </c>
      <c r="G63" s="5" t="s">
        <v>37</v>
      </c>
      <c r="H63" s="5" t="s">
        <v>258</v>
      </c>
      <c r="I63" s="5">
        <v>40.0</v>
      </c>
      <c r="J63" s="5">
        <v>65.0</v>
      </c>
      <c r="K63" s="5">
        <v>25.0</v>
      </c>
      <c r="L63" s="5">
        <v>0.0</v>
      </c>
      <c r="M63" s="5">
        <v>3.0</v>
      </c>
      <c r="N63" s="5">
        <v>2.0</v>
      </c>
      <c r="O63" s="5" t="s">
        <v>52</v>
      </c>
      <c r="P63" s="5">
        <v>2.0</v>
      </c>
      <c r="Q63" s="6">
        <v>0.0</v>
      </c>
      <c r="R63" s="5">
        <v>0.0</v>
      </c>
      <c r="S63" s="5">
        <v>0.0</v>
      </c>
      <c r="T63" s="5">
        <v>0.0</v>
      </c>
      <c r="U63" s="5">
        <v>0.0</v>
      </c>
      <c r="V63" s="5">
        <v>0.0</v>
      </c>
      <c r="W63" s="3">
        <v>0.0</v>
      </c>
      <c r="X63" s="3">
        <v>0.0</v>
      </c>
      <c r="Y63" s="5">
        <v>0.0</v>
      </c>
      <c r="Z63" s="5">
        <v>0.0</v>
      </c>
      <c r="AA63" s="5">
        <v>65.0</v>
      </c>
      <c r="AB63" s="5">
        <v>3.0</v>
      </c>
      <c r="AC63" s="3">
        <v>0.0</v>
      </c>
      <c r="AD63" s="3">
        <v>0.0</v>
      </c>
      <c r="AE63" s="5">
        <v>1.0</v>
      </c>
      <c r="AF63" s="5" t="s">
        <v>69</v>
      </c>
      <c r="AG63" s="5">
        <f t="shared" si="1"/>
        <v>0</v>
      </c>
      <c r="AH63" s="5" t="str">
        <f t="shared" si="2"/>
        <v>yes</v>
      </c>
      <c r="AI63" s="5">
        <f t="shared" si="3"/>
        <v>2</v>
      </c>
    </row>
    <row r="64" ht="14.25" customHeight="1">
      <c r="A64" s="4">
        <v>20.0</v>
      </c>
      <c r="B64" s="5" t="s">
        <v>259</v>
      </c>
      <c r="C64" s="5">
        <v>1.0</v>
      </c>
      <c r="D64" s="5">
        <v>0.0</v>
      </c>
      <c r="E64" s="5" t="s">
        <v>35</v>
      </c>
      <c r="F64" s="5" t="s">
        <v>260</v>
      </c>
      <c r="G64" s="5" t="s">
        <v>106</v>
      </c>
      <c r="H64" s="5" t="s">
        <v>62</v>
      </c>
      <c r="I64" s="5">
        <v>0.0</v>
      </c>
      <c r="J64" s="5">
        <v>35.0</v>
      </c>
      <c r="K64" s="5">
        <v>0.0</v>
      </c>
      <c r="L64" s="5">
        <v>0.0</v>
      </c>
      <c r="M64" s="5">
        <v>0.0</v>
      </c>
      <c r="N64" s="5">
        <v>5.0</v>
      </c>
      <c r="O64" s="5" t="s">
        <v>76</v>
      </c>
      <c r="P64" s="5">
        <v>1.0</v>
      </c>
      <c r="Q64" s="6">
        <v>0.0</v>
      </c>
      <c r="R64" s="5">
        <v>0.0</v>
      </c>
      <c r="S64" s="5">
        <v>0.0</v>
      </c>
      <c r="T64" s="5">
        <v>0.0</v>
      </c>
      <c r="U64" s="5">
        <v>0.0</v>
      </c>
      <c r="V64" s="5">
        <v>0.0</v>
      </c>
      <c r="W64" s="3">
        <v>0.0</v>
      </c>
      <c r="X64" s="3">
        <v>0.0</v>
      </c>
      <c r="Y64" s="5">
        <v>0.0</v>
      </c>
      <c r="Z64" s="5">
        <v>0.0</v>
      </c>
      <c r="AA64" s="5">
        <v>0.0</v>
      </c>
      <c r="AB64" s="5">
        <v>0.0</v>
      </c>
      <c r="AC64" s="3">
        <v>0.0</v>
      </c>
      <c r="AD64" s="3">
        <v>0.0</v>
      </c>
      <c r="AE64" s="5">
        <v>0.0</v>
      </c>
      <c r="AF64" s="5" t="s">
        <v>64</v>
      </c>
      <c r="AG64" s="5">
        <f t="shared" si="1"/>
        <v>0</v>
      </c>
      <c r="AH64" s="5" t="str">
        <f t="shared" si="2"/>
        <v>no</v>
      </c>
      <c r="AI64" s="5">
        <f t="shared" si="3"/>
        <v>1</v>
      </c>
    </row>
    <row r="65" ht="14.25" customHeight="1">
      <c r="A65" s="4">
        <v>20.0</v>
      </c>
      <c r="B65" s="5" t="s">
        <v>261</v>
      </c>
      <c r="C65" s="5">
        <v>2.0</v>
      </c>
      <c r="D65" s="5">
        <v>0.0</v>
      </c>
      <c r="E65" s="5" t="s">
        <v>104</v>
      </c>
      <c r="F65" s="5" t="s">
        <v>262</v>
      </c>
      <c r="G65" s="5" t="s">
        <v>37</v>
      </c>
      <c r="H65" s="5" t="s">
        <v>263</v>
      </c>
      <c r="I65" s="5">
        <v>100.0</v>
      </c>
      <c r="J65" s="5">
        <v>50.0</v>
      </c>
      <c r="K65" s="5">
        <v>0.0</v>
      </c>
      <c r="L65" s="5">
        <v>0.0</v>
      </c>
      <c r="M65" s="5">
        <v>10.0</v>
      </c>
      <c r="N65" s="5">
        <v>2.0</v>
      </c>
      <c r="O65" s="5" t="s">
        <v>76</v>
      </c>
      <c r="P65" s="5">
        <v>2.0</v>
      </c>
      <c r="Q65" s="6">
        <v>20.0</v>
      </c>
      <c r="R65" s="5">
        <v>2.0</v>
      </c>
      <c r="S65" s="5">
        <v>20.0</v>
      </c>
      <c r="T65" s="5">
        <v>2.0</v>
      </c>
      <c r="U65" s="5">
        <v>20.0</v>
      </c>
      <c r="V65" s="5">
        <v>2.0</v>
      </c>
      <c r="W65" s="3">
        <v>0.0</v>
      </c>
      <c r="X65" s="3">
        <v>0.0</v>
      </c>
      <c r="Y65" s="5">
        <v>20.0</v>
      </c>
      <c r="Z65" s="5">
        <v>2.0</v>
      </c>
      <c r="AA65" s="5">
        <v>20.0</v>
      </c>
      <c r="AB65" s="5">
        <v>2.0</v>
      </c>
      <c r="AC65" s="3">
        <v>0.0</v>
      </c>
      <c r="AD65" s="3">
        <v>0.0</v>
      </c>
      <c r="AE65" s="5">
        <v>5.0</v>
      </c>
      <c r="AF65" s="3" t="s">
        <v>224</v>
      </c>
      <c r="AG65" s="5">
        <f t="shared" si="1"/>
        <v>0</v>
      </c>
      <c r="AH65" s="5" t="str">
        <f t="shared" si="2"/>
        <v>yes</v>
      </c>
      <c r="AI65" s="5">
        <f t="shared" si="3"/>
        <v>2</v>
      </c>
    </row>
    <row r="66" ht="14.25" customHeight="1">
      <c r="A66" s="4">
        <v>21.0</v>
      </c>
      <c r="B66" s="5" t="s">
        <v>264</v>
      </c>
      <c r="C66" s="5">
        <v>1.0</v>
      </c>
      <c r="D66" s="5">
        <v>1.0</v>
      </c>
      <c r="E66" s="5" t="s">
        <v>101</v>
      </c>
      <c r="F66" s="5" t="s">
        <v>265</v>
      </c>
      <c r="G66" s="5" t="s">
        <v>37</v>
      </c>
      <c r="H66" s="5" t="s">
        <v>266</v>
      </c>
      <c r="I66" s="5">
        <v>100.0</v>
      </c>
      <c r="J66" s="5">
        <v>100.0</v>
      </c>
      <c r="K66" s="5">
        <v>0.0</v>
      </c>
      <c r="L66" s="5">
        <v>0.0</v>
      </c>
      <c r="M66" s="5">
        <v>15.0</v>
      </c>
      <c r="N66" s="5">
        <v>8.0</v>
      </c>
      <c r="O66" s="5" t="s">
        <v>185</v>
      </c>
      <c r="P66" s="5">
        <v>2.0</v>
      </c>
      <c r="Q66" s="6">
        <v>33.33</v>
      </c>
      <c r="R66" s="5">
        <v>5.0</v>
      </c>
      <c r="S66" s="3">
        <v>0.0</v>
      </c>
      <c r="T66" s="3">
        <v>0.0</v>
      </c>
      <c r="U66" s="5">
        <v>0.0</v>
      </c>
      <c r="V66" s="5">
        <v>0.0</v>
      </c>
      <c r="W66" s="5">
        <v>33.33</v>
      </c>
      <c r="X66" s="5">
        <v>5.0</v>
      </c>
      <c r="Y66" s="5">
        <v>33.33</v>
      </c>
      <c r="Z66" s="5">
        <v>5.0</v>
      </c>
      <c r="AA66" s="5">
        <v>0.0</v>
      </c>
      <c r="AB66" s="5">
        <v>0.0</v>
      </c>
      <c r="AC66" s="3">
        <v>0.0</v>
      </c>
      <c r="AD66" s="3">
        <v>0.0</v>
      </c>
      <c r="AE66" s="5">
        <v>3.0</v>
      </c>
      <c r="AF66" s="5" t="s">
        <v>160</v>
      </c>
      <c r="AG66" s="5">
        <f t="shared" si="1"/>
        <v>0</v>
      </c>
      <c r="AH66" s="5" t="str">
        <f t="shared" si="2"/>
        <v>yes</v>
      </c>
      <c r="AI66" s="5">
        <f t="shared" si="3"/>
        <v>2</v>
      </c>
    </row>
    <row r="67" ht="14.25" customHeight="1">
      <c r="A67" s="4">
        <v>21.0</v>
      </c>
      <c r="B67" s="5" t="s">
        <v>267</v>
      </c>
      <c r="C67" s="5">
        <v>1.0</v>
      </c>
      <c r="D67" s="5">
        <v>0.0</v>
      </c>
      <c r="E67" s="5" t="s">
        <v>268</v>
      </c>
      <c r="F67" s="5" t="s">
        <v>269</v>
      </c>
      <c r="G67" s="5" t="s">
        <v>176</v>
      </c>
      <c r="H67" s="5" t="s">
        <v>270</v>
      </c>
      <c r="I67" s="5">
        <v>25.0</v>
      </c>
      <c r="J67" s="5">
        <v>47.0</v>
      </c>
      <c r="K67" s="5">
        <v>22.0</v>
      </c>
      <c r="L67" s="5">
        <v>0.0</v>
      </c>
      <c r="M67" s="5">
        <v>75.0</v>
      </c>
      <c r="N67" s="5">
        <v>10.0</v>
      </c>
      <c r="O67" s="5" t="s">
        <v>46</v>
      </c>
      <c r="P67" s="5">
        <v>1.0</v>
      </c>
      <c r="Q67" s="6">
        <v>0.0</v>
      </c>
      <c r="R67" s="5">
        <v>0.0</v>
      </c>
      <c r="S67" s="3">
        <v>0.0</v>
      </c>
      <c r="T67" s="3">
        <v>0.0</v>
      </c>
      <c r="U67" s="5">
        <v>0.0</v>
      </c>
      <c r="V67" s="5">
        <v>0.0</v>
      </c>
      <c r="W67" s="5">
        <v>0.0</v>
      </c>
      <c r="X67" s="5">
        <v>0.0</v>
      </c>
      <c r="Y67" s="5">
        <v>0.0</v>
      </c>
      <c r="Z67" s="5">
        <v>0.0</v>
      </c>
      <c r="AA67" s="5">
        <v>47.0</v>
      </c>
      <c r="AB67" s="5">
        <v>75.0</v>
      </c>
      <c r="AC67" s="3">
        <v>0.0</v>
      </c>
      <c r="AD67" s="3">
        <v>0.0</v>
      </c>
      <c r="AE67" s="5">
        <v>1.0</v>
      </c>
      <c r="AF67" s="5" t="s">
        <v>69</v>
      </c>
      <c r="AG67" s="5">
        <f t="shared" si="1"/>
        <v>0</v>
      </c>
      <c r="AH67" s="5" t="str">
        <f t="shared" si="2"/>
        <v>yes</v>
      </c>
      <c r="AI67" s="5">
        <f t="shared" si="3"/>
        <v>1</v>
      </c>
    </row>
    <row r="68" ht="14.25" customHeight="1">
      <c r="A68" s="4">
        <v>21.0</v>
      </c>
      <c r="B68" s="3" t="s">
        <v>271</v>
      </c>
      <c r="C68" s="5">
        <v>0.0</v>
      </c>
      <c r="D68" s="5">
        <v>1.0</v>
      </c>
      <c r="E68" s="5" t="s">
        <v>272</v>
      </c>
      <c r="F68" s="5" t="s">
        <v>273</v>
      </c>
      <c r="G68" s="5" t="s">
        <v>106</v>
      </c>
      <c r="H68" s="5" t="s">
        <v>274</v>
      </c>
      <c r="I68" s="5">
        <v>35.0</v>
      </c>
      <c r="J68" s="5">
        <v>35.0</v>
      </c>
      <c r="K68" s="5">
        <v>0.0</v>
      </c>
      <c r="L68" s="5">
        <v>0.0</v>
      </c>
      <c r="M68" s="5">
        <v>24.0</v>
      </c>
      <c r="N68" s="5">
        <v>5.0</v>
      </c>
      <c r="O68" s="5" t="s">
        <v>46</v>
      </c>
      <c r="P68" s="5">
        <v>1.0</v>
      </c>
      <c r="Q68" s="6">
        <v>0.0</v>
      </c>
      <c r="R68" s="5">
        <v>0.0</v>
      </c>
      <c r="S68" s="3">
        <v>0.0</v>
      </c>
      <c r="T68" s="3">
        <v>0.0</v>
      </c>
      <c r="U68" s="5">
        <v>17.5</v>
      </c>
      <c r="V68" s="5">
        <v>12.0</v>
      </c>
      <c r="W68" s="5">
        <v>17.5</v>
      </c>
      <c r="X68" s="5">
        <v>12.0</v>
      </c>
      <c r="Y68" s="5">
        <v>0.0</v>
      </c>
      <c r="Z68" s="5">
        <v>0.0</v>
      </c>
      <c r="AA68" s="5">
        <v>0.0</v>
      </c>
      <c r="AB68" s="5">
        <v>0.0</v>
      </c>
      <c r="AC68" s="3">
        <v>0.0</v>
      </c>
      <c r="AD68" s="3">
        <v>0.0</v>
      </c>
      <c r="AE68" s="5">
        <v>2.0</v>
      </c>
      <c r="AF68" s="5" t="s">
        <v>53</v>
      </c>
      <c r="AG68" s="5">
        <f t="shared" si="1"/>
        <v>0</v>
      </c>
      <c r="AH68" s="5" t="str">
        <f t="shared" si="2"/>
        <v>yes</v>
      </c>
      <c r="AI68" s="5">
        <f t="shared" si="3"/>
        <v>1</v>
      </c>
    </row>
    <row r="69" ht="14.25" customHeight="1">
      <c r="A69" s="4">
        <v>22.0</v>
      </c>
      <c r="B69" s="3" t="s">
        <v>275</v>
      </c>
      <c r="C69" s="5">
        <v>3.0</v>
      </c>
      <c r="D69" s="5">
        <v>0.0</v>
      </c>
      <c r="E69" s="5" t="s">
        <v>239</v>
      </c>
      <c r="F69" s="3" t="s">
        <v>276</v>
      </c>
      <c r="G69" s="5" t="s">
        <v>106</v>
      </c>
      <c r="H69" s="5" t="s">
        <v>277</v>
      </c>
      <c r="I69" s="5">
        <v>60.0</v>
      </c>
      <c r="J69" s="5">
        <v>60.0</v>
      </c>
      <c r="K69" s="5">
        <v>0.0</v>
      </c>
      <c r="L69" s="5">
        <v>0.0</v>
      </c>
      <c r="M69" s="5">
        <v>4.0</v>
      </c>
      <c r="N69" s="5">
        <v>2.0</v>
      </c>
      <c r="O69" s="5" t="s">
        <v>185</v>
      </c>
      <c r="P69" s="5">
        <v>3.0</v>
      </c>
      <c r="Q69" s="6">
        <v>20.0</v>
      </c>
      <c r="R69" s="5">
        <v>1.3</v>
      </c>
      <c r="S69" s="3">
        <v>0.0</v>
      </c>
      <c r="T69" s="3">
        <v>0.0</v>
      </c>
      <c r="U69" s="5">
        <v>20.0</v>
      </c>
      <c r="V69" s="5">
        <v>1.3</v>
      </c>
      <c r="X69" s="5">
        <v>0.0</v>
      </c>
      <c r="Y69" s="5">
        <v>0.0</v>
      </c>
      <c r="Z69" s="5">
        <v>0.0</v>
      </c>
      <c r="AA69" s="5">
        <v>20.0</v>
      </c>
      <c r="AB69" s="5">
        <v>1.3</v>
      </c>
      <c r="AC69" s="3">
        <v>0.0</v>
      </c>
      <c r="AD69" s="3">
        <v>0.0</v>
      </c>
      <c r="AE69" s="5">
        <v>3.0</v>
      </c>
      <c r="AF69" s="5" t="s">
        <v>278</v>
      </c>
      <c r="AG69" s="5">
        <f t="shared" si="1"/>
        <v>0</v>
      </c>
      <c r="AH69" s="5" t="str">
        <f t="shared" si="2"/>
        <v>yes</v>
      </c>
      <c r="AI69" s="5">
        <f t="shared" si="3"/>
        <v>3</v>
      </c>
    </row>
    <row r="70" ht="14.25" customHeight="1">
      <c r="A70" s="4">
        <v>22.0</v>
      </c>
      <c r="B70" s="5" t="s">
        <v>279</v>
      </c>
      <c r="C70" s="5">
        <v>0.0</v>
      </c>
      <c r="D70" s="5">
        <v>1.0</v>
      </c>
      <c r="E70" s="5" t="s">
        <v>101</v>
      </c>
      <c r="F70" s="5" t="s">
        <v>280</v>
      </c>
      <c r="G70" s="5" t="s">
        <v>106</v>
      </c>
      <c r="H70" s="5" t="s">
        <v>62</v>
      </c>
      <c r="I70" s="5">
        <v>0.0</v>
      </c>
      <c r="J70" s="5">
        <v>75.0</v>
      </c>
      <c r="K70" s="5">
        <v>0.0</v>
      </c>
      <c r="L70" s="5">
        <v>0.0</v>
      </c>
      <c r="M70" s="5">
        <v>0.0</v>
      </c>
      <c r="N70" s="5">
        <v>5.0</v>
      </c>
      <c r="O70" s="5" t="s">
        <v>76</v>
      </c>
      <c r="P70" s="5">
        <v>1.0</v>
      </c>
      <c r="Q70" s="6">
        <v>0.0</v>
      </c>
      <c r="R70" s="5">
        <v>0.0</v>
      </c>
      <c r="S70" s="3">
        <v>0.0</v>
      </c>
      <c r="T70" s="3">
        <v>0.0</v>
      </c>
      <c r="U70" s="5">
        <v>0.0</v>
      </c>
      <c r="V70" s="5">
        <v>0.0</v>
      </c>
      <c r="W70" s="5">
        <v>0.0</v>
      </c>
      <c r="X70" s="5">
        <v>0.0</v>
      </c>
      <c r="Y70" s="5">
        <v>0.0</v>
      </c>
      <c r="Z70" s="5">
        <v>0.0</v>
      </c>
      <c r="AA70" s="5">
        <v>0.0</v>
      </c>
      <c r="AB70" s="5">
        <v>0.0</v>
      </c>
      <c r="AC70" s="3">
        <v>0.0</v>
      </c>
      <c r="AD70" s="3">
        <v>0.0</v>
      </c>
      <c r="AE70" s="5">
        <v>0.0</v>
      </c>
      <c r="AF70" s="5" t="s">
        <v>64</v>
      </c>
      <c r="AG70" s="5">
        <f t="shared" si="1"/>
        <v>0</v>
      </c>
      <c r="AH70" s="5" t="str">
        <f t="shared" si="2"/>
        <v>no</v>
      </c>
      <c r="AI70" s="5">
        <f t="shared" si="3"/>
        <v>1</v>
      </c>
    </row>
    <row r="71" ht="14.25" customHeight="1">
      <c r="A71" s="4">
        <v>22.0</v>
      </c>
      <c r="B71" s="5" t="s">
        <v>281</v>
      </c>
      <c r="C71" s="5">
        <v>2.0</v>
      </c>
      <c r="D71" s="5">
        <v>0.0</v>
      </c>
      <c r="E71" s="5" t="s">
        <v>104</v>
      </c>
      <c r="F71" s="5" t="s">
        <v>282</v>
      </c>
      <c r="G71" s="5" t="s">
        <v>37</v>
      </c>
      <c r="H71" s="5" t="s">
        <v>62</v>
      </c>
      <c r="I71" s="5">
        <v>0.0</v>
      </c>
      <c r="J71" s="5">
        <v>80.0</v>
      </c>
      <c r="K71" s="5">
        <v>0.0</v>
      </c>
      <c r="L71" s="5">
        <v>0.0</v>
      </c>
      <c r="M71" s="5">
        <v>0.0</v>
      </c>
      <c r="N71" s="5">
        <v>0.5</v>
      </c>
      <c r="O71" s="5" t="s">
        <v>185</v>
      </c>
      <c r="P71" s="5">
        <v>2.0</v>
      </c>
      <c r="Q71" s="6">
        <v>0.0</v>
      </c>
      <c r="R71" s="5">
        <v>0.0</v>
      </c>
      <c r="S71" s="3">
        <v>0.0</v>
      </c>
      <c r="T71" s="3">
        <v>0.0</v>
      </c>
      <c r="U71" s="5">
        <v>0.0</v>
      </c>
      <c r="V71" s="5">
        <v>0.0</v>
      </c>
      <c r="W71" s="5">
        <v>0.0</v>
      </c>
      <c r="X71" s="5">
        <v>0.0</v>
      </c>
      <c r="Y71" s="5">
        <v>0.0</v>
      </c>
      <c r="Z71" s="5">
        <v>0.0</v>
      </c>
      <c r="AA71" s="5">
        <v>0.0</v>
      </c>
      <c r="AB71" s="5">
        <v>0.0</v>
      </c>
      <c r="AC71" s="3">
        <v>0.0</v>
      </c>
      <c r="AD71" s="3">
        <v>0.0</v>
      </c>
      <c r="AE71" s="5">
        <v>0.0</v>
      </c>
      <c r="AF71" s="5" t="s">
        <v>64</v>
      </c>
      <c r="AG71" s="5">
        <f t="shared" si="1"/>
        <v>0</v>
      </c>
      <c r="AH71" s="5" t="str">
        <f t="shared" si="2"/>
        <v>no</v>
      </c>
      <c r="AI71" s="5">
        <f t="shared" si="3"/>
        <v>2</v>
      </c>
    </row>
    <row r="72" ht="14.25" customHeight="1">
      <c r="A72" s="4">
        <v>22.0</v>
      </c>
      <c r="B72" s="5" t="s">
        <v>283</v>
      </c>
      <c r="C72" s="5">
        <v>3.0</v>
      </c>
      <c r="D72" s="5">
        <v>0.0</v>
      </c>
      <c r="E72" s="5" t="s">
        <v>239</v>
      </c>
      <c r="F72" s="5" t="s">
        <v>284</v>
      </c>
      <c r="G72" s="5" t="s">
        <v>37</v>
      </c>
      <c r="H72" s="5" t="s">
        <v>62</v>
      </c>
      <c r="I72" s="5">
        <v>0.0</v>
      </c>
      <c r="J72" s="5">
        <v>50.0</v>
      </c>
      <c r="K72" s="5">
        <v>0.0</v>
      </c>
      <c r="L72" s="5">
        <v>0.0</v>
      </c>
      <c r="M72" s="5">
        <v>0.0</v>
      </c>
      <c r="N72" s="5">
        <v>2.0</v>
      </c>
      <c r="O72" s="5" t="s">
        <v>46</v>
      </c>
      <c r="P72" s="5">
        <v>3.0</v>
      </c>
      <c r="Q72" s="6">
        <v>0.0</v>
      </c>
      <c r="R72" s="5">
        <v>0.0</v>
      </c>
      <c r="S72" s="3">
        <v>0.0</v>
      </c>
      <c r="T72" s="3">
        <v>0.0</v>
      </c>
      <c r="U72" s="5">
        <v>0.0</v>
      </c>
      <c r="V72" s="5">
        <v>0.0</v>
      </c>
      <c r="W72" s="5">
        <v>0.0</v>
      </c>
      <c r="X72" s="5">
        <v>0.0</v>
      </c>
      <c r="Y72" s="5">
        <v>0.0</v>
      </c>
      <c r="Z72" s="5">
        <v>0.0</v>
      </c>
      <c r="AA72" s="5">
        <v>0.0</v>
      </c>
      <c r="AB72" s="5">
        <v>0.0</v>
      </c>
      <c r="AC72" s="3">
        <v>0.0</v>
      </c>
      <c r="AD72" s="3">
        <v>0.0</v>
      </c>
      <c r="AE72" s="5">
        <v>0.0</v>
      </c>
      <c r="AF72" s="5" t="s">
        <v>64</v>
      </c>
      <c r="AG72" s="5">
        <f t="shared" si="1"/>
        <v>0</v>
      </c>
      <c r="AH72" s="5" t="str">
        <f t="shared" si="2"/>
        <v>no</v>
      </c>
      <c r="AI72" s="5">
        <f t="shared" si="3"/>
        <v>3</v>
      </c>
    </row>
    <row r="73" ht="14.25" customHeight="1">
      <c r="A73" s="4">
        <v>23.0</v>
      </c>
      <c r="B73" s="3" t="s">
        <v>285</v>
      </c>
      <c r="C73" s="5">
        <v>0.0</v>
      </c>
      <c r="D73" s="5">
        <v>1.0</v>
      </c>
      <c r="E73" s="5" t="s">
        <v>268</v>
      </c>
      <c r="F73" s="5" t="s">
        <v>286</v>
      </c>
      <c r="G73" s="5" t="s">
        <v>37</v>
      </c>
      <c r="H73" s="5" t="s">
        <v>287</v>
      </c>
      <c r="I73" s="5">
        <v>50.0</v>
      </c>
      <c r="J73" s="5">
        <v>100.0</v>
      </c>
      <c r="K73" s="5">
        <v>50.0</v>
      </c>
      <c r="L73" s="5">
        <v>0.0</v>
      </c>
      <c r="M73" s="5">
        <v>10.0</v>
      </c>
      <c r="N73" s="5">
        <v>5.0</v>
      </c>
      <c r="O73" s="5" t="s">
        <v>46</v>
      </c>
      <c r="P73" s="5">
        <v>1.0</v>
      </c>
      <c r="Q73" s="6">
        <v>0.0</v>
      </c>
      <c r="R73" s="5">
        <v>0.0</v>
      </c>
      <c r="S73" s="3">
        <v>0.0</v>
      </c>
      <c r="T73" s="3">
        <v>0.0</v>
      </c>
      <c r="U73" s="5">
        <v>0.0</v>
      </c>
      <c r="V73" s="5">
        <v>0.0</v>
      </c>
      <c r="W73" s="5">
        <v>0.0</v>
      </c>
      <c r="X73" s="5">
        <v>0.0</v>
      </c>
      <c r="Y73" s="5">
        <v>100.0</v>
      </c>
      <c r="Z73" s="5">
        <v>10.0</v>
      </c>
      <c r="AA73" s="5">
        <v>0.0</v>
      </c>
      <c r="AB73" s="5">
        <v>0.0</v>
      </c>
      <c r="AC73" s="3">
        <v>0.0</v>
      </c>
      <c r="AD73" s="3">
        <v>0.0</v>
      </c>
      <c r="AE73" s="5">
        <v>1.0</v>
      </c>
      <c r="AF73" s="5" t="s">
        <v>65</v>
      </c>
      <c r="AG73" s="5">
        <f t="shared" si="1"/>
        <v>0</v>
      </c>
      <c r="AH73" s="5" t="str">
        <f t="shared" si="2"/>
        <v>yes</v>
      </c>
      <c r="AI73" s="5">
        <f t="shared" si="3"/>
        <v>1</v>
      </c>
    </row>
    <row r="74" ht="14.25" customHeight="1">
      <c r="A74" s="4">
        <v>23.0</v>
      </c>
      <c r="B74" s="5" t="s">
        <v>288</v>
      </c>
      <c r="C74" s="5">
        <v>1.0</v>
      </c>
      <c r="D74" s="5">
        <v>0.0</v>
      </c>
      <c r="E74" s="5" t="s">
        <v>101</v>
      </c>
      <c r="F74" s="5" t="s">
        <v>289</v>
      </c>
      <c r="G74" s="5" t="s">
        <v>106</v>
      </c>
      <c r="H74" s="5" t="s">
        <v>62</v>
      </c>
      <c r="I74" s="5">
        <v>0.0</v>
      </c>
      <c r="J74" s="5">
        <v>100.0</v>
      </c>
      <c r="K74" s="5">
        <v>0.0</v>
      </c>
      <c r="L74" s="5">
        <v>0.0</v>
      </c>
      <c r="M74" s="5">
        <v>0.0</v>
      </c>
      <c r="N74" s="5">
        <v>1.0</v>
      </c>
      <c r="O74" s="5" t="s">
        <v>76</v>
      </c>
      <c r="P74" s="5">
        <v>1.0</v>
      </c>
      <c r="Q74" s="6">
        <v>0.0</v>
      </c>
      <c r="R74" s="5">
        <v>0.0</v>
      </c>
      <c r="S74" s="3">
        <v>0.0</v>
      </c>
      <c r="T74" s="3">
        <v>0.0</v>
      </c>
      <c r="U74" s="5">
        <v>0.0</v>
      </c>
      <c r="V74" s="5">
        <v>0.0</v>
      </c>
      <c r="W74" s="5">
        <v>0.0</v>
      </c>
      <c r="X74" s="5">
        <v>0.0</v>
      </c>
      <c r="Y74" s="5">
        <v>0.0</v>
      </c>
      <c r="Z74" s="5">
        <v>0.0</v>
      </c>
      <c r="AA74" s="5">
        <v>0.0</v>
      </c>
      <c r="AB74" s="5">
        <v>0.0</v>
      </c>
      <c r="AC74" s="3">
        <v>0.0</v>
      </c>
      <c r="AD74" s="3">
        <v>0.0</v>
      </c>
      <c r="AE74" s="5">
        <v>0.0</v>
      </c>
      <c r="AF74" s="5" t="s">
        <v>64</v>
      </c>
      <c r="AG74" s="5">
        <f t="shared" si="1"/>
        <v>0</v>
      </c>
      <c r="AH74" s="5" t="str">
        <f t="shared" si="2"/>
        <v>no</v>
      </c>
      <c r="AI74" s="5">
        <f t="shared" si="3"/>
        <v>1</v>
      </c>
    </row>
    <row r="75" ht="14.25" customHeight="1">
      <c r="A75" s="4">
        <v>23.0</v>
      </c>
      <c r="B75" s="5" t="s">
        <v>290</v>
      </c>
      <c r="C75" s="5">
        <v>1.0</v>
      </c>
      <c r="D75" s="5">
        <v>1.0</v>
      </c>
      <c r="E75" s="5" t="s">
        <v>291</v>
      </c>
      <c r="F75" s="5" t="s">
        <v>292</v>
      </c>
      <c r="G75" s="5" t="s">
        <v>44</v>
      </c>
      <c r="H75" s="5" t="s">
        <v>62</v>
      </c>
      <c r="I75" s="5">
        <v>0.0</v>
      </c>
      <c r="J75" s="5">
        <v>30.0</v>
      </c>
      <c r="K75" s="5">
        <v>0.0</v>
      </c>
      <c r="L75" s="5">
        <v>0.0</v>
      </c>
      <c r="M75" s="5">
        <v>0.0</v>
      </c>
      <c r="N75" s="5">
        <v>5.0</v>
      </c>
      <c r="O75" s="5" t="s">
        <v>76</v>
      </c>
      <c r="P75" s="5">
        <v>2.0</v>
      </c>
      <c r="Q75" s="6">
        <v>0.0</v>
      </c>
      <c r="R75" s="5">
        <v>0.0</v>
      </c>
      <c r="S75" s="3">
        <v>0.0</v>
      </c>
      <c r="T75" s="3">
        <v>0.0</v>
      </c>
      <c r="U75" s="5">
        <v>0.0</v>
      </c>
      <c r="V75" s="5">
        <v>0.0</v>
      </c>
      <c r="W75" s="5">
        <v>0.0</v>
      </c>
      <c r="X75" s="5">
        <v>0.0</v>
      </c>
      <c r="Y75" s="5">
        <v>0.0</v>
      </c>
      <c r="Z75" s="5">
        <v>0.0</v>
      </c>
      <c r="AA75" s="5">
        <v>0.0</v>
      </c>
      <c r="AB75" s="5">
        <v>0.0</v>
      </c>
      <c r="AC75" s="3">
        <v>0.0</v>
      </c>
      <c r="AD75" s="3">
        <v>0.0</v>
      </c>
      <c r="AE75" s="5">
        <v>0.0</v>
      </c>
      <c r="AF75" s="5" t="s">
        <v>64</v>
      </c>
      <c r="AG75" s="5">
        <f t="shared" si="1"/>
        <v>0</v>
      </c>
      <c r="AH75" s="5" t="str">
        <f t="shared" si="2"/>
        <v>no</v>
      </c>
      <c r="AI75" s="5">
        <f t="shared" si="3"/>
        <v>2</v>
      </c>
    </row>
    <row r="76" ht="14.25" customHeight="1">
      <c r="A76" s="4">
        <v>23.0</v>
      </c>
      <c r="B76" s="5" t="s">
        <v>293</v>
      </c>
      <c r="C76" s="5">
        <v>1.0</v>
      </c>
      <c r="D76" s="5">
        <v>1.0</v>
      </c>
      <c r="E76" s="5" t="s">
        <v>35</v>
      </c>
      <c r="F76" s="5" t="s">
        <v>294</v>
      </c>
      <c r="G76" s="5" t="s">
        <v>106</v>
      </c>
      <c r="H76" s="5" t="s">
        <v>62</v>
      </c>
      <c r="I76" s="5">
        <v>0.0</v>
      </c>
      <c r="J76" s="5">
        <v>75.0</v>
      </c>
      <c r="K76" s="5">
        <v>0.0</v>
      </c>
      <c r="L76" s="5">
        <v>0.0</v>
      </c>
      <c r="M76" s="5">
        <v>0.0</v>
      </c>
      <c r="N76" s="5">
        <v>5.0</v>
      </c>
      <c r="O76" s="5" t="s">
        <v>76</v>
      </c>
      <c r="P76" s="5">
        <v>2.0</v>
      </c>
      <c r="Q76" s="6">
        <v>0.0</v>
      </c>
      <c r="R76" s="5">
        <v>0.0</v>
      </c>
      <c r="S76" s="3">
        <v>0.0</v>
      </c>
      <c r="T76" s="3">
        <v>0.0</v>
      </c>
      <c r="U76" s="5">
        <v>0.0</v>
      </c>
      <c r="V76" s="5">
        <v>0.0</v>
      </c>
      <c r="W76" s="5">
        <v>0.0</v>
      </c>
      <c r="X76" s="5">
        <v>0.0</v>
      </c>
      <c r="Y76" s="5">
        <v>0.0</v>
      </c>
      <c r="Z76" s="5">
        <v>0.0</v>
      </c>
      <c r="AA76" s="5">
        <v>0.0</v>
      </c>
      <c r="AB76" s="5">
        <v>0.0</v>
      </c>
      <c r="AC76" s="3">
        <v>0.0</v>
      </c>
      <c r="AD76" s="3">
        <v>0.0</v>
      </c>
      <c r="AE76" s="5">
        <v>0.0</v>
      </c>
      <c r="AF76" s="5" t="s">
        <v>64</v>
      </c>
      <c r="AG76" s="5">
        <f t="shared" si="1"/>
        <v>0</v>
      </c>
      <c r="AH76" s="5" t="str">
        <f t="shared" si="2"/>
        <v>no</v>
      </c>
      <c r="AI76" s="5">
        <f t="shared" si="3"/>
        <v>2</v>
      </c>
    </row>
    <row r="77" ht="14.25" customHeight="1">
      <c r="A77" s="4">
        <v>24.0</v>
      </c>
      <c r="B77" s="5" t="s">
        <v>295</v>
      </c>
      <c r="C77" s="5">
        <v>0.0</v>
      </c>
      <c r="D77" s="5">
        <v>1.0</v>
      </c>
      <c r="E77" s="5" t="s">
        <v>101</v>
      </c>
      <c r="F77" s="5" t="s">
        <v>296</v>
      </c>
      <c r="G77" s="5" t="s">
        <v>106</v>
      </c>
      <c r="H77" s="5" t="s">
        <v>297</v>
      </c>
      <c r="I77" s="5">
        <v>50.0</v>
      </c>
      <c r="J77" s="5">
        <v>40.0</v>
      </c>
      <c r="K77" s="5">
        <v>0.0</v>
      </c>
      <c r="L77" s="5">
        <v>0.0</v>
      </c>
      <c r="M77" s="5">
        <v>35.0</v>
      </c>
      <c r="N77" s="5">
        <v>8.0</v>
      </c>
      <c r="O77" s="5" t="s">
        <v>76</v>
      </c>
      <c r="P77" s="5">
        <v>1.0</v>
      </c>
      <c r="Q77" s="11">
        <v>0.0</v>
      </c>
      <c r="R77" s="3">
        <v>0.0</v>
      </c>
      <c r="S77" s="5">
        <v>0.0</v>
      </c>
      <c r="T77" s="5">
        <v>0.0</v>
      </c>
      <c r="U77" s="5">
        <v>25.0</v>
      </c>
      <c r="V77" s="5">
        <v>17.5</v>
      </c>
      <c r="W77" s="5">
        <v>0.0</v>
      </c>
      <c r="X77" s="5">
        <v>0.0</v>
      </c>
      <c r="Y77" s="3">
        <v>0.0</v>
      </c>
      <c r="Z77" s="3">
        <v>0.0</v>
      </c>
      <c r="AA77" s="5">
        <v>0.0</v>
      </c>
      <c r="AB77" s="5">
        <v>0.0</v>
      </c>
      <c r="AC77" s="5">
        <v>25.0</v>
      </c>
      <c r="AD77" s="5">
        <v>17.5</v>
      </c>
      <c r="AE77" s="5">
        <v>2.0</v>
      </c>
      <c r="AF77" s="5" t="s">
        <v>298</v>
      </c>
      <c r="AG77" s="5">
        <f t="shared" si="1"/>
        <v>0</v>
      </c>
      <c r="AH77" s="5" t="str">
        <f t="shared" si="2"/>
        <v>yes</v>
      </c>
      <c r="AI77" s="5">
        <f t="shared" si="3"/>
        <v>1</v>
      </c>
    </row>
    <row r="78" ht="14.25" customHeight="1">
      <c r="A78" s="4">
        <v>24.0</v>
      </c>
      <c r="B78" s="5" t="s">
        <v>299</v>
      </c>
      <c r="C78" s="5">
        <v>2.0</v>
      </c>
      <c r="D78" s="5">
        <v>0.0</v>
      </c>
      <c r="E78" s="5" t="s">
        <v>300</v>
      </c>
      <c r="F78" s="5" t="s">
        <v>301</v>
      </c>
      <c r="G78" s="5" t="s">
        <v>176</v>
      </c>
      <c r="H78" s="5" t="s">
        <v>302</v>
      </c>
      <c r="I78" s="5">
        <v>10.0</v>
      </c>
      <c r="J78" s="5">
        <v>30.0</v>
      </c>
      <c r="K78" s="5">
        <v>20.0</v>
      </c>
      <c r="L78" s="5">
        <v>0.0</v>
      </c>
      <c r="M78" s="5">
        <v>40.0</v>
      </c>
      <c r="N78" s="5">
        <v>10.0</v>
      </c>
      <c r="O78" s="5" t="s">
        <v>46</v>
      </c>
      <c r="P78" s="5">
        <v>2.0</v>
      </c>
      <c r="Q78" s="11">
        <v>0.0</v>
      </c>
      <c r="R78" s="3">
        <v>0.0</v>
      </c>
      <c r="S78" s="5">
        <v>0.0</v>
      </c>
      <c r="T78" s="5">
        <v>0.0</v>
      </c>
      <c r="U78" s="5">
        <v>0.0</v>
      </c>
      <c r="V78" s="5">
        <v>0.0</v>
      </c>
      <c r="W78" s="5">
        <v>0.0</v>
      </c>
      <c r="X78" s="5">
        <v>0.0</v>
      </c>
      <c r="Y78" s="3">
        <v>0.0</v>
      </c>
      <c r="Z78" s="3">
        <v>0.0</v>
      </c>
      <c r="AA78" s="5">
        <v>30.0</v>
      </c>
      <c r="AB78" s="5">
        <v>40.0</v>
      </c>
      <c r="AC78" s="5">
        <v>0.0</v>
      </c>
      <c r="AD78" s="5">
        <v>0.0</v>
      </c>
      <c r="AE78" s="5">
        <v>1.0</v>
      </c>
      <c r="AF78" s="5" t="s">
        <v>69</v>
      </c>
      <c r="AG78" s="5">
        <f t="shared" si="1"/>
        <v>0</v>
      </c>
      <c r="AH78" s="5" t="str">
        <f t="shared" si="2"/>
        <v>yes</v>
      </c>
      <c r="AI78" s="5">
        <f t="shared" si="3"/>
        <v>2</v>
      </c>
    </row>
    <row r="79" ht="14.25" customHeight="1">
      <c r="A79" s="4">
        <v>24.0</v>
      </c>
      <c r="B79" s="5" t="s">
        <v>303</v>
      </c>
      <c r="C79" s="5">
        <v>1.0</v>
      </c>
      <c r="D79" s="5">
        <v>1.0</v>
      </c>
      <c r="E79" s="5" t="s">
        <v>147</v>
      </c>
      <c r="F79" s="5" t="s">
        <v>304</v>
      </c>
      <c r="G79" s="5" t="s">
        <v>37</v>
      </c>
      <c r="H79" s="5" t="s">
        <v>62</v>
      </c>
      <c r="I79" s="5">
        <v>0.0</v>
      </c>
      <c r="J79" s="5">
        <v>20.0</v>
      </c>
      <c r="K79" s="5">
        <v>0.0</v>
      </c>
      <c r="L79" s="5">
        <v>0.0</v>
      </c>
      <c r="M79" s="5">
        <v>0.0</v>
      </c>
      <c r="N79" s="5">
        <v>10.0</v>
      </c>
      <c r="O79" s="5" t="s">
        <v>39</v>
      </c>
      <c r="P79" s="5">
        <v>2.0</v>
      </c>
      <c r="Q79" s="11">
        <v>0.0</v>
      </c>
      <c r="R79" s="3">
        <v>0.0</v>
      </c>
      <c r="S79" s="5">
        <v>0.0</v>
      </c>
      <c r="T79" s="5">
        <v>0.0</v>
      </c>
      <c r="U79" s="5">
        <v>0.0</v>
      </c>
      <c r="V79" s="5">
        <v>0.0</v>
      </c>
      <c r="W79" s="5">
        <v>0.0</v>
      </c>
      <c r="X79" s="5">
        <v>0.0</v>
      </c>
      <c r="Y79" s="3">
        <v>0.0</v>
      </c>
      <c r="Z79" s="3">
        <v>0.0</v>
      </c>
      <c r="AA79" s="5">
        <v>0.0</v>
      </c>
      <c r="AB79" s="5">
        <v>0.0</v>
      </c>
      <c r="AC79" s="5">
        <v>0.0</v>
      </c>
      <c r="AD79" s="5">
        <v>0.0</v>
      </c>
      <c r="AE79" s="5">
        <v>0.0</v>
      </c>
      <c r="AF79" s="5" t="s">
        <v>64</v>
      </c>
      <c r="AG79" s="5">
        <f t="shared" si="1"/>
        <v>0</v>
      </c>
      <c r="AH79" s="5" t="str">
        <f t="shared" si="2"/>
        <v>no</v>
      </c>
      <c r="AI79" s="5">
        <f t="shared" si="3"/>
        <v>2</v>
      </c>
    </row>
    <row r="80" ht="14.25" customHeight="1">
      <c r="A80" s="4">
        <v>25.0</v>
      </c>
      <c r="B80" s="5" t="s">
        <v>305</v>
      </c>
      <c r="C80" s="5">
        <v>1.0</v>
      </c>
      <c r="D80" s="5">
        <v>1.0</v>
      </c>
      <c r="E80" s="5" t="s">
        <v>306</v>
      </c>
      <c r="F80" s="5" t="s">
        <v>307</v>
      </c>
      <c r="G80" s="5" t="s">
        <v>37</v>
      </c>
      <c r="H80" s="5" t="s">
        <v>308</v>
      </c>
      <c r="I80" s="5">
        <v>50.0</v>
      </c>
      <c r="J80" s="5">
        <v>50.0</v>
      </c>
      <c r="K80" s="5">
        <v>0.0</v>
      </c>
      <c r="L80" s="5">
        <v>0.0</v>
      </c>
      <c r="M80" s="5">
        <v>15.0</v>
      </c>
      <c r="N80" s="5">
        <v>4.0</v>
      </c>
      <c r="O80" s="5" t="s">
        <v>46</v>
      </c>
      <c r="P80" s="5">
        <v>2.0</v>
      </c>
      <c r="Q80" s="11">
        <v>0.0</v>
      </c>
      <c r="R80" s="3">
        <v>0.0</v>
      </c>
      <c r="S80" s="5">
        <v>0.0</v>
      </c>
      <c r="T80" s="5">
        <v>0.0</v>
      </c>
      <c r="U80" s="5">
        <v>50.0</v>
      </c>
      <c r="V80" s="5">
        <v>15.0</v>
      </c>
      <c r="W80" s="5">
        <v>0.0</v>
      </c>
      <c r="X80" s="5">
        <v>0.0</v>
      </c>
      <c r="Y80" s="3">
        <v>0.0</v>
      </c>
      <c r="Z80" s="3">
        <v>0.0</v>
      </c>
      <c r="AA80" s="5">
        <v>0.0</v>
      </c>
      <c r="AB80" s="5">
        <v>0.0</v>
      </c>
      <c r="AC80" s="5">
        <v>0.0</v>
      </c>
      <c r="AD80" s="5">
        <v>0.0</v>
      </c>
      <c r="AE80" s="5">
        <v>1.0</v>
      </c>
      <c r="AF80" s="5" t="s">
        <v>66</v>
      </c>
      <c r="AG80" s="5">
        <f t="shared" si="1"/>
        <v>0</v>
      </c>
      <c r="AH80" s="5" t="str">
        <f t="shared" si="2"/>
        <v>yes</v>
      </c>
      <c r="AI80" s="5">
        <f t="shared" si="3"/>
        <v>2</v>
      </c>
    </row>
    <row r="81" ht="14.25" customHeight="1">
      <c r="A81" s="4">
        <v>25.0</v>
      </c>
      <c r="B81" s="5" t="s">
        <v>309</v>
      </c>
      <c r="C81" s="5">
        <v>4.0</v>
      </c>
      <c r="D81" s="5">
        <v>0.0</v>
      </c>
      <c r="E81" s="5" t="s">
        <v>310</v>
      </c>
      <c r="F81" s="5" t="s">
        <v>311</v>
      </c>
      <c r="G81" s="5" t="s">
        <v>61</v>
      </c>
      <c r="H81" s="5" t="s">
        <v>312</v>
      </c>
      <c r="I81" s="5">
        <v>100.0</v>
      </c>
      <c r="J81" s="5">
        <v>100.0</v>
      </c>
      <c r="K81" s="5">
        <v>0.0</v>
      </c>
      <c r="L81" s="5">
        <v>0.0</v>
      </c>
      <c r="M81" s="5">
        <v>6.0</v>
      </c>
      <c r="N81" s="5">
        <v>2.0</v>
      </c>
      <c r="O81" s="5" t="s">
        <v>76</v>
      </c>
      <c r="P81" s="5">
        <v>4.0</v>
      </c>
      <c r="Q81" s="11">
        <v>0.0</v>
      </c>
      <c r="R81" s="3">
        <v>0.0</v>
      </c>
      <c r="S81" s="5">
        <v>20.0</v>
      </c>
      <c r="T81" s="5">
        <v>1.2</v>
      </c>
      <c r="U81" s="5">
        <v>20.0</v>
      </c>
      <c r="V81" s="5">
        <v>1.2</v>
      </c>
      <c r="W81" s="5">
        <v>20.0</v>
      </c>
      <c r="X81" s="5">
        <v>1.2</v>
      </c>
      <c r="Y81" s="3">
        <v>0.0</v>
      </c>
      <c r="Z81" s="3">
        <v>0.0</v>
      </c>
      <c r="AA81" s="5">
        <v>20.0</v>
      </c>
      <c r="AB81" s="5">
        <v>1.2</v>
      </c>
      <c r="AC81" s="5">
        <v>20.0</v>
      </c>
      <c r="AD81" s="5">
        <v>1.2</v>
      </c>
      <c r="AE81" s="5">
        <v>5.0</v>
      </c>
      <c r="AF81" s="3" t="s">
        <v>313</v>
      </c>
      <c r="AG81" s="5">
        <f t="shared" si="1"/>
        <v>1</v>
      </c>
      <c r="AH81" s="5" t="str">
        <f t="shared" si="2"/>
        <v>yes</v>
      </c>
      <c r="AI81" s="5">
        <f t="shared" si="3"/>
        <v>4</v>
      </c>
    </row>
    <row r="82" ht="14.25" customHeight="1">
      <c r="A82" s="4">
        <v>25.0</v>
      </c>
      <c r="B82" s="5" t="s">
        <v>314</v>
      </c>
      <c r="C82" s="5">
        <v>4.0</v>
      </c>
      <c r="D82" s="5">
        <v>0.0</v>
      </c>
      <c r="E82" s="5" t="s">
        <v>315</v>
      </c>
      <c r="F82" s="5" t="s">
        <v>316</v>
      </c>
      <c r="G82" s="5" t="s">
        <v>37</v>
      </c>
      <c r="H82" s="5" t="s">
        <v>62</v>
      </c>
      <c r="I82" s="5">
        <v>0.0</v>
      </c>
      <c r="J82" s="5">
        <v>150.0</v>
      </c>
      <c r="K82" s="5">
        <v>0.0</v>
      </c>
      <c r="L82" s="5">
        <v>0.0</v>
      </c>
      <c r="M82" s="5">
        <v>0.0</v>
      </c>
      <c r="N82" s="5">
        <v>2.0</v>
      </c>
      <c r="O82" s="5" t="s">
        <v>46</v>
      </c>
      <c r="P82" s="5">
        <v>4.0</v>
      </c>
      <c r="Q82" s="11">
        <v>0.0</v>
      </c>
      <c r="R82" s="3">
        <v>0.0</v>
      </c>
      <c r="S82" s="5">
        <v>0.0</v>
      </c>
      <c r="T82" s="5">
        <v>0.0</v>
      </c>
      <c r="U82" s="5">
        <v>0.0</v>
      </c>
      <c r="V82" s="5">
        <v>0.0</v>
      </c>
      <c r="W82" s="5">
        <v>0.0</v>
      </c>
      <c r="X82" s="5">
        <v>0.0</v>
      </c>
      <c r="Y82" s="3">
        <v>0.0</v>
      </c>
      <c r="Z82" s="3">
        <v>0.0</v>
      </c>
      <c r="AA82" s="5">
        <v>0.0</v>
      </c>
      <c r="AB82" s="5">
        <v>0.0</v>
      </c>
      <c r="AC82" s="5">
        <v>0.0</v>
      </c>
      <c r="AD82" s="5">
        <v>0.0</v>
      </c>
      <c r="AE82" s="5">
        <v>0.0</v>
      </c>
      <c r="AF82" s="5" t="s">
        <v>64</v>
      </c>
      <c r="AG82" s="5">
        <f t="shared" si="1"/>
        <v>0</v>
      </c>
      <c r="AH82" s="5" t="str">
        <f t="shared" si="2"/>
        <v>no</v>
      </c>
      <c r="AI82" s="5">
        <f t="shared" si="3"/>
        <v>4</v>
      </c>
    </row>
    <row r="83" ht="14.25" customHeight="1">
      <c r="A83" s="4">
        <v>26.0</v>
      </c>
      <c r="B83" s="5" t="s">
        <v>317</v>
      </c>
      <c r="C83" s="5">
        <v>0.0</v>
      </c>
      <c r="D83" s="5">
        <v>1.0</v>
      </c>
      <c r="E83" s="5" t="s">
        <v>318</v>
      </c>
      <c r="F83" s="5" t="s">
        <v>319</v>
      </c>
      <c r="G83" s="5" t="s">
        <v>106</v>
      </c>
      <c r="H83" s="5" t="s">
        <v>320</v>
      </c>
      <c r="I83" s="5">
        <v>50.0</v>
      </c>
      <c r="J83" s="5">
        <v>50.0</v>
      </c>
      <c r="K83" s="5">
        <v>0.0</v>
      </c>
      <c r="L83" s="5">
        <v>0.0</v>
      </c>
      <c r="M83" s="5">
        <v>50.0</v>
      </c>
      <c r="N83" s="5">
        <v>8.0</v>
      </c>
      <c r="O83" s="5" t="s">
        <v>76</v>
      </c>
      <c r="P83" s="5">
        <v>1.0</v>
      </c>
      <c r="Q83" s="11">
        <v>0.0</v>
      </c>
      <c r="R83" s="3">
        <v>0.0</v>
      </c>
      <c r="S83" s="5">
        <v>0.0</v>
      </c>
      <c r="T83" s="5">
        <v>0.0</v>
      </c>
      <c r="U83" s="5">
        <v>0.0</v>
      </c>
      <c r="V83" s="5">
        <v>0.0</v>
      </c>
      <c r="W83" s="5">
        <v>0.0</v>
      </c>
      <c r="X83" s="5">
        <v>0.0</v>
      </c>
      <c r="Y83" s="3">
        <v>0.0</v>
      </c>
      <c r="Z83" s="3">
        <v>0.0</v>
      </c>
      <c r="AA83" s="5">
        <v>50.0</v>
      </c>
      <c r="AB83" s="5">
        <v>50.0</v>
      </c>
      <c r="AC83" s="5">
        <v>0.0</v>
      </c>
      <c r="AD83" s="5">
        <v>0.0</v>
      </c>
      <c r="AE83" s="5">
        <v>1.0</v>
      </c>
      <c r="AF83" s="5" t="s">
        <v>69</v>
      </c>
      <c r="AG83" s="5">
        <f t="shared" si="1"/>
        <v>0</v>
      </c>
      <c r="AH83" s="5" t="str">
        <f t="shared" si="2"/>
        <v>yes</v>
      </c>
      <c r="AI83" s="5">
        <f t="shared" si="3"/>
        <v>1</v>
      </c>
    </row>
    <row r="84" ht="14.25" customHeight="1">
      <c r="A84" s="4">
        <v>26.0</v>
      </c>
      <c r="B84" s="5" t="s">
        <v>321</v>
      </c>
      <c r="C84" s="5">
        <v>3.0</v>
      </c>
      <c r="D84" s="5">
        <v>0.0</v>
      </c>
      <c r="E84" s="5" t="s">
        <v>134</v>
      </c>
      <c r="F84" s="5" t="s">
        <v>322</v>
      </c>
      <c r="G84" s="5" t="s">
        <v>176</v>
      </c>
      <c r="H84" s="5" t="s">
        <v>62</v>
      </c>
      <c r="I84" s="5">
        <v>0.0</v>
      </c>
      <c r="J84" s="5">
        <v>50.0</v>
      </c>
      <c r="K84" s="5">
        <v>0.0</v>
      </c>
      <c r="L84" s="5">
        <v>0.0</v>
      </c>
      <c r="M84" s="5">
        <v>0.0</v>
      </c>
      <c r="N84" s="5">
        <v>10.0</v>
      </c>
      <c r="O84" s="5" t="s">
        <v>76</v>
      </c>
      <c r="P84" s="5">
        <v>3.0</v>
      </c>
      <c r="Q84" s="11">
        <v>0.0</v>
      </c>
      <c r="R84" s="3">
        <v>0.0</v>
      </c>
      <c r="S84" s="5">
        <v>0.0</v>
      </c>
      <c r="T84" s="5">
        <v>0.0</v>
      </c>
      <c r="U84" s="5">
        <v>0.0</v>
      </c>
      <c r="V84" s="5">
        <v>0.0</v>
      </c>
      <c r="W84" s="5">
        <v>0.0</v>
      </c>
      <c r="X84" s="5">
        <v>0.0</v>
      </c>
      <c r="Y84" s="3">
        <v>0.0</v>
      </c>
      <c r="Z84" s="3">
        <v>0.0</v>
      </c>
      <c r="AA84" s="5">
        <v>0.0</v>
      </c>
      <c r="AB84" s="5">
        <v>0.0</v>
      </c>
      <c r="AC84" s="5">
        <v>0.0</v>
      </c>
      <c r="AD84" s="5">
        <v>0.0</v>
      </c>
      <c r="AE84" s="5">
        <v>0.0</v>
      </c>
      <c r="AF84" s="5" t="s">
        <v>64</v>
      </c>
      <c r="AG84" s="5">
        <f t="shared" si="1"/>
        <v>0</v>
      </c>
      <c r="AH84" s="5" t="str">
        <f t="shared" si="2"/>
        <v>no</v>
      </c>
      <c r="AI84" s="5">
        <f t="shared" si="3"/>
        <v>3</v>
      </c>
    </row>
    <row r="85" ht="14.25" customHeight="1">
      <c r="A85" s="4">
        <v>26.0</v>
      </c>
      <c r="B85" s="5" t="s">
        <v>323</v>
      </c>
      <c r="C85" s="5">
        <v>2.0</v>
      </c>
      <c r="D85" s="5">
        <v>0.0</v>
      </c>
      <c r="E85" s="5" t="s">
        <v>138</v>
      </c>
      <c r="F85" s="5" t="s">
        <v>324</v>
      </c>
      <c r="G85" s="5" t="s">
        <v>106</v>
      </c>
      <c r="H85" s="5" t="s">
        <v>325</v>
      </c>
      <c r="I85" s="5">
        <v>65.0</v>
      </c>
      <c r="J85" s="5">
        <v>65.0</v>
      </c>
      <c r="K85" s="5">
        <v>0.0</v>
      </c>
      <c r="L85" s="5">
        <v>0.0</v>
      </c>
      <c r="M85" s="5">
        <v>3.0</v>
      </c>
      <c r="N85" s="5">
        <v>1.0</v>
      </c>
      <c r="O85" s="5" t="s">
        <v>76</v>
      </c>
      <c r="P85" s="5">
        <v>2.0</v>
      </c>
      <c r="Q85" s="11">
        <v>0.0</v>
      </c>
      <c r="R85" s="3">
        <v>0.0</v>
      </c>
      <c r="S85" s="5">
        <v>65.0</v>
      </c>
      <c r="T85" s="5">
        <v>3.0</v>
      </c>
      <c r="U85" s="5">
        <v>0.0</v>
      </c>
      <c r="V85" s="5">
        <v>0.0</v>
      </c>
      <c r="W85" s="5">
        <v>0.0</v>
      </c>
      <c r="X85" s="5">
        <v>0.0</v>
      </c>
      <c r="Y85" s="3">
        <v>0.0</v>
      </c>
      <c r="Z85" s="3">
        <v>0.0</v>
      </c>
      <c r="AA85" s="5">
        <v>0.0</v>
      </c>
      <c r="AB85" s="5">
        <v>0.0</v>
      </c>
      <c r="AC85" s="5">
        <v>0.0</v>
      </c>
      <c r="AD85" s="5">
        <v>0.0</v>
      </c>
      <c r="AE85" s="5">
        <v>1.0</v>
      </c>
      <c r="AF85" s="3" t="s">
        <v>68</v>
      </c>
      <c r="AG85" s="5">
        <f t="shared" si="1"/>
        <v>0</v>
      </c>
      <c r="AH85" s="5" t="str">
        <f t="shared" si="2"/>
        <v>yes</v>
      </c>
      <c r="AI85" s="5">
        <f t="shared" si="3"/>
        <v>2</v>
      </c>
    </row>
    <row r="86" ht="14.25" customHeight="1">
      <c r="A86" s="4">
        <v>27.0</v>
      </c>
      <c r="B86" s="5" t="s">
        <v>326</v>
      </c>
      <c r="C86" s="5">
        <v>1.0</v>
      </c>
      <c r="D86" s="5">
        <v>0.0</v>
      </c>
      <c r="E86" s="5" t="s">
        <v>134</v>
      </c>
      <c r="F86" s="5" t="s">
        <v>327</v>
      </c>
      <c r="G86" s="5" t="s">
        <v>328</v>
      </c>
      <c r="H86" s="5" t="s">
        <v>62</v>
      </c>
      <c r="I86" s="5">
        <v>0.0</v>
      </c>
      <c r="J86" s="5">
        <v>50.0</v>
      </c>
      <c r="K86" s="5">
        <v>0.0</v>
      </c>
      <c r="L86" s="5">
        <v>0.0</v>
      </c>
      <c r="M86" s="5">
        <v>0.0</v>
      </c>
      <c r="N86" s="5">
        <v>10.0</v>
      </c>
      <c r="O86" s="5" t="s">
        <v>76</v>
      </c>
      <c r="P86" s="5">
        <v>1.0</v>
      </c>
      <c r="Q86" s="11">
        <v>0.0</v>
      </c>
      <c r="R86" s="3">
        <v>0.0</v>
      </c>
      <c r="S86" s="5">
        <v>0.0</v>
      </c>
      <c r="T86" s="5">
        <v>0.0</v>
      </c>
      <c r="U86" s="5">
        <v>0.0</v>
      </c>
      <c r="V86" s="5">
        <v>0.0</v>
      </c>
      <c r="W86" s="5">
        <v>0.0</v>
      </c>
      <c r="X86" s="5">
        <v>0.0</v>
      </c>
      <c r="Y86" s="3">
        <v>0.0</v>
      </c>
      <c r="Z86" s="3">
        <v>0.0</v>
      </c>
      <c r="AA86" s="5">
        <v>0.0</v>
      </c>
      <c r="AB86" s="5">
        <v>0.0</v>
      </c>
      <c r="AC86" s="5">
        <v>0.0</v>
      </c>
      <c r="AD86" s="5">
        <v>0.0</v>
      </c>
      <c r="AE86" s="5">
        <v>0.0</v>
      </c>
      <c r="AF86" s="5" t="s">
        <v>64</v>
      </c>
      <c r="AG86" s="5">
        <f t="shared" si="1"/>
        <v>0</v>
      </c>
      <c r="AH86" s="5" t="str">
        <f t="shared" si="2"/>
        <v>no</v>
      </c>
      <c r="AI86" s="5">
        <f t="shared" si="3"/>
        <v>1</v>
      </c>
    </row>
    <row r="87" ht="14.25" customHeight="1">
      <c r="A87" s="4">
        <v>27.0</v>
      </c>
      <c r="B87" s="8" t="s">
        <v>329</v>
      </c>
      <c r="C87" s="9">
        <v>1.0</v>
      </c>
      <c r="D87" s="9">
        <v>0.0</v>
      </c>
      <c r="E87" s="3" t="s">
        <v>254</v>
      </c>
      <c r="F87" s="5" t="s">
        <v>330</v>
      </c>
      <c r="G87" s="5" t="s">
        <v>176</v>
      </c>
      <c r="H87" s="5" t="s">
        <v>331</v>
      </c>
      <c r="I87" s="5">
        <f t="shared" ref="I87:J87" si="4">101/100000</f>
        <v>0.00101</v>
      </c>
      <c r="J87" s="5">
        <f t="shared" si="4"/>
        <v>0.00101</v>
      </c>
      <c r="K87" s="3">
        <v>0.0</v>
      </c>
      <c r="L87" s="3">
        <v>0.0</v>
      </c>
      <c r="M87" s="3">
        <v>4.0</v>
      </c>
      <c r="N87" s="3">
        <v>4.0</v>
      </c>
      <c r="O87" s="12">
        <v>19.0</v>
      </c>
      <c r="P87" s="3">
        <v>1.0</v>
      </c>
      <c r="Q87" s="11">
        <v>0.0</v>
      </c>
      <c r="R87" s="3">
        <v>0.0</v>
      </c>
      <c r="S87" s="3">
        <f>25.25/100000</f>
        <v>0.0002525</v>
      </c>
      <c r="T87" s="3">
        <v>1.0</v>
      </c>
      <c r="U87" s="3">
        <f>25.25/100000</f>
        <v>0.0002525</v>
      </c>
      <c r="V87" s="3">
        <v>1.0</v>
      </c>
      <c r="W87" s="3">
        <v>0.0</v>
      </c>
      <c r="X87" s="3">
        <v>0.0</v>
      </c>
      <c r="Y87" s="3">
        <v>0.0</v>
      </c>
      <c r="Z87" s="3">
        <v>0.0</v>
      </c>
      <c r="AA87" s="3">
        <f>25.25/100000</f>
        <v>0.0002525</v>
      </c>
      <c r="AB87" s="3">
        <v>1.0</v>
      </c>
      <c r="AC87" s="3">
        <f>25.25/100000</f>
        <v>0.0002525</v>
      </c>
      <c r="AD87" s="3">
        <v>1.0</v>
      </c>
      <c r="AE87" s="3">
        <v>4.0</v>
      </c>
      <c r="AF87" s="3" t="s">
        <v>332</v>
      </c>
      <c r="AG87" s="5">
        <f t="shared" si="1"/>
        <v>0</v>
      </c>
      <c r="AH87" s="5" t="str">
        <f t="shared" si="2"/>
        <v>yes</v>
      </c>
      <c r="AI87" s="5">
        <f t="shared" si="3"/>
        <v>1</v>
      </c>
    </row>
    <row r="88" ht="14.25" customHeight="1">
      <c r="A88" s="4">
        <v>27.0</v>
      </c>
      <c r="B88" s="5" t="s">
        <v>333</v>
      </c>
      <c r="C88" s="5">
        <v>6.0</v>
      </c>
      <c r="D88" s="5">
        <v>0.0</v>
      </c>
      <c r="E88" s="5" t="s">
        <v>334</v>
      </c>
      <c r="F88" s="5" t="s">
        <v>335</v>
      </c>
      <c r="G88" s="5" t="s">
        <v>176</v>
      </c>
      <c r="H88" s="5" t="s">
        <v>62</v>
      </c>
      <c r="I88" s="5">
        <v>0.0</v>
      </c>
      <c r="J88" s="5">
        <v>60.0</v>
      </c>
      <c r="K88" s="5">
        <v>0.0</v>
      </c>
      <c r="L88" s="5">
        <v>0.0</v>
      </c>
      <c r="M88" s="5">
        <v>0.0</v>
      </c>
      <c r="N88" s="5">
        <v>5.0</v>
      </c>
      <c r="O88" s="5" t="s">
        <v>52</v>
      </c>
      <c r="P88" s="5">
        <v>6.0</v>
      </c>
      <c r="Q88" s="11">
        <v>0.0</v>
      </c>
      <c r="R88" s="3">
        <v>0.0</v>
      </c>
      <c r="S88" s="5">
        <v>0.0</v>
      </c>
      <c r="T88" s="5">
        <v>0.0</v>
      </c>
      <c r="U88" s="5">
        <v>0.0</v>
      </c>
      <c r="V88" s="5">
        <v>0.0</v>
      </c>
      <c r="W88" s="5">
        <v>0.0</v>
      </c>
      <c r="X88" s="5">
        <v>0.0</v>
      </c>
      <c r="Y88" s="3">
        <v>0.0</v>
      </c>
      <c r="Z88" s="3">
        <v>0.0</v>
      </c>
      <c r="AA88" s="5">
        <v>0.0</v>
      </c>
      <c r="AB88" s="5">
        <v>0.0</v>
      </c>
      <c r="AC88" s="5">
        <v>0.0</v>
      </c>
      <c r="AD88" s="5">
        <v>0.0</v>
      </c>
      <c r="AE88" s="5">
        <v>0.0</v>
      </c>
      <c r="AF88" s="5" t="s">
        <v>64</v>
      </c>
      <c r="AG88" s="5">
        <f t="shared" si="1"/>
        <v>0</v>
      </c>
      <c r="AH88" s="5" t="str">
        <f t="shared" si="2"/>
        <v>no</v>
      </c>
      <c r="AI88" s="5">
        <f t="shared" si="3"/>
        <v>6</v>
      </c>
    </row>
    <row r="89" ht="14.25" customHeight="1">
      <c r="A89" s="4">
        <v>27.0</v>
      </c>
      <c r="B89" s="5" t="s">
        <v>336</v>
      </c>
      <c r="C89" s="5">
        <v>2.0</v>
      </c>
      <c r="D89" s="5">
        <v>1.0</v>
      </c>
      <c r="E89" s="5" t="s">
        <v>334</v>
      </c>
      <c r="F89" s="5" t="s">
        <v>337</v>
      </c>
      <c r="G89" s="3" t="s">
        <v>338</v>
      </c>
      <c r="H89" s="5" t="s">
        <v>339</v>
      </c>
      <c r="I89" s="5">
        <v>100.0</v>
      </c>
      <c r="J89" s="5">
        <v>100.0</v>
      </c>
      <c r="K89" s="5">
        <v>0.0</v>
      </c>
      <c r="L89" s="5">
        <v>0.0</v>
      </c>
      <c r="M89" s="5">
        <v>4.0</v>
      </c>
      <c r="N89" s="5">
        <v>1.0</v>
      </c>
      <c r="O89" s="5" t="s">
        <v>76</v>
      </c>
      <c r="P89" s="5">
        <v>5.0</v>
      </c>
      <c r="Q89" s="11">
        <v>0.0</v>
      </c>
      <c r="R89" s="3">
        <v>0.0</v>
      </c>
      <c r="S89" s="5">
        <v>0.0</v>
      </c>
      <c r="T89" s="5">
        <v>0.0</v>
      </c>
      <c r="U89" s="5">
        <v>0.0</v>
      </c>
      <c r="V89" s="5">
        <v>0.0</v>
      </c>
      <c r="W89" s="5">
        <v>0.0</v>
      </c>
      <c r="X89" s="5">
        <v>0.0</v>
      </c>
      <c r="Y89" s="3">
        <v>0.0</v>
      </c>
      <c r="Z89" s="3">
        <v>0.0</v>
      </c>
      <c r="AA89" s="5">
        <v>100.0</v>
      </c>
      <c r="AB89" s="5">
        <v>4.0</v>
      </c>
      <c r="AC89" s="5">
        <v>0.0</v>
      </c>
      <c r="AD89" s="5">
        <v>0.0</v>
      </c>
      <c r="AE89" s="5">
        <v>1.0</v>
      </c>
      <c r="AF89" s="5" t="s">
        <v>69</v>
      </c>
      <c r="AG89" s="5">
        <f t="shared" si="1"/>
        <v>0</v>
      </c>
      <c r="AH89" s="5" t="str">
        <f t="shared" si="2"/>
        <v>yes</v>
      </c>
      <c r="AI89" s="5">
        <f t="shared" si="3"/>
        <v>3</v>
      </c>
    </row>
    <row r="90" ht="14.25" customHeight="1">
      <c r="A90" s="4">
        <v>28.0</v>
      </c>
      <c r="B90" s="5" t="s">
        <v>340</v>
      </c>
      <c r="C90" s="5">
        <v>2.0</v>
      </c>
      <c r="D90" s="5">
        <v>1.0</v>
      </c>
      <c r="E90" s="5" t="s">
        <v>104</v>
      </c>
      <c r="F90" s="5" t="s">
        <v>341</v>
      </c>
      <c r="G90" s="5" t="s">
        <v>37</v>
      </c>
      <c r="H90" s="5" t="s">
        <v>342</v>
      </c>
      <c r="I90" s="5">
        <v>100.0</v>
      </c>
      <c r="J90" s="5">
        <v>100.0</v>
      </c>
      <c r="K90" s="5">
        <v>0.0</v>
      </c>
      <c r="L90" s="5">
        <v>0.0</v>
      </c>
      <c r="M90" s="5">
        <v>15.0</v>
      </c>
      <c r="N90" s="5">
        <v>15.0</v>
      </c>
      <c r="O90" s="5" t="s">
        <v>39</v>
      </c>
      <c r="P90" s="5">
        <v>3.0</v>
      </c>
      <c r="Q90" s="11">
        <v>0.0</v>
      </c>
      <c r="R90" s="3">
        <v>0.0</v>
      </c>
      <c r="S90" s="5">
        <v>0.0</v>
      </c>
      <c r="T90" s="5">
        <v>0.0</v>
      </c>
      <c r="U90" s="5">
        <v>0.0</v>
      </c>
      <c r="V90" s="5">
        <v>0.0</v>
      </c>
      <c r="W90" s="5">
        <v>33.33</v>
      </c>
      <c r="X90" s="5">
        <v>5.0</v>
      </c>
      <c r="Y90" s="3">
        <v>0.0</v>
      </c>
      <c r="Z90" s="3">
        <v>0.0</v>
      </c>
      <c r="AA90" s="5">
        <v>33.33</v>
      </c>
      <c r="AB90" s="5">
        <v>5.0</v>
      </c>
      <c r="AC90" s="5">
        <v>33.33</v>
      </c>
      <c r="AD90" s="5">
        <v>5.0</v>
      </c>
      <c r="AE90" s="5">
        <v>3.0</v>
      </c>
      <c r="AF90" s="5" t="s">
        <v>343</v>
      </c>
      <c r="AG90" s="5">
        <f t="shared" si="1"/>
        <v>1</v>
      </c>
      <c r="AH90" s="5" t="str">
        <f t="shared" si="2"/>
        <v>yes</v>
      </c>
      <c r="AI90" s="5">
        <f t="shared" si="3"/>
        <v>3</v>
      </c>
    </row>
    <row r="91" ht="14.25" customHeight="1">
      <c r="A91" s="4">
        <v>28.0</v>
      </c>
      <c r="B91" s="3" t="s">
        <v>344</v>
      </c>
      <c r="C91" s="5">
        <v>1.0</v>
      </c>
      <c r="D91" s="5">
        <v>1.0</v>
      </c>
      <c r="E91" s="5" t="s">
        <v>55</v>
      </c>
      <c r="F91" s="3" t="s">
        <v>345</v>
      </c>
      <c r="G91" s="5" t="s">
        <v>37</v>
      </c>
      <c r="H91" s="5" t="s">
        <v>62</v>
      </c>
      <c r="I91" s="5">
        <v>0.0</v>
      </c>
      <c r="J91" s="5">
        <v>90.0</v>
      </c>
      <c r="K91" s="5">
        <v>0.0</v>
      </c>
      <c r="L91" s="5">
        <v>0.0</v>
      </c>
      <c r="M91" s="5">
        <v>0.0</v>
      </c>
      <c r="N91" s="5">
        <v>5.0</v>
      </c>
      <c r="O91" s="5" t="s">
        <v>76</v>
      </c>
      <c r="P91" s="5">
        <v>2.0</v>
      </c>
      <c r="Q91" s="11">
        <v>0.0</v>
      </c>
      <c r="R91" s="3">
        <v>0.0</v>
      </c>
      <c r="S91" s="5">
        <v>0.0</v>
      </c>
      <c r="T91" s="5">
        <v>0.0</v>
      </c>
      <c r="U91" s="5">
        <v>0.0</v>
      </c>
      <c r="V91" s="5">
        <v>0.0</v>
      </c>
      <c r="W91" s="5">
        <v>0.0</v>
      </c>
      <c r="X91" s="5">
        <v>0.0</v>
      </c>
      <c r="Y91" s="3">
        <v>0.0</v>
      </c>
      <c r="Z91" s="3">
        <v>0.0</v>
      </c>
      <c r="AA91" s="5">
        <v>0.0</v>
      </c>
      <c r="AB91" s="5">
        <v>0.0</v>
      </c>
      <c r="AC91" s="5">
        <v>0.0</v>
      </c>
      <c r="AD91" s="5">
        <v>0.0</v>
      </c>
      <c r="AE91" s="5">
        <v>0.0</v>
      </c>
      <c r="AF91" s="5" t="s">
        <v>64</v>
      </c>
      <c r="AG91" s="5">
        <f t="shared" si="1"/>
        <v>0</v>
      </c>
      <c r="AH91" s="5" t="str">
        <f t="shared" si="2"/>
        <v>no</v>
      </c>
      <c r="AI91" s="5">
        <f t="shared" si="3"/>
        <v>2</v>
      </c>
    </row>
    <row r="92" ht="14.25" customHeight="1">
      <c r="A92" s="4">
        <v>28.0</v>
      </c>
      <c r="B92" s="5" t="s">
        <v>346</v>
      </c>
      <c r="C92" s="5">
        <v>2.0</v>
      </c>
      <c r="D92" s="5">
        <v>0.0</v>
      </c>
      <c r="E92" s="5" t="s">
        <v>101</v>
      </c>
      <c r="F92" s="5" t="s">
        <v>347</v>
      </c>
      <c r="G92" s="5" t="s">
        <v>348</v>
      </c>
      <c r="H92" s="5" t="s">
        <v>349</v>
      </c>
      <c r="I92" s="5">
        <v>50.0</v>
      </c>
      <c r="J92" s="5">
        <v>50.0</v>
      </c>
      <c r="K92" s="5">
        <v>0.0</v>
      </c>
      <c r="L92" s="5">
        <v>0.0</v>
      </c>
      <c r="M92" s="5">
        <v>30.0</v>
      </c>
      <c r="N92" s="5">
        <v>5.0</v>
      </c>
      <c r="O92" s="5" t="s">
        <v>76</v>
      </c>
      <c r="P92" s="5">
        <v>2.0</v>
      </c>
      <c r="Q92" s="11">
        <v>0.0</v>
      </c>
      <c r="R92" s="3">
        <v>0.0</v>
      </c>
      <c r="S92" s="5">
        <v>0.0</v>
      </c>
      <c r="T92" s="5">
        <v>0.0</v>
      </c>
      <c r="U92" s="5">
        <v>0.0</v>
      </c>
      <c r="V92" s="5">
        <v>0.0</v>
      </c>
      <c r="W92" s="5">
        <v>16.6</v>
      </c>
      <c r="X92" s="5">
        <v>10.0</v>
      </c>
      <c r="Y92" s="3">
        <v>0.0</v>
      </c>
      <c r="Z92" s="3">
        <v>0.0</v>
      </c>
      <c r="AA92" s="5">
        <v>16.6</v>
      </c>
      <c r="AB92" s="5">
        <v>10.0</v>
      </c>
      <c r="AC92" s="5">
        <v>16.6</v>
      </c>
      <c r="AD92" s="5">
        <v>10.0</v>
      </c>
      <c r="AE92" s="5">
        <v>3.0</v>
      </c>
      <c r="AF92" s="5" t="s">
        <v>343</v>
      </c>
      <c r="AG92" s="5">
        <f t="shared" si="1"/>
        <v>1</v>
      </c>
      <c r="AH92" s="5" t="str">
        <f t="shared" si="2"/>
        <v>yes</v>
      </c>
      <c r="AI92" s="5">
        <f t="shared" si="3"/>
        <v>2</v>
      </c>
    </row>
    <row r="93" ht="14.25" customHeight="1">
      <c r="A93" s="4">
        <v>29.0</v>
      </c>
      <c r="B93" s="5" t="s">
        <v>350</v>
      </c>
      <c r="C93" s="5">
        <v>1.0</v>
      </c>
      <c r="D93" s="5">
        <v>0.0</v>
      </c>
      <c r="E93" s="5" t="s">
        <v>351</v>
      </c>
      <c r="F93" s="5" t="s">
        <v>352</v>
      </c>
      <c r="G93" s="5" t="s">
        <v>37</v>
      </c>
      <c r="H93" s="5" t="s">
        <v>353</v>
      </c>
      <c r="I93" s="5">
        <v>75.0</v>
      </c>
      <c r="J93" s="5">
        <v>75.0</v>
      </c>
      <c r="K93" s="5">
        <v>0.0</v>
      </c>
      <c r="L93" s="5">
        <v>0.0</v>
      </c>
      <c r="M93" s="5">
        <v>21.0</v>
      </c>
      <c r="N93" s="5">
        <v>5.0</v>
      </c>
      <c r="O93" s="5" t="s">
        <v>76</v>
      </c>
      <c r="P93" s="5">
        <v>1.0</v>
      </c>
      <c r="Q93" s="11">
        <v>0.0</v>
      </c>
      <c r="R93" s="3">
        <v>0.0</v>
      </c>
      <c r="S93" s="5">
        <v>25.0</v>
      </c>
      <c r="T93" s="5">
        <v>7.0</v>
      </c>
      <c r="U93" s="5">
        <v>0.0</v>
      </c>
      <c r="V93" s="5">
        <v>0.0</v>
      </c>
      <c r="W93" s="5">
        <v>25.0</v>
      </c>
      <c r="X93" s="5">
        <v>7.0</v>
      </c>
      <c r="Y93" s="3">
        <v>0.0</v>
      </c>
      <c r="Z93" s="3">
        <v>0.0</v>
      </c>
      <c r="AA93" s="5">
        <v>0.0</v>
      </c>
      <c r="AB93" s="5">
        <v>0.0</v>
      </c>
      <c r="AC93" s="5">
        <v>25.0</v>
      </c>
      <c r="AD93" s="5">
        <v>7.0</v>
      </c>
      <c r="AE93" s="5">
        <v>3.0</v>
      </c>
      <c r="AF93" s="3" t="s">
        <v>354</v>
      </c>
      <c r="AG93" s="5">
        <f t="shared" si="1"/>
        <v>0</v>
      </c>
      <c r="AH93" s="5" t="str">
        <f t="shared" si="2"/>
        <v>yes</v>
      </c>
      <c r="AI93" s="5">
        <f t="shared" si="3"/>
        <v>1</v>
      </c>
    </row>
    <row r="94" ht="14.25" customHeight="1">
      <c r="A94" s="4">
        <v>29.0</v>
      </c>
      <c r="B94" s="5" t="s">
        <v>355</v>
      </c>
      <c r="C94" s="5">
        <v>1.0</v>
      </c>
      <c r="D94" s="5">
        <v>1.0</v>
      </c>
      <c r="E94" s="5" t="s">
        <v>356</v>
      </c>
      <c r="F94" s="5" t="s">
        <v>357</v>
      </c>
      <c r="G94" s="5" t="s">
        <v>106</v>
      </c>
      <c r="H94" s="5" t="s">
        <v>62</v>
      </c>
      <c r="I94" s="5">
        <v>0.0</v>
      </c>
      <c r="J94" s="5">
        <v>75.0</v>
      </c>
      <c r="K94" s="5">
        <v>0.0</v>
      </c>
      <c r="L94" s="5">
        <v>0.0</v>
      </c>
      <c r="M94" s="5">
        <v>0.0</v>
      </c>
      <c r="N94" s="5">
        <v>3.0</v>
      </c>
      <c r="O94" s="5" t="s">
        <v>76</v>
      </c>
      <c r="P94" s="5">
        <v>2.0</v>
      </c>
      <c r="Q94" s="11">
        <v>0.0</v>
      </c>
      <c r="R94" s="3">
        <v>0.0</v>
      </c>
      <c r="S94" s="5">
        <v>0.0</v>
      </c>
      <c r="T94" s="5">
        <v>0.0</v>
      </c>
      <c r="U94" s="5">
        <v>0.0</v>
      </c>
      <c r="V94" s="5">
        <v>0.0</v>
      </c>
      <c r="W94" s="5">
        <v>0.0</v>
      </c>
      <c r="X94" s="5">
        <v>0.0</v>
      </c>
      <c r="Y94" s="3">
        <v>0.0</v>
      </c>
      <c r="Z94" s="3">
        <v>0.0</v>
      </c>
      <c r="AA94" s="5">
        <v>0.0</v>
      </c>
      <c r="AB94" s="5">
        <v>0.0</v>
      </c>
      <c r="AC94" s="5">
        <v>0.0</v>
      </c>
      <c r="AD94" s="5">
        <v>0.0</v>
      </c>
      <c r="AE94" s="5">
        <v>0.0</v>
      </c>
      <c r="AF94" s="5" t="s">
        <v>64</v>
      </c>
      <c r="AG94" s="5">
        <f t="shared" si="1"/>
        <v>0</v>
      </c>
      <c r="AH94" s="5" t="str">
        <f t="shared" si="2"/>
        <v>no</v>
      </c>
      <c r="AI94" s="5">
        <f t="shared" si="3"/>
        <v>2</v>
      </c>
    </row>
    <row r="95" ht="14.25" customHeight="1">
      <c r="A95" s="4">
        <v>29.0</v>
      </c>
      <c r="B95" s="5" t="s">
        <v>358</v>
      </c>
      <c r="C95" s="5">
        <v>2.0</v>
      </c>
      <c r="D95" s="5">
        <v>0.0</v>
      </c>
      <c r="E95" s="5" t="s">
        <v>101</v>
      </c>
      <c r="F95" s="5" t="s">
        <v>359</v>
      </c>
      <c r="G95" s="5" t="s">
        <v>106</v>
      </c>
      <c r="H95" s="5" t="s">
        <v>62</v>
      </c>
      <c r="I95" s="5">
        <v>0.0</v>
      </c>
      <c r="J95" s="5">
        <v>100.0</v>
      </c>
      <c r="K95" s="5">
        <v>0.0</v>
      </c>
      <c r="L95" s="5">
        <v>0.0</v>
      </c>
      <c r="M95" s="5">
        <v>0.0</v>
      </c>
      <c r="N95" s="5">
        <v>3.5</v>
      </c>
      <c r="O95" s="5" t="s">
        <v>76</v>
      </c>
      <c r="P95" s="5">
        <v>2.0</v>
      </c>
      <c r="Q95" s="11">
        <v>0.0</v>
      </c>
      <c r="R95" s="3">
        <v>0.0</v>
      </c>
      <c r="S95" s="5">
        <v>0.0</v>
      </c>
      <c r="T95" s="5">
        <v>0.0</v>
      </c>
      <c r="U95" s="5">
        <v>0.0</v>
      </c>
      <c r="V95" s="5">
        <v>0.0</v>
      </c>
      <c r="W95" s="5">
        <v>0.0</v>
      </c>
      <c r="X95" s="5">
        <v>0.0</v>
      </c>
      <c r="Y95" s="3">
        <v>0.0</v>
      </c>
      <c r="Z95" s="3">
        <v>0.0</v>
      </c>
      <c r="AA95" s="5">
        <v>0.0</v>
      </c>
      <c r="AB95" s="5">
        <v>0.0</v>
      </c>
      <c r="AC95" s="5">
        <v>0.0</v>
      </c>
      <c r="AD95" s="5">
        <v>0.0</v>
      </c>
      <c r="AE95" s="5">
        <v>0.0</v>
      </c>
      <c r="AF95" s="5" t="s">
        <v>64</v>
      </c>
      <c r="AG95" s="5">
        <f t="shared" si="1"/>
        <v>0</v>
      </c>
      <c r="AH95" s="5" t="str">
        <f t="shared" si="2"/>
        <v>no</v>
      </c>
      <c r="AI95" s="5">
        <f t="shared" si="3"/>
        <v>2</v>
      </c>
    </row>
    <row r="96" ht="14.25" customHeight="1">
      <c r="A96" s="4">
        <v>30.0</v>
      </c>
      <c r="B96" s="5" t="s">
        <v>360</v>
      </c>
      <c r="C96" s="5">
        <v>1.0</v>
      </c>
      <c r="D96" s="5">
        <v>0.0</v>
      </c>
      <c r="E96" s="5" t="s">
        <v>104</v>
      </c>
      <c r="F96" s="5" t="s">
        <v>361</v>
      </c>
      <c r="G96" s="5" t="s">
        <v>106</v>
      </c>
      <c r="H96" s="5" t="s">
        <v>62</v>
      </c>
      <c r="I96" s="5">
        <v>0.0</v>
      </c>
      <c r="J96" s="5">
        <v>75.0</v>
      </c>
      <c r="K96" s="5">
        <v>0.0</v>
      </c>
      <c r="L96" s="5">
        <v>0.0</v>
      </c>
      <c r="M96" s="5">
        <v>0.0</v>
      </c>
      <c r="N96" s="5">
        <v>15.0</v>
      </c>
      <c r="O96" s="13" t="s">
        <v>76</v>
      </c>
      <c r="P96" s="5">
        <v>1.0</v>
      </c>
      <c r="Q96" s="6">
        <v>0.0</v>
      </c>
      <c r="R96" s="5">
        <v>0.0</v>
      </c>
      <c r="S96" s="5">
        <v>0.0</v>
      </c>
      <c r="T96" s="5">
        <v>0.0</v>
      </c>
      <c r="U96" s="5">
        <v>0.0</v>
      </c>
      <c r="V96" s="5">
        <v>0.0</v>
      </c>
      <c r="W96" s="5">
        <v>0.0</v>
      </c>
      <c r="X96" s="5">
        <v>0.0</v>
      </c>
      <c r="Y96" s="5">
        <v>0.0</v>
      </c>
      <c r="Z96" s="5">
        <v>0.0</v>
      </c>
      <c r="AA96" s="3">
        <v>0.0</v>
      </c>
      <c r="AB96" s="3">
        <v>0.0</v>
      </c>
      <c r="AC96" s="3">
        <v>0.0</v>
      </c>
      <c r="AD96" s="3">
        <v>0.0</v>
      </c>
      <c r="AE96" s="5">
        <v>0.0</v>
      </c>
      <c r="AF96" s="5" t="s">
        <v>64</v>
      </c>
      <c r="AG96" s="5">
        <f t="shared" si="1"/>
        <v>0</v>
      </c>
      <c r="AH96" s="5" t="str">
        <f t="shared" si="2"/>
        <v>no</v>
      </c>
      <c r="AI96" s="5">
        <f t="shared" si="3"/>
        <v>1</v>
      </c>
    </row>
    <row r="97" ht="14.25" customHeight="1">
      <c r="A97" s="4">
        <v>30.0</v>
      </c>
      <c r="B97" s="5" t="s">
        <v>362</v>
      </c>
      <c r="C97" s="5">
        <v>2.0</v>
      </c>
      <c r="D97" s="5">
        <v>1.0</v>
      </c>
      <c r="E97" s="5" t="s">
        <v>101</v>
      </c>
      <c r="F97" s="5" t="s">
        <v>362</v>
      </c>
      <c r="G97" s="5" t="s">
        <v>363</v>
      </c>
      <c r="H97" s="5" t="s">
        <v>364</v>
      </c>
      <c r="I97" s="5">
        <v>80.0</v>
      </c>
      <c r="J97" s="5">
        <v>80.0</v>
      </c>
      <c r="K97" s="5">
        <v>0.0</v>
      </c>
      <c r="L97" s="5">
        <v>0.0</v>
      </c>
      <c r="M97" s="5">
        <v>6.0</v>
      </c>
      <c r="N97" s="5">
        <v>1.0</v>
      </c>
      <c r="O97" s="5" t="s">
        <v>39</v>
      </c>
      <c r="P97" s="5">
        <v>3.0</v>
      </c>
      <c r="Q97" s="6">
        <v>0.0</v>
      </c>
      <c r="R97" s="5">
        <v>0.0</v>
      </c>
      <c r="S97" s="5">
        <v>40.0</v>
      </c>
      <c r="T97" s="5">
        <v>3.0</v>
      </c>
      <c r="U97" s="5">
        <v>0.0</v>
      </c>
      <c r="V97" s="5">
        <v>0.0</v>
      </c>
      <c r="W97" s="5">
        <v>40.0</v>
      </c>
      <c r="X97" s="5">
        <v>3.0</v>
      </c>
      <c r="Y97" s="5">
        <v>0.0</v>
      </c>
      <c r="Z97" s="5">
        <v>0.0</v>
      </c>
      <c r="AA97" s="3">
        <v>0.0</v>
      </c>
      <c r="AB97" s="3">
        <v>0.0</v>
      </c>
      <c r="AC97" s="3">
        <v>0.0</v>
      </c>
      <c r="AD97" s="3">
        <v>0.0</v>
      </c>
      <c r="AE97" s="5">
        <v>2.0</v>
      </c>
      <c r="AF97" s="3" t="s">
        <v>365</v>
      </c>
      <c r="AG97" s="5">
        <f t="shared" si="1"/>
        <v>0</v>
      </c>
      <c r="AH97" s="5" t="str">
        <f t="shared" si="2"/>
        <v>yes</v>
      </c>
      <c r="AI97" s="5">
        <f t="shared" si="3"/>
        <v>3</v>
      </c>
    </row>
    <row r="98" ht="14.25" customHeight="1">
      <c r="A98" s="4">
        <v>30.0</v>
      </c>
      <c r="B98" s="5" t="s">
        <v>366</v>
      </c>
      <c r="C98" s="5">
        <v>1.0</v>
      </c>
      <c r="D98" s="5">
        <v>1.0</v>
      </c>
      <c r="E98" s="5" t="s">
        <v>55</v>
      </c>
      <c r="F98" s="5" t="s">
        <v>367</v>
      </c>
      <c r="G98" s="5" t="s">
        <v>106</v>
      </c>
      <c r="H98" s="5" t="s">
        <v>62</v>
      </c>
      <c r="I98" s="5">
        <v>0.0</v>
      </c>
      <c r="J98" s="5">
        <v>300.0</v>
      </c>
      <c r="K98" s="5">
        <v>0.0</v>
      </c>
      <c r="L98" s="5">
        <v>0.0</v>
      </c>
      <c r="M98" s="5">
        <v>0.0</v>
      </c>
      <c r="N98" s="5">
        <v>1.0</v>
      </c>
      <c r="O98" s="5" t="s">
        <v>76</v>
      </c>
      <c r="P98" s="5">
        <v>2.0</v>
      </c>
      <c r="Q98" s="6">
        <v>0.0</v>
      </c>
      <c r="R98" s="5">
        <v>0.0</v>
      </c>
      <c r="S98" s="5">
        <v>0.0</v>
      </c>
      <c r="T98" s="5">
        <v>0.0</v>
      </c>
      <c r="U98" s="5">
        <v>0.0</v>
      </c>
      <c r="V98" s="5">
        <v>0.0</v>
      </c>
      <c r="W98" s="5">
        <v>0.0</v>
      </c>
      <c r="X98" s="5">
        <v>0.0</v>
      </c>
      <c r="Y98" s="5">
        <v>0.0</v>
      </c>
      <c r="Z98" s="5">
        <v>0.0</v>
      </c>
      <c r="AA98" s="3">
        <v>0.0</v>
      </c>
      <c r="AB98" s="3">
        <v>0.0</v>
      </c>
      <c r="AC98" s="3">
        <v>0.0</v>
      </c>
      <c r="AD98" s="3">
        <v>0.0</v>
      </c>
      <c r="AE98" s="5">
        <v>0.0</v>
      </c>
      <c r="AF98" s="5" t="s">
        <v>64</v>
      </c>
      <c r="AG98" s="5">
        <f t="shared" si="1"/>
        <v>0</v>
      </c>
      <c r="AH98" s="5" t="str">
        <f t="shared" si="2"/>
        <v>no</v>
      </c>
      <c r="AI98" s="5">
        <f t="shared" si="3"/>
        <v>2</v>
      </c>
    </row>
    <row r="99" ht="14.25" customHeight="1">
      <c r="A99" s="4">
        <v>30.0</v>
      </c>
      <c r="B99" s="5" t="s">
        <v>368</v>
      </c>
      <c r="C99" s="5">
        <v>1.0</v>
      </c>
      <c r="D99" s="5">
        <v>0.0</v>
      </c>
      <c r="E99" s="5" t="s">
        <v>55</v>
      </c>
      <c r="F99" s="5" t="s">
        <v>369</v>
      </c>
      <c r="G99" s="5" t="s">
        <v>370</v>
      </c>
      <c r="H99" s="5" t="s">
        <v>62</v>
      </c>
      <c r="I99" s="5">
        <v>0.0</v>
      </c>
      <c r="J99" s="5">
        <v>50.0</v>
      </c>
      <c r="K99" s="5">
        <v>0.0</v>
      </c>
      <c r="L99" s="5">
        <v>0.0</v>
      </c>
      <c r="M99" s="5">
        <v>0.0</v>
      </c>
      <c r="N99" s="5">
        <v>7.5</v>
      </c>
      <c r="O99" s="5" t="s">
        <v>46</v>
      </c>
      <c r="P99" s="5">
        <v>1.0</v>
      </c>
      <c r="Q99" s="6">
        <v>0.0</v>
      </c>
      <c r="R99" s="5">
        <v>0.0</v>
      </c>
      <c r="S99" s="5">
        <v>0.0</v>
      </c>
      <c r="T99" s="5">
        <v>0.0</v>
      </c>
      <c r="U99" s="5">
        <v>0.0</v>
      </c>
      <c r="V99" s="5">
        <v>0.0</v>
      </c>
      <c r="W99" s="5">
        <v>0.0</v>
      </c>
      <c r="X99" s="5">
        <v>0.0</v>
      </c>
      <c r="Y99" s="5">
        <v>0.0</v>
      </c>
      <c r="Z99" s="5">
        <v>0.0</v>
      </c>
      <c r="AA99" s="3">
        <v>0.0</v>
      </c>
      <c r="AB99" s="3">
        <v>0.0</v>
      </c>
      <c r="AC99" s="3">
        <v>0.0</v>
      </c>
      <c r="AD99" s="3">
        <v>0.0</v>
      </c>
      <c r="AE99" s="5">
        <v>0.0</v>
      </c>
      <c r="AF99" s="5" t="s">
        <v>64</v>
      </c>
      <c r="AG99" s="5">
        <f t="shared" si="1"/>
        <v>0</v>
      </c>
      <c r="AH99" s="5" t="str">
        <f t="shared" si="2"/>
        <v>no</v>
      </c>
      <c r="AI99" s="5">
        <f t="shared" si="3"/>
        <v>1</v>
      </c>
    </row>
    <row r="100" ht="14.25" customHeight="1">
      <c r="Q100" s="6"/>
    </row>
    <row r="101" ht="14.25" customHeight="1">
      <c r="Q101" s="6"/>
    </row>
    <row r="102" ht="14.25" customHeight="1">
      <c r="Q102" s="6"/>
    </row>
    <row r="103" ht="14.25" customHeight="1">
      <c r="Q103" s="6"/>
    </row>
    <row r="104" ht="14.25" customHeight="1">
      <c r="Q104" s="6"/>
    </row>
    <row r="105" ht="14.25" customHeight="1">
      <c r="Q105" s="6"/>
    </row>
    <row r="106" ht="14.25" customHeight="1">
      <c r="Q106" s="6"/>
    </row>
    <row r="107" ht="14.25" customHeight="1">
      <c r="Q107" s="6"/>
    </row>
    <row r="108" ht="14.25" customHeight="1">
      <c r="Q108" s="6"/>
    </row>
    <row r="109" ht="14.25" customHeight="1">
      <c r="Q109" s="6"/>
    </row>
    <row r="110" ht="14.25" customHeight="1">
      <c r="Q110" s="6"/>
    </row>
    <row r="111" ht="14.25" customHeight="1">
      <c r="Q111" s="6"/>
    </row>
    <row r="112" ht="14.25" customHeight="1">
      <c r="Q112" s="6"/>
    </row>
    <row r="113" ht="14.25" customHeight="1">
      <c r="Q113" s="6"/>
    </row>
    <row r="114" ht="14.25" customHeight="1">
      <c r="Q114" s="6"/>
    </row>
    <row r="115" ht="14.25" customHeight="1">
      <c r="Q115" s="6"/>
    </row>
    <row r="116" ht="14.25" customHeight="1">
      <c r="Q116" s="6"/>
    </row>
    <row r="117" ht="14.25" customHeight="1">
      <c r="Q117" s="6"/>
    </row>
    <row r="118" ht="14.25" customHeight="1">
      <c r="Q118" s="6"/>
    </row>
    <row r="119" ht="14.25" customHeight="1">
      <c r="Q119" s="6"/>
    </row>
    <row r="120" ht="14.25" customHeight="1">
      <c r="Q120" s="6"/>
    </row>
    <row r="121" ht="14.25" customHeight="1">
      <c r="Q121" s="6"/>
    </row>
    <row r="122" ht="14.25" customHeight="1">
      <c r="Q122" s="6"/>
    </row>
    <row r="123" ht="14.25" customHeight="1">
      <c r="Q123" s="6"/>
    </row>
    <row r="124" ht="14.25" customHeight="1">
      <c r="Q124" s="6"/>
    </row>
    <row r="125" ht="14.25" customHeight="1">
      <c r="Q125" s="6"/>
    </row>
    <row r="126" ht="14.25" customHeight="1">
      <c r="Q126" s="6"/>
    </row>
    <row r="127" ht="14.25" customHeight="1">
      <c r="Q127" s="6"/>
    </row>
    <row r="128" ht="14.25" customHeight="1">
      <c r="Q128" s="6"/>
    </row>
    <row r="129" ht="14.25" customHeight="1">
      <c r="Q129" s="6"/>
    </row>
    <row r="130" ht="14.25" customHeight="1">
      <c r="Q130" s="6"/>
    </row>
    <row r="131" ht="14.25" customHeight="1">
      <c r="Q131" s="6"/>
    </row>
    <row r="132" ht="14.25" customHeight="1">
      <c r="Q132" s="6"/>
    </row>
    <row r="133" ht="14.25" customHeight="1">
      <c r="Q133" s="6"/>
    </row>
    <row r="134" ht="14.25" customHeight="1">
      <c r="Q134" s="6"/>
    </row>
    <row r="135" ht="14.25" customHeight="1">
      <c r="Q135" s="6"/>
    </row>
    <row r="136" ht="14.25" customHeight="1">
      <c r="Q136" s="6"/>
    </row>
    <row r="137" ht="14.25" customHeight="1">
      <c r="Q137" s="6"/>
    </row>
    <row r="138" ht="14.25" customHeight="1">
      <c r="Q138" s="6"/>
    </row>
    <row r="139" ht="14.25" customHeight="1">
      <c r="Q139" s="6"/>
    </row>
    <row r="140" ht="14.25" customHeight="1">
      <c r="Q140" s="6"/>
    </row>
    <row r="141" ht="14.25" customHeight="1">
      <c r="Q141" s="6"/>
    </row>
    <row r="142" ht="14.25" customHeight="1">
      <c r="Q142" s="6"/>
    </row>
    <row r="143" ht="14.25" customHeight="1">
      <c r="Q143" s="6"/>
    </row>
    <row r="144" ht="14.25" customHeight="1">
      <c r="Q144" s="6"/>
    </row>
    <row r="145" ht="14.25" customHeight="1">
      <c r="Q145" s="6"/>
    </row>
    <row r="146" ht="14.25" customHeight="1">
      <c r="Q146" s="6"/>
    </row>
    <row r="147" ht="14.25" customHeight="1">
      <c r="Q147" s="6"/>
    </row>
    <row r="148" ht="14.25" customHeight="1">
      <c r="Q148" s="6"/>
    </row>
    <row r="149" ht="14.25" customHeight="1">
      <c r="Q149" s="6"/>
    </row>
    <row r="150" ht="14.25" customHeight="1">
      <c r="Q150" s="6"/>
    </row>
    <row r="151" ht="14.25" customHeight="1">
      <c r="Q151" s="6"/>
    </row>
    <row r="152" ht="14.25" customHeight="1">
      <c r="Q152" s="6"/>
    </row>
    <row r="153" ht="14.25" customHeight="1">
      <c r="Q153" s="6"/>
    </row>
    <row r="154" ht="14.25" customHeight="1">
      <c r="Q154" s="6"/>
    </row>
    <row r="155" ht="14.25" customHeight="1">
      <c r="Q155" s="6"/>
    </row>
    <row r="156" ht="14.25" customHeight="1">
      <c r="Q156" s="6"/>
    </row>
    <row r="157" ht="14.25" customHeight="1">
      <c r="Q157" s="6"/>
    </row>
    <row r="158" ht="14.25" customHeight="1">
      <c r="Q158" s="6"/>
    </row>
    <row r="159" ht="14.25" customHeight="1">
      <c r="Q159" s="6"/>
    </row>
    <row r="160" ht="14.25" customHeight="1">
      <c r="Q160" s="6"/>
    </row>
    <row r="161" ht="14.25" customHeight="1">
      <c r="Q161" s="6"/>
    </row>
    <row r="162" ht="14.25" customHeight="1">
      <c r="Q162" s="6"/>
    </row>
    <row r="163" ht="14.25" customHeight="1">
      <c r="Q163" s="6"/>
    </row>
    <row r="164" ht="14.25" customHeight="1">
      <c r="Q164" s="6"/>
    </row>
    <row r="165" ht="14.25" customHeight="1">
      <c r="Q165" s="6"/>
    </row>
    <row r="166" ht="14.25" customHeight="1">
      <c r="Q166" s="6"/>
    </row>
    <row r="167" ht="14.25" customHeight="1">
      <c r="Q167" s="6"/>
    </row>
    <row r="168" ht="14.25" customHeight="1">
      <c r="Q168" s="6"/>
    </row>
    <row r="169" ht="14.25" customHeight="1">
      <c r="Q169" s="6"/>
    </row>
    <row r="170" ht="14.25" customHeight="1">
      <c r="Q170" s="6"/>
    </row>
    <row r="171" ht="14.25" customHeight="1">
      <c r="Q171" s="6"/>
    </row>
    <row r="172" ht="14.25" customHeight="1">
      <c r="Q172" s="6"/>
    </row>
    <row r="173" ht="14.25" customHeight="1">
      <c r="Q173" s="6"/>
    </row>
    <row r="174" ht="14.25" customHeight="1">
      <c r="Q174" s="6"/>
    </row>
    <row r="175" ht="14.25" customHeight="1">
      <c r="Q175" s="6"/>
    </row>
    <row r="176" ht="14.25" customHeight="1">
      <c r="Q176" s="6"/>
    </row>
    <row r="177" ht="14.25" customHeight="1">
      <c r="Q177" s="6"/>
    </row>
    <row r="178" ht="14.25" customHeight="1">
      <c r="Q178" s="6"/>
    </row>
    <row r="179" ht="14.25" customHeight="1">
      <c r="Q179" s="6"/>
    </row>
    <row r="180" ht="14.25" customHeight="1">
      <c r="Q180" s="6"/>
    </row>
    <row r="181" ht="14.25" customHeight="1">
      <c r="Q181" s="6"/>
    </row>
    <row r="182" ht="14.25" customHeight="1">
      <c r="Q182" s="6"/>
    </row>
    <row r="183" ht="14.25" customHeight="1">
      <c r="Q183" s="6"/>
    </row>
    <row r="184" ht="14.25" customHeight="1">
      <c r="Q184" s="6"/>
    </row>
    <row r="185" ht="14.25" customHeight="1">
      <c r="Q185" s="6"/>
    </row>
    <row r="186" ht="14.25" customHeight="1">
      <c r="Q186" s="6"/>
    </row>
    <row r="187" ht="14.25" customHeight="1">
      <c r="Q187" s="6"/>
    </row>
    <row r="188" ht="14.25" customHeight="1">
      <c r="Q188" s="6"/>
    </row>
    <row r="189" ht="14.25" customHeight="1">
      <c r="Q189" s="6"/>
    </row>
    <row r="190" ht="14.25" customHeight="1">
      <c r="Q190" s="6"/>
    </row>
    <row r="191" ht="14.25" customHeight="1">
      <c r="Q191" s="6"/>
    </row>
    <row r="192" ht="14.25" customHeight="1">
      <c r="Q192" s="6"/>
    </row>
    <row r="193" ht="14.25" customHeight="1">
      <c r="Q193" s="6"/>
    </row>
    <row r="194" ht="14.25" customHeight="1">
      <c r="Q194" s="6"/>
    </row>
    <row r="195" ht="14.25" customHeight="1">
      <c r="Q195" s="6"/>
    </row>
    <row r="196" ht="14.25" customHeight="1">
      <c r="Q196" s="6"/>
    </row>
    <row r="197" ht="14.25" customHeight="1">
      <c r="Q197" s="6"/>
    </row>
    <row r="198" ht="14.25" customHeight="1">
      <c r="Q198" s="6"/>
    </row>
    <row r="199" ht="14.25" customHeight="1">
      <c r="Q199" s="6"/>
    </row>
    <row r="200" ht="14.25" customHeight="1">
      <c r="Q200" s="6"/>
    </row>
    <row r="201" ht="14.25" customHeight="1">
      <c r="Q201" s="6"/>
    </row>
    <row r="202" ht="14.25" customHeight="1">
      <c r="Q202" s="6"/>
    </row>
    <row r="203" ht="14.25" customHeight="1">
      <c r="Q203" s="6"/>
    </row>
    <row r="204" ht="14.25" customHeight="1">
      <c r="Q204" s="6"/>
    </row>
    <row r="205" ht="14.25" customHeight="1">
      <c r="Q205" s="6"/>
    </row>
    <row r="206" ht="14.25" customHeight="1">
      <c r="Q206" s="6"/>
    </row>
    <row r="207" ht="14.25" customHeight="1">
      <c r="Q207" s="6"/>
    </row>
    <row r="208" ht="14.25" customHeight="1">
      <c r="Q208" s="6"/>
    </row>
    <row r="209" ht="14.25" customHeight="1">
      <c r="Q209" s="6"/>
    </row>
    <row r="210" ht="14.25" customHeight="1">
      <c r="Q210" s="6"/>
    </row>
    <row r="211" ht="14.25" customHeight="1">
      <c r="Q211" s="6"/>
    </row>
    <row r="212" ht="14.25" customHeight="1">
      <c r="Q212" s="6"/>
    </row>
    <row r="213" ht="14.25" customHeight="1">
      <c r="Q213" s="6"/>
    </row>
    <row r="214" ht="14.25" customHeight="1">
      <c r="Q214" s="6"/>
    </row>
    <row r="215" ht="14.25" customHeight="1">
      <c r="Q215" s="6"/>
    </row>
    <row r="216" ht="14.25" customHeight="1">
      <c r="Q216" s="6"/>
    </row>
    <row r="217" ht="14.25" customHeight="1">
      <c r="Q217" s="6"/>
    </row>
    <row r="218" ht="14.25" customHeight="1">
      <c r="Q218" s="6"/>
    </row>
    <row r="219" ht="14.25" customHeight="1">
      <c r="Q219" s="6"/>
    </row>
    <row r="220" ht="14.25" customHeight="1">
      <c r="Q220" s="6"/>
    </row>
    <row r="221" ht="14.25" customHeight="1">
      <c r="Q221" s="6"/>
    </row>
    <row r="222" ht="14.25" customHeight="1">
      <c r="Q222" s="6"/>
    </row>
    <row r="223" ht="14.25" customHeight="1">
      <c r="Q223" s="6"/>
    </row>
    <row r="224" ht="14.25" customHeight="1">
      <c r="Q224" s="6"/>
    </row>
    <row r="225" ht="14.25" customHeight="1">
      <c r="Q225" s="6"/>
    </row>
    <row r="226" ht="14.25" customHeight="1">
      <c r="Q226" s="6"/>
    </row>
    <row r="227" ht="14.25" customHeight="1">
      <c r="Q227" s="6"/>
    </row>
    <row r="228" ht="14.25" customHeight="1">
      <c r="Q228" s="6"/>
    </row>
    <row r="229" ht="14.25" customHeight="1">
      <c r="Q229" s="6"/>
    </row>
    <row r="230" ht="14.25" customHeight="1">
      <c r="Q230" s="6"/>
    </row>
    <row r="231" ht="14.25" customHeight="1">
      <c r="Q231" s="6"/>
    </row>
    <row r="232" ht="14.25" customHeight="1">
      <c r="Q232" s="6"/>
    </row>
    <row r="233" ht="14.25" customHeight="1">
      <c r="Q233" s="6"/>
    </row>
    <row r="234" ht="14.25" customHeight="1">
      <c r="Q234" s="6"/>
    </row>
    <row r="235" ht="14.25" customHeight="1">
      <c r="Q235" s="6"/>
    </row>
    <row r="236" ht="14.25" customHeight="1">
      <c r="Q236" s="6"/>
    </row>
    <row r="237" ht="14.25" customHeight="1">
      <c r="Q237" s="6"/>
    </row>
    <row r="238" ht="14.25" customHeight="1">
      <c r="Q238" s="6"/>
    </row>
    <row r="239" ht="14.25" customHeight="1">
      <c r="Q239" s="6"/>
    </row>
    <row r="240" ht="14.25" customHeight="1">
      <c r="Q240" s="6"/>
    </row>
    <row r="241" ht="14.25" customHeight="1">
      <c r="Q241" s="6"/>
    </row>
    <row r="242" ht="14.25" customHeight="1">
      <c r="Q242" s="6"/>
    </row>
    <row r="243" ht="14.25" customHeight="1">
      <c r="Q243" s="6"/>
    </row>
    <row r="244" ht="14.25" customHeight="1">
      <c r="Q244" s="6"/>
    </row>
    <row r="245" ht="14.25" customHeight="1">
      <c r="Q245" s="6"/>
    </row>
    <row r="246" ht="14.25" customHeight="1">
      <c r="Q246" s="6"/>
    </row>
    <row r="247" ht="14.25" customHeight="1">
      <c r="Q247" s="6"/>
    </row>
    <row r="248" ht="14.25" customHeight="1">
      <c r="Q248" s="6"/>
    </row>
    <row r="249" ht="14.25" customHeight="1">
      <c r="Q249" s="6"/>
    </row>
    <row r="250" ht="14.25" customHeight="1">
      <c r="Q250" s="6"/>
    </row>
    <row r="251" ht="14.25" customHeight="1">
      <c r="Q251" s="6"/>
    </row>
    <row r="252" ht="14.25" customHeight="1">
      <c r="Q252" s="6"/>
    </row>
    <row r="253" ht="14.25" customHeight="1">
      <c r="Q253" s="6"/>
    </row>
    <row r="254" ht="14.25" customHeight="1">
      <c r="Q254" s="6"/>
    </row>
    <row r="255" ht="14.25" customHeight="1">
      <c r="Q255" s="6"/>
    </row>
    <row r="256" ht="14.25" customHeight="1">
      <c r="Q256" s="6"/>
    </row>
    <row r="257" ht="14.25" customHeight="1">
      <c r="Q257" s="6"/>
    </row>
    <row r="258" ht="14.25" customHeight="1">
      <c r="Q258" s="6"/>
    </row>
    <row r="259" ht="14.25" customHeight="1">
      <c r="Q259" s="6"/>
    </row>
    <row r="260" ht="14.25" customHeight="1">
      <c r="Q260" s="6"/>
    </row>
    <row r="261" ht="14.25" customHeight="1">
      <c r="Q261" s="6"/>
    </row>
    <row r="262" ht="14.25" customHeight="1">
      <c r="Q262" s="6"/>
    </row>
    <row r="263" ht="14.25" customHeight="1">
      <c r="Q263" s="6"/>
    </row>
    <row r="264" ht="14.25" customHeight="1">
      <c r="Q264" s="6"/>
    </row>
    <row r="265" ht="14.25" customHeight="1">
      <c r="Q265" s="6"/>
    </row>
    <row r="266" ht="14.25" customHeight="1">
      <c r="Q266" s="6"/>
    </row>
    <row r="267" ht="14.25" customHeight="1">
      <c r="Q267" s="6"/>
    </row>
    <row r="268" ht="14.25" customHeight="1">
      <c r="Q268" s="6"/>
    </row>
    <row r="269" ht="14.25" customHeight="1">
      <c r="Q269" s="6"/>
    </row>
    <row r="270" ht="14.25" customHeight="1">
      <c r="Q270" s="6"/>
    </row>
    <row r="271" ht="14.25" customHeight="1">
      <c r="Q271" s="6"/>
    </row>
    <row r="272" ht="14.25" customHeight="1">
      <c r="Q272" s="6"/>
    </row>
    <row r="273" ht="14.25" customHeight="1">
      <c r="Q273" s="6"/>
    </row>
    <row r="274" ht="14.25" customHeight="1">
      <c r="Q274" s="6"/>
    </row>
    <row r="275" ht="14.25" customHeight="1">
      <c r="Q275" s="6"/>
    </row>
    <row r="276" ht="14.25" customHeight="1">
      <c r="Q276" s="6"/>
    </row>
    <row r="277" ht="14.25" customHeight="1">
      <c r="Q277" s="6"/>
    </row>
    <row r="278" ht="14.25" customHeight="1">
      <c r="Q278" s="6"/>
    </row>
    <row r="279" ht="14.25" customHeight="1">
      <c r="Q279" s="6"/>
    </row>
    <row r="280" ht="14.25" customHeight="1">
      <c r="Q280" s="6"/>
    </row>
    <row r="281" ht="14.25" customHeight="1">
      <c r="Q281" s="6"/>
    </row>
    <row r="282" ht="14.25" customHeight="1">
      <c r="Q282" s="6"/>
    </row>
    <row r="283" ht="14.25" customHeight="1">
      <c r="Q283" s="6"/>
    </row>
    <row r="284" ht="14.25" customHeight="1">
      <c r="Q284" s="6"/>
    </row>
    <row r="285" ht="14.25" customHeight="1">
      <c r="Q285" s="6"/>
    </row>
    <row r="286" ht="14.25" customHeight="1">
      <c r="Q286" s="6"/>
    </row>
    <row r="287" ht="14.25" customHeight="1">
      <c r="Q287" s="6"/>
    </row>
    <row r="288" ht="14.25" customHeight="1">
      <c r="Q288" s="6"/>
    </row>
    <row r="289" ht="14.25" customHeight="1">
      <c r="Q289" s="6"/>
    </row>
    <row r="290" ht="14.25" customHeight="1">
      <c r="Q290" s="6"/>
    </row>
    <row r="291" ht="14.25" customHeight="1">
      <c r="Q291" s="6"/>
    </row>
    <row r="292" ht="14.25" customHeight="1">
      <c r="Q292" s="6"/>
    </row>
    <row r="293" ht="14.25" customHeight="1">
      <c r="Q293" s="6"/>
    </row>
    <row r="294" ht="14.25" customHeight="1">
      <c r="Q294" s="6"/>
    </row>
    <row r="295" ht="14.25" customHeight="1">
      <c r="Q295" s="6"/>
    </row>
    <row r="296" ht="14.25" customHeight="1">
      <c r="Q296" s="6"/>
    </row>
    <row r="297" ht="14.25" customHeight="1">
      <c r="Q297" s="6"/>
    </row>
    <row r="298" ht="14.25" customHeight="1">
      <c r="Q298" s="6"/>
    </row>
    <row r="299" ht="14.25" customHeight="1">
      <c r="Q299" s="6"/>
    </row>
    <row r="300" ht="14.25" customHeight="1">
      <c r="Q300" s="6"/>
    </row>
    <row r="301" ht="14.25" customHeight="1">
      <c r="Q301" s="6"/>
    </row>
    <row r="302" ht="14.25" customHeight="1">
      <c r="Q302" s="6"/>
    </row>
    <row r="303" ht="14.25" customHeight="1">
      <c r="Q303" s="6"/>
    </row>
    <row r="304" ht="14.25" customHeight="1">
      <c r="Q304" s="6"/>
    </row>
    <row r="305" ht="14.25" customHeight="1">
      <c r="Q305" s="6"/>
    </row>
    <row r="306" ht="14.25" customHeight="1">
      <c r="Q306" s="6"/>
    </row>
    <row r="307" ht="14.25" customHeight="1">
      <c r="Q307" s="6"/>
    </row>
    <row r="308" ht="14.25" customHeight="1">
      <c r="Q308" s="6"/>
    </row>
    <row r="309" ht="14.25" customHeight="1">
      <c r="Q309" s="6"/>
    </row>
    <row r="310" ht="14.25" customHeight="1">
      <c r="Q310" s="6"/>
    </row>
    <row r="311" ht="14.25" customHeight="1">
      <c r="Q311" s="6"/>
    </row>
    <row r="312" ht="14.25" customHeight="1">
      <c r="Q312" s="6"/>
    </row>
    <row r="313" ht="14.25" customHeight="1">
      <c r="Q313" s="6"/>
    </row>
    <row r="314" ht="14.25" customHeight="1">
      <c r="Q314" s="6"/>
    </row>
    <row r="315" ht="14.25" customHeight="1">
      <c r="Q315" s="6"/>
    </row>
    <row r="316" ht="14.25" customHeight="1">
      <c r="Q316" s="6"/>
    </row>
    <row r="317" ht="14.25" customHeight="1">
      <c r="Q317" s="6"/>
    </row>
    <row r="318" ht="14.25" customHeight="1">
      <c r="Q318" s="6"/>
    </row>
    <row r="319" ht="14.25" customHeight="1">
      <c r="Q319" s="6"/>
    </row>
    <row r="320" ht="14.25" customHeight="1">
      <c r="Q320" s="6"/>
    </row>
    <row r="321" ht="14.25" customHeight="1">
      <c r="Q321" s="6"/>
    </row>
    <row r="322" ht="14.25" customHeight="1">
      <c r="Q322" s="6"/>
    </row>
    <row r="323" ht="14.25" customHeight="1">
      <c r="Q323" s="6"/>
    </row>
    <row r="324" ht="14.25" customHeight="1">
      <c r="Q324" s="6"/>
    </row>
    <row r="325" ht="14.25" customHeight="1">
      <c r="Q325" s="6"/>
    </row>
    <row r="326" ht="14.25" customHeight="1">
      <c r="Q326" s="6"/>
    </row>
    <row r="327" ht="14.25" customHeight="1">
      <c r="Q327" s="6"/>
    </row>
    <row r="328" ht="14.25" customHeight="1">
      <c r="Q328" s="6"/>
    </row>
    <row r="329" ht="14.25" customHeight="1">
      <c r="Q329" s="6"/>
    </row>
    <row r="330" ht="14.25" customHeight="1">
      <c r="Q330" s="6"/>
    </row>
    <row r="331" ht="14.25" customHeight="1">
      <c r="Q331" s="6"/>
    </row>
    <row r="332" ht="14.25" customHeight="1">
      <c r="Q332" s="6"/>
    </row>
    <row r="333" ht="14.25" customHeight="1">
      <c r="Q333" s="6"/>
    </row>
    <row r="334" ht="14.25" customHeight="1">
      <c r="Q334" s="6"/>
    </row>
    <row r="335" ht="14.25" customHeight="1">
      <c r="Q335" s="6"/>
    </row>
    <row r="336" ht="14.25" customHeight="1">
      <c r="Q336" s="6"/>
    </row>
    <row r="337" ht="14.25" customHeight="1">
      <c r="Q337" s="6"/>
    </row>
    <row r="338" ht="14.25" customHeight="1">
      <c r="Q338" s="6"/>
    </row>
    <row r="339" ht="14.25" customHeight="1">
      <c r="Q339" s="6"/>
    </row>
    <row r="340" ht="14.25" customHeight="1">
      <c r="Q340" s="6"/>
    </row>
    <row r="341" ht="14.25" customHeight="1">
      <c r="Q341" s="6"/>
    </row>
    <row r="342" ht="14.25" customHeight="1">
      <c r="Q342" s="6"/>
    </row>
    <row r="343" ht="14.25" customHeight="1">
      <c r="Q343" s="6"/>
    </row>
    <row r="344" ht="14.25" customHeight="1">
      <c r="Q344" s="6"/>
    </row>
    <row r="345" ht="14.25" customHeight="1">
      <c r="Q345" s="6"/>
    </row>
    <row r="346" ht="14.25" customHeight="1">
      <c r="Q346" s="6"/>
    </row>
    <row r="347" ht="14.25" customHeight="1">
      <c r="Q347" s="6"/>
    </row>
    <row r="348" ht="14.25" customHeight="1">
      <c r="Q348" s="6"/>
    </row>
    <row r="349" ht="14.25" customHeight="1">
      <c r="Q349" s="6"/>
    </row>
    <row r="350" ht="14.25" customHeight="1">
      <c r="Q350" s="6"/>
    </row>
    <row r="351" ht="14.25" customHeight="1">
      <c r="Q351" s="6"/>
    </row>
    <row r="352" ht="14.25" customHeight="1">
      <c r="Q352" s="6"/>
    </row>
    <row r="353" ht="14.25" customHeight="1">
      <c r="Q353" s="6"/>
    </row>
    <row r="354" ht="14.25" customHeight="1">
      <c r="Q354" s="6"/>
    </row>
    <row r="355" ht="14.25" customHeight="1">
      <c r="Q355" s="6"/>
    </row>
    <row r="356" ht="14.25" customHeight="1">
      <c r="Q356" s="6"/>
    </row>
    <row r="357" ht="14.25" customHeight="1">
      <c r="Q357" s="6"/>
    </row>
    <row r="358" ht="14.25" customHeight="1">
      <c r="Q358" s="6"/>
    </row>
    <row r="359" ht="14.25" customHeight="1">
      <c r="Q359" s="6"/>
    </row>
    <row r="360" ht="14.25" customHeight="1">
      <c r="Q360" s="6"/>
    </row>
    <row r="361" ht="14.25" customHeight="1">
      <c r="Q361" s="6"/>
    </row>
    <row r="362" ht="14.25" customHeight="1">
      <c r="Q362" s="6"/>
    </row>
    <row r="363" ht="14.25" customHeight="1">
      <c r="Q363" s="6"/>
    </row>
    <row r="364" ht="14.25" customHeight="1">
      <c r="Q364" s="6"/>
    </row>
    <row r="365" ht="14.25" customHeight="1">
      <c r="Q365" s="6"/>
    </row>
    <row r="366" ht="14.25" customHeight="1">
      <c r="Q366" s="6"/>
    </row>
    <row r="367" ht="14.25" customHeight="1">
      <c r="Q367" s="6"/>
    </row>
    <row r="368" ht="14.25" customHeight="1">
      <c r="Q368" s="6"/>
    </row>
    <row r="369" ht="14.25" customHeight="1">
      <c r="Q369" s="6"/>
    </row>
    <row r="370" ht="14.25" customHeight="1">
      <c r="Q370" s="6"/>
    </row>
    <row r="371" ht="14.25" customHeight="1">
      <c r="Q371" s="6"/>
    </row>
    <row r="372" ht="14.25" customHeight="1">
      <c r="Q372" s="6"/>
    </row>
    <row r="373" ht="14.25" customHeight="1">
      <c r="Q373" s="6"/>
    </row>
    <row r="374" ht="14.25" customHeight="1">
      <c r="Q374" s="6"/>
    </row>
    <row r="375" ht="14.25" customHeight="1">
      <c r="Q375" s="6"/>
    </row>
    <row r="376" ht="14.25" customHeight="1">
      <c r="Q376" s="6"/>
    </row>
    <row r="377" ht="14.25" customHeight="1">
      <c r="Q377" s="6"/>
    </row>
    <row r="378" ht="14.25" customHeight="1">
      <c r="Q378" s="6"/>
    </row>
    <row r="379" ht="14.25" customHeight="1">
      <c r="Q379" s="6"/>
    </row>
    <row r="380" ht="14.25" customHeight="1">
      <c r="Q380" s="6"/>
    </row>
    <row r="381" ht="14.25" customHeight="1">
      <c r="Q381" s="6"/>
    </row>
    <row r="382" ht="14.25" customHeight="1">
      <c r="Q382" s="6"/>
    </row>
    <row r="383" ht="14.25" customHeight="1">
      <c r="Q383" s="6"/>
    </row>
    <row r="384" ht="14.25" customHeight="1">
      <c r="Q384" s="6"/>
    </row>
    <row r="385" ht="14.25" customHeight="1">
      <c r="Q385" s="6"/>
    </row>
    <row r="386" ht="14.25" customHeight="1">
      <c r="Q386" s="6"/>
    </row>
    <row r="387" ht="14.25" customHeight="1">
      <c r="Q387" s="6"/>
    </row>
    <row r="388" ht="14.25" customHeight="1">
      <c r="Q388" s="6"/>
    </row>
    <row r="389" ht="14.25" customHeight="1">
      <c r="Q389" s="6"/>
    </row>
    <row r="390" ht="14.25" customHeight="1">
      <c r="Q390" s="6"/>
    </row>
    <row r="391" ht="14.25" customHeight="1">
      <c r="Q391" s="6"/>
    </row>
    <row r="392" ht="14.25" customHeight="1">
      <c r="Q392" s="6"/>
    </row>
    <row r="393" ht="14.25" customHeight="1">
      <c r="Q393" s="6"/>
    </row>
    <row r="394" ht="14.25" customHeight="1">
      <c r="Q394" s="6"/>
    </row>
    <row r="395" ht="14.25" customHeight="1">
      <c r="Q395" s="6"/>
    </row>
    <row r="396" ht="14.25" customHeight="1">
      <c r="Q396" s="6"/>
    </row>
    <row r="397" ht="14.25" customHeight="1">
      <c r="Q397" s="6"/>
    </row>
    <row r="398" ht="14.25" customHeight="1">
      <c r="Q398" s="6"/>
    </row>
    <row r="399" ht="14.25" customHeight="1">
      <c r="Q399" s="6"/>
    </row>
    <row r="400" ht="14.25" customHeight="1">
      <c r="Q400" s="6"/>
    </row>
    <row r="401" ht="14.25" customHeight="1">
      <c r="Q401" s="6"/>
    </row>
    <row r="402" ht="14.25" customHeight="1">
      <c r="Q402" s="6"/>
    </row>
    <row r="403" ht="14.25" customHeight="1">
      <c r="Q403" s="6"/>
    </row>
    <row r="404" ht="14.25" customHeight="1">
      <c r="Q404" s="6"/>
    </row>
    <row r="405" ht="14.25" customHeight="1">
      <c r="Q405" s="6"/>
    </row>
    <row r="406" ht="14.25" customHeight="1">
      <c r="Q406" s="6"/>
    </row>
    <row r="407" ht="14.25" customHeight="1">
      <c r="Q407" s="6"/>
    </row>
    <row r="408" ht="14.25" customHeight="1">
      <c r="Q408" s="6"/>
    </row>
    <row r="409" ht="14.25" customHeight="1">
      <c r="Q409" s="6"/>
    </row>
    <row r="410" ht="14.25" customHeight="1">
      <c r="Q410" s="6"/>
    </row>
    <row r="411" ht="14.25" customHeight="1">
      <c r="Q411" s="6"/>
    </row>
    <row r="412" ht="14.25" customHeight="1">
      <c r="Q412" s="6"/>
    </row>
    <row r="413" ht="14.25" customHeight="1">
      <c r="Q413" s="6"/>
    </row>
    <row r="414" ht="14.25" customHeight="1">
      <c r="Q414" s="6"/>
    </row>
    <row r="415" ht="14.25" customHeight="1">
      <c r="Q415" s="6"/>
    </row>
    <row r="416" ht="14.25" customHeight="1">
      <c r="Q416" s="6"/>
    </row>
    <row r="417" ht="14.25" customHeight="1">
      <c r="Q417" s="6"/>
    </row>
    <row r="418" ht="14.25" customHeight="1">
      <c r="Q418" s="6"/>
    </row>
    <row r="419" ht="14.25" customHeight="1">
      <c r="Q419" s="6"/>
    </row>
    <row r="420" ht="14.25" customHeight="1">
      <c r="Q420" s="6"/>
    </row>
    <row r="421" ht="14.25" customHeight="1">
      <c r="Q421" s="6"/>
    </row>
    <row r="422" ht="14.25" customHeight="1">
      <c r="Q422" s="6"/>
    </row>
    <row r="423" ht="14.25" customHeight="1">
      <c r="Q423" s="6"/>
    </row>
    <row r="424" ht="14.25" customHeight="1">
      <c r="Q424" s="6"/>
    </row>
    <row r="425" ht="14.25" customHeight="1">
      <c r="Q425" s="6"/>
    </row>
    <row r="426" ht="14.25" customHeight="1">
      <c r="Q426" s="6"/>
    </row>
    <row r="427" ht="14.25" customHeight="1">
      <c r="Q427" s="6"/>
    </row>
    <row r="428" ht="14.25" customHeight="1">
      <c r="Q428" s="6"/>
    </row>
    <row r="429" ht="14.25" customHeight="1">
      <c r="Q429" s="6"/>
    </row>
    <row r="430" ht="14.25" customHeight="1">
      <c r="Q430" s="6"/>
    </row>
    <row r="431" ht="14.25" customHeight="1">
      <c r="Q431" s="6"/>
    </row>
    <row r="432" ht="14.25" customHeight="1">
      <c r="Q432" s="6"/>
    </row>
    <row r="433" ht="14.25" customHeight="1">
      <c r="Q433" s="6"/>
    </row>
    <row r="434" ht="14.25" customHeight="1">
      <c r="Q434" s="6"/>
    </row>
    <row r="435" ht="14.25" customHeight="1">
      <c r="Q435" s="6"/>
    </row>
    <row r="436" ht="14.25" customHeight="1">
      <c r="Q436" s="6"/>
    </row>
    <row r="437" ht="14.25" customHeight="1">
      <c r="Q437" s="6"/>
    </row>
    <row r="438" ht="14.25" customHeight="1">
      <c r="Q438" s="6"/>
    </row>
    <row r="439" ht="14.25" customHeight="1">
      <c r="Q439" s="6"/>
    </row>
    <row r="440" ht="14.25" customHeight="1">
      <c r="Q440" s="6"/>
    </row>
    <row r="441" ht="14.25" customHeight="1">
      <c r="Q441" s="6"/>
    </row>
    <row r="442" ht="14.25" customHeight="1">
      <c r="Q442" s="6"/>
    </row>
    <row r="443" ht="14.25" customHeight="1">
      <c r="Q443" s="6"/>
    </row>
    <row r="444" ht="14.25" customHeight="1">
      <c r="Q444" s="6"/>
    </row>
    <row r="445" ht="14.25" customHeight="1">
      <c r="Q445" s="6"/>
    </row>
    <row r="446" ht="14.25" customHeight="1">
      <c r="Q446" s="6"/>
    </row>
    <row r="447" ht="14.25" customHeight="1">
      <c r="Q447" s="6"/>
    </row>
    <row r="448" ht="14.25" customHeight="1">
      <c r="Q448" s="6"/>
    </row>
    <row r="449" ht="14.25" customHeight="1">
      <c r="Q449" s="6"/>
    </row>
    <row r="450" ht="14.25" customHeight="1">
      <c r="Q450" s="6"/>
    </row>
    <row r="451" ht="14.25" customHeight="1">
      <c r="Q451" s="6"/>
    </row>
    <row r="452" ht="14.25" customHeight="1">
      <c r="Q452" s="6"/>
    </row>
    <row r="453" ht="14.25" customHeight="1">
      <c r="Q453" s="6"/>
    </row>
    <row r="454" ht="14.25" customHeight="1">
      <c r="Q454" s="6"/>
    </row>
    <row r="455" ht="14.25" customHeight="1">
      <c r="Q455" s="6"/>
    </row>
    <row r="456" ht="14.25" customHeight="1">
      <c r="Q456" s="6"/>
    </row>
    <row r="457" ht="14.25" customHeight="1">
      <c r="Q457" s="6"/>
    </row>
    <row r="458" ht="14.25" customHeight="1">
      <c r="Q458" s="6"/>
    </row>
    <row r="459" ht="14.25" customHeight="1">
      <c r="Q459" s="6"/>
    </row>
    <row r="460" ht="14.25" customHeight="1">
      <c r="Q460" s="6"/>
    </row>
    <row r="461" ht="14.25" customHeight="1">
      <c r="Q461" s="6"/>
    </row>
    <row r="462" ht="14.25" customHeight="1">
      <c r="Q462" s="6"/>
    </row>
    <row r="463" ht="14.25" customHeight="1">
      <c r="Q463" s="6"/>
    </row>
    <row r="464" ht="14.25" customHeight="1">
      <c r="Q464" s="6"/>
    </row>
    <row r="465" ht="14.25" customHeight="1">
      <c r="Q465" s="6"/>
    </row>
    <row r="466" ht="14.25" customHeight="1">
      <c r="Q466" s="6"/>
    </row>
    <row r="467" ht="14.25" customHeight="1">
      <c r="Q467" s="6"/>
    </row>
    <row r="468" ht="14.25" customHeight="1">
      <c r="Q468" s="6"/>
    </row>
    <row r="469" ht="14.25" customHeight="1">
      <c r="Q469" s="6"/>
    </row>
    <row r="470" ht="14.25" customHeight="1">
      <c r="Q470" s="6"/>
    </row>
    <row r="471" ht="14.25" customHeight="1">
      <c r="Q471" s="6"/>
    </row>
    <row r="472" ht="14.25" customHeight="1">
      <c r="Q472" s="6"/>
    </row>
    <row r="473" ht="14.25" customHeight="1">
      <c r="Q473" s="6"/>
    </row>
    <row r="474" ht="14.25" customHeight="1">
      <c r="Q474" s="6"/>
    </row>
    <row r="475" ht="14.25" customHeight="1">
      <c r="Q475" s="6"/>
    </row>
    <row r="476" ht="14.25" customHeight="1">
      <c r="Q476" s="6"/>
    </row>
    <row r="477" ht="14.25" customHeight="1">
      <c r="Q477" s="6"/>
    </row>
    <row r="478" ht="14.25" customHeight="1">
      <c r="Q478" s="6"/>
    </row>
    <row r="479" ht="14.25" customHeight="1">
      <c r="Q479" s="6"/>
    </row>
    <row r="480" ht="14.25" customHeight="1">
      <c r="Q480" s="6"/>
    </row>
    <row r="481" ht="14.25" customHeight="1">
      <c r="Q481" s="6"/>
    </row>
    <row r="482" ht="14.25" customHeight="1">
      <c r="Q482" s="6"/>
    </row>
    <row r="483" ht="14.25" customHeight="1">
      <c r="Q483" s="6"/>
    </row>
    <row r="484" ht="14.25" customHeight="1">
      <c r="Q484" s="6"/>
    </row>
    <row r="485" ht="14.25" customHeight="1">
      <c r="Q485" s="6"/>
    </row>
    <row r="486" ht="14.25" customHeight="1">
      <c r="Q486" s="6"/>
    </row>
    <row r="487" ht="14.25" customHeight="1">
      <c r="Q487" s="6"/>
    </row>
    <row r="488" ht="14.25" customHeight="1">
      <c r="Q488" s="6"/>
    </row>
    <row r="489" ht="14.25" customHeight="1">
      <c r="Q489" s="6"/>
    </row>
    <row r="490" ht="14.25" customHeight="1">
      <c r="Q490" s="6"/>
    </row>
    <row r="491" ht="14.25" customHeight="1">
      <c r="Q491" s="6"/>
    </row>
    <row r="492" ht="14.25" customHeight="1">
      <c r="Q492" s="6"/>
    </row>
    <row r="493" ht="14.25" customHeight="1">
      <c r="Q493" s="6"/>
    </row>
    <row r="494" ht="14.25" customHeight="1">
      <c r="Q494" s="6"/>
    </row>
    <row r="495" ht="14.25" customHeight="1">
      <c r="Q495" s="6"/>
    </row>
    <row r="496" ht="14.25" customHeight="1">
      <c r="Q496" s="6"/>
    </row>
    <row r="497" ht="14.25" customHeight="1">
      <c r="Q497" s="6"/>
    </row>
    <row r="498" ht="14.25" customHeight="1">
      <c r="Q498" s="6"/>
    </row>
    <row r="499" ht="14.25" customHeight="1">
      <c r="Q499" s="6"/>
    </row>
    <row r="500" ht="14.25" customHeight="1">
      <c r="Q500" s="6"/>
    </row>
    <row r="501" ht="14.25" customHeight="1">
      <c r="Q501" s="6"/>
    </row>
    <row r="502" ht="14.25" customHeight="1">
      <c r="Q502" s="6"/>
    </row>
    <row r="503" ht="14.25" customHeight="1">
      <c r="Q503" s="6"/>
    </row>
    <row r="504" ht="14.25" customHeight="1">
      <c r="Q504" s="6"/>
    </row>
    <row r="505" ht="14.25" customHeight="1">
      <c r="Q505" s="6"/>
    </row>
    <row r="506" ht="14.25" customHeight="1">
      <c r="Q506" s="6"/>
    </row>
    <row r="507" ht="14.25" customHeight="1">
      <c r="Q507" s="6"/>
    </row>
    <row r="508" ht="14.25" customHeight="1">
      <c r="Q508" s="6"/>
    </row>
    <row r="509" ht="14.25" customHeight="1">
      <c r="Q509" s="6"/>
    </row>
    <row r="510" ht="14.25" customHeight="1">
      <c r="Q510" s="6"/>
    </row>
    <row r="511" ht="14.25" customHeight="1">
      <c r="Q511" s="6"/>
    </row>
    <row r="512" ht="14.25" customHeight="1">
      <c r="Q512" s="6"/>
    </row>
    <row r="513" ht="14.25" customHeight="1">
      <c r="Q513" s="6"/>
    </row>
    <row r="514" ht="14.25" customHeight="1">
      <c r="Q514" s="6"/>
    </row>
    <row r="515" ht="14.25" customHeight="1">
      <c r="Q515" s="6"/>
    </row>
    <row r="516" ht="14.25" customHeight="1">
      <c r="Q516" s="6"/>
    </row>
    <row r="517" ht="14.25" customHeight="1">
      <c r="Q517" s="6"/>
    </row>
    <row r="518" ht="14.25" customHeight="1">
      <c r="Q518" s="6"/>
    </row>
    <row r="519" ht="14.25" customHeight="1">
      <c r="Q519" s="6"/>
    </row>
    <row r="520" ht="14.25" customHeight="1">
      <c r="Q520" s="6"/>
    </row>
    <row r="521" ht="14.25" customHeight="1">
      <c r="Q521" s="6"/>
    </row>
    <row r="522" ht="14.25" customHeight="1">
      <c r="Q522" s="6"/>
    </row>
    <row r="523" ht="14.25" customHeight="1">
      <c r="Q523" s="6"/>
    </row>
    <row r="524" ht="14.25" customHeight="1">
      <c r="Q524" s="6"/>
    </row>
    <row r="525" ht="14.25" customHeight="1">
      <c r="Q525" s="6"/>
    </row>
    <row r="526" ht="14.25" customHeight="1">
      <c r="Q526" s="6"/>
    </row>
    <row r="527" ht="14.25" customHeight="1">
      <c r="Q527" s="6"/>
    </row>
    <row r="528" ht="14.25" customHeight="1">
      <c r="Q528" s="6"/>
    </row>
    <row r="529" ht="14.25" customHeight="1">
      <c r="Q529" s="6"/>
    </row>
    <row r="530" ht="14.25" customHeight="1">
      <c r="Q530" s="6"/>
    </row>
    <row r="531" ht="14.25" customHeight="1">
      <c r="Q531" s="6"/>
    </row>
    <row r="532" ht="14.25" customHeight="1">
      <c r="Q532" s="6"/>
    </row>
    <row r="533" ht="14.25" customHeight="1">
      <c r="Q533" s="6"/>
    </row>
    <row r="534" ht="14.25" customHeight="1">
      <c r="Q534" s="6"/>
    </row>
    <row r="535" ht="14.25" customHeight="1">
      <c r="Q535" s="6"/>
    </row>
    <row r="536" ht="14.25" customHeight="1">
      <c r="Q536" s="6"/>
    </row>
    <row r="537" ht="14.25" customHeight="1">
      <c r="Q537" s="6"/>
    </row>
    <row r="538" ht="14.25" customHeight="1">
      <c r="Q538" s="6"/>
    </row>
    <row r="539" ht="14.25" customHeight="1">
      <c r="Q539" s="6"/>
    </row>
    <row r="540" ht="14.25" customHeight="1">
      <c r="Q540" s="6"/>
    </row>
    <row r="541" ht="14.25" customHeight="1">
      <c r="Q541" s="6"/>
    </row>
    <row r="542" ht="14.25" customHeight="1">
      <c r="Q542" s="6"/>
    </row>
    <row r="543" ht="14.25" customHeight="1">
      <c r="Q543" s="6"/>
    </row>
    <row r="544" ht="14.25" customHeight="1">
      <c r="Q544" s="6"/>
    </row>
    <row r="545" ht="14.25" customHeight="1">
      <c r="Q545" s="6"/>
    </row>
    <row r="546" ht="14.25" customHeight="1">
      <c r="Q546" s="6"/>
    </row>
    <row r="547" ht="14.25" customHeight="1">
      <c r="Q547" s="6"/>
    </row>
    <row r="548" ht="14.25" customHeight="1">
      <c r="Q548" s="6"/>
    </row>
    <row r="549" ht="14.25" customHeight="1">
      <c r="Q549" s="6"/>
    </row>
    <row r="550" ht="14.25" customHeight="1">
      <c r="Q550" s="6"/>
    </row>
    <row r="551" ht="14.25" customHeight="1">
      <c r="Q551" s="6"/>
    </row>
    <row r="552" ht="14.25" customHeight="1">
      <c r="Q552" s="6"/>
    </row>
    <row r="553" ht="14.25" customHeight="1">
      <c r="Q553" s="6"/>
    </row>
    <row r="554" ht="14.25" customHeight="1">
      <c r="Q554" s="6"/>
    </row>
    <row r="555" ht="14.25" customHeight="1">
      <c r="Q555" s="6"/>
    </row>
    <row r="556" ht="14.25" customHeight="1">
      <c r="Q556" s="6"/>
    </row>
    <row r="557" ht="14.25" customHeight="1">
      <c r="Q557" s="6"/>
    </row>
    <row r="558" ht="14.25" customHeight="1">
      <c r="Q558" s="6"/>
    </row>
    <row r="559" ht="14.25" customHeight="1">
      <c r="Q559" s="6"/>
    </row>
    <row r="560" ht="14.25" customHeight="1">
      <c r="Q560" s="6"/>
    </row>
    <row r="561" ht="14.25" customHeight="1">
      <c r="Q561" s="6"/>
    </row>
    <row r="562" ht="14.25" customHeight="1">
      <c r="Q562" s="6"/>
    </row>
    <row r="563" ht="14.25" customHeight="1">
      <c r="Q563" s="6"/>
    </row>
    <row r="564" ht="14.25" customHeight="1">
      <c r="Q564" s="6"/>
    </row>
    <row r="565" ht="14.25" customHeight="1">
      <c r="Q565" s="6"/>
    </row>
    <row r="566" ht="14.25" customHeight="1">
      <c r="Q566" s="6"/>
    </row>
    <row r="567" ht="14.25" customHeight="1">
      <c r="Q567" s="6"/>
    </row>
    <row r="568" ht="14.25" customHeight="1">
      <c r="Q568" s="6"/>
    </row>
    <row r="569" ht="14.25" customHeight="1">
      <c r="Q569" s="6"/>
    </row>
    <row r="570" ht="14.25" customHeight="1">
      <c r="Q570" s="6"/>
    </row>
    <row r="571" ht="14.25" customHeight="1">
      <c r="Q571" s="6"/>
    </row>
    <row r="572" ht="14.25" customHeight="1">
      <c r="Q572" s="6"/>
    </row>
    <row r="573" ht="14.25" customHeight="1">
      <c r="Q573" s="6"/>
    </row>
    <row r="574" ht="14.25" customHeight="1">
      <c r="Q574" s="6"/>
    </row>
    <row r="575" ht="14.25" customHeight="1">
      <c r="Q575" s="6"/>
    </row>
    <row r="576" ht="14.25" customHeight="1">
      <c r="Q576" s="6"/>
    </row>
    <row r="577" ht="14.25" customHeight="1">
      <c r="Q577" s="6"/>
    </row>
    <row r="578" ht="14.25" customHeight="1">
      <c r="Q578" s="6"/>
    </row>
    <row r="579" ht="14.25" customHeight="1">
      <c r="Q579" s="6"/>
    </row>
    <row r="580" ht="14.25" customHeight="1">
      <c r="Q580" s="6"/>
    </row>
    <row r="581" ht="14.25" customHeight="1">
      <c r="Q581" s="6"/>
    </row>
    <row r="582" ht="14.25" customHeight="1">
      <c r="Q582" s="6"/>
    </row>
    <row r="583" ht="14.25" customHeight="1">
      <c r="Q583" s="6"/>
    </row>
    <row r="584" ht="14.25" customHeight="1">
      <c r="Q584" s="6"/>
    </row>
    <row r="585" ht="14.25" customHeight="1">
      <c r="Q585" s="6"/>
    </row>
    <row r="586" ht="14.25" customHeight="1">
      <c r="Q586" s="6"/>
    </row>
    <row r="587" ht="14.25" customHeight="1">
      <c r="Q587" s="6"/>
    </row>
    <row r="588" ht="14.25" customHeight="1">
      <c r="Q588" s="6"/>
    </row>
    <row r="589" ht="14.25" customHeight="1">
      <c r="Q589" s="6"/>
    </row>
    <row r="590" ht="14.25" customHeight="1">
      <c r="Q590" s="6"/>
    </row>
    <row r="591" ht="14.25" customHeight="1">
      <c r="Q591" s="6"/>
    </row>
    <row r="592" ht="14.25" customHeight="1">
      <c r="Q592" s="6"/>
    </row>
    <row r="593" ht="14.25" customHeight="1">
      <c r="Q593" s="6"/>
    </row>
    <row r="594" ht="14.25" customHeight="1">
      <c r="Q594" s="6"/>
    </row>
    <row r="595" ht="14.25" customHeight="1">
      <c r="Q595" s="6"/>
    </row>
    <row r="596" ht="14.25" customHeight="1">
      <c r="Q596" s="6"/>
    </row>
    <row r="597" ht="14.25" customHeight="1">
      <c r="Q597" s="6"/>
    </row>
    <row r="598" ht="14.25" customHeight="1">
      <c r="Q598" s="6"/>
    </row>
    <row r="599" ht="14.25" customHeight="1">
      <c r="Q599" s="6"/>
    </row>
    <row r="600" ht="14.25" customHeight="1">
      <c r="Q600" s="6"/>
    </row>
    <row r="601" ht="14.25" customHeight="1">
      <c r="Q601" s="6"/>
    </row>
    <row r="602" ht="14.25" customHeight="1">
      <c r="Q602" s="6"/>
    </row>
    <row r="603" ht="14.25" customHeight="1">
      <c r="Q603" s="6"/>
    </row>
    <row r="604" ht="14.25" customHeight="1">
      <c r="Q604" s="6"/>
    </row>
    <row r="605" ht="14.25" customHeight="1">
      <c r="Q605" s="6"/>
    </row>
    <row r="606" ht="14.25" customHeight="1">
      <c r="Q606" s="6"/>
    </row>
    <row r="607" ht="14.25" customHeight="1">
      <c r="Q607" s="6"/>
    </row>
    <row r="608" ht="14.25" customHeight="1">
      <c r="Q608" s="6"/>
    </row>
    <row r="609" ht="14.25" customHeight="1">
      <c r="Q609" s="6"/>
    </row>
    <row r="610" ht="14.25" customHeight="1">
      <c r="Q610" s="6"/>
    </row>
    <row r="611" ht="14.25" customHeight="1">
      <c r="Q611" s="6"/>
    </row>
    <row r="612" ht="14.25" customHeight="1">
      <c r="Q612" s="6"/>
    </row>
    <row r="613" ht="14.25" customHeight="1">
      <c r="Q613" s="6"/>
    </row>
    <row r="614" ht="14.25" customHeight="1">
      <c r="Q614" s="6"/>
    </row>
    <row r="615" ht="14.25" customHeight="1">
      <c r="Q615" s="6"/>
    </row>
    <row r="616" ht="14.25" customHeight="1">
      <c r="Q616" s="6"/>
    </row>
    <row r="617" ht="14.25" customHeight="1">
      <c r="Q617" s="6"/>
    </row>
    <row r="618" ht="14.25" customHeight="1">
      <c r="Q618" s="6"/>
    </row>
    <row r="619" ht="14.25" customHeight="1">
      <c r="Q619" s="6"/>
    </row>
    <row r="620" ht="14.25" customHeight="1">
      <c r="Q620" s="6"/>
    </row>
    <row r="621" ht="14.25" customHeight="1">
      <c r="Q621" s="6"/>
    </row>
    <row r="622" ht="14.25" customHeight="1">
      <c r="Q622" s="6"/>
    </row>
    <row r="623" ht="14.25" customHeight="1">
      <c r="Q623" s="6"/>
    </row>
    <row r="624" ht="14.25" customHeight="1">
      <c r="Q624" s="6"/>
    </row>
    <row r="625" ht="14.25" customHeight="1">
      <c r="Q625" s="6"/>
    </row>
    <row r="626" ht="14.25" customHeight="1">
      <c r="Q626" s="6"/>
    </row>
    <row r="627" ht="14.25" customHeight="1">
      <c r="Q627" s="6"/>
    </row>
    <row r="628" ht="14.25" customHeight="1">
      <c r="Q628" s="6"/>
    </row>
    <row r="629" ht="14.25" customHeight="1">
      <c r="Q629" s="6"/>
    </row>
    <row r="630" ht="14.25" customHeight="1">
      <c r="Q630" s="6"/>
    </row>
    <row r="631" ht="14.25" customHeight="1">
      <c r="Q631" s="6"/>
    </row>
    <row r="632" ht="14.25" customHeight="1">
      <c r="Q632" s="6"/>
    </row>
    <row r="633" ht="14.25" customHeight="1">
      <c r="Q633" s="6"/>
    </row>
    <row r="634" ht="14.25" customHeight="1">
      <c r="Q634" s="6"/>
    </row>
    <row r="635" ht="14.25" customHeight="1">
      <c r="Q635" s="6"/>
    </row>
    <row r="636" ht="14.25" customHeight="1">
      <c r="Q636" s="6"/>
    </row>
    <row r="637" ht="14.25" customHeight="1">
      <c r="Q637" s="6"/>
    </row>
    <row r="638" ht="14.25" customHeight="1">
      <c r="Q638" s="6"/>
    </row>
    <row r="639" ht="14.25" customHeight="1">
      <c r="Q639" s="6"/>
    </row>
    <row r="640" ht="14.25" customHeight="1">
      <c r="Q640" s="6"/>
    </row>
    <row r="641" ht="14.25" customHeight="1">
      <c r="Q641" s="6"/>
    </row>
    <row r="642" ht="14.25" customHeight="1">
      <c r="Q642" s="6"/>
    </row>
    <row r="643" ht="14.25" customHeight="1">
      <c r="Q643" s="6"/>
    </row>
    <row r="644" ht="14.25" customHeight="1">
      <c r="Q644" s="6"/>
    </row>
    <row r="645" ht="14.25" customHeight="1">
      <c r="Q645" s="6"/>
    </row>
    <row r="646" ht="14.25" customHeight="1">
      <c r="Q646" s="6"/>
    </row>
    <row r="647" ht="14.25" customHeight="1">
      <c r="Q647" s="6"/>
    </row>
    <row r="648" ht="14.25" customHeight="1">
      <c r="Q648" s="6"/>
    </row>
    <row r="649" ht="14.25" customHeight="1">
      <c r="Q649" s="6"/>
    </row>
    <row r="650" ht="14.25" customHeight="1">
      <c r="Q650" s="6"/>
    </row>
    <row r="651" ht="14.25" customHeight="1">
      <c r="Q651" s="6"/>
    </row>
    <row r="652" ht="14.25" customHeight="1">
      <c r="Q652" s="6"/>
    </row>
    <row r="653" ht="14.25" customHeight="1">
      <c r="Q653" s="6"/>
    </row>
    <row r="654" ht="14.25" customHeight="1">
      <c r="Q654" s="6"/>
    </row>
    <row r="655" ht="14.25" customHeight="1">
      <c r="Q655" s="6"/>
    </row>
    <row r="656" ht="14.25" customHeight="1">
      <c r="Q656" s="6"/>
    </row>
    <row r="657" ht="14.25" customHeight="1">
      <c r="Q657" s="6"/>
    </row>
    <row r="658" ht="14.25" customHeight="1">
      <c r="Q658" s="6"/>
    </row>
    <row r="659" ht="14.25" customHeight="1">
      <c r="Q659" s="6"/>
    </row>
    <row r="660" ht="14.25" customHeight="1">
      <c r="Q660" s="6"/>
    </row>
    <row r="661" ht="14.25" customHeight="1">
      <c r="Q661" s="6"/>
    </row>
    <row r="662" ht="14.25" customHeight="1">
      <c r="Q662" s="6"/>
    </row>
    <row r="663" ht="14.25" customHeight="1">
      <c r="Q663" s="6"/>
    </row>
    <row r="664" ht="14.25" customHeight="1">
      <c r="Q664" s="6"/>
    </row>
    <row r="665" ht="14.25" customHeight="1">
      <c r="Q665" s="6"/>
    </row>
    <row r="666" ht="14.25" customHeight="1">
      <c r="Q666" s="6"/>
    </row>
    <row r="667" ht="14.25" customHeight="1">
      <c r="Q667" s="6"/>
    </row>
    <row r="668" ht="14.25" customHeight="1">
      <c r="Q668" s="6"/>
    </row>
    <row r="669" ht="14.25" customHeight="1">
      <c r="Q669" s="6"/>
    </row>
    <row r="670" ht="14.25" customHeight="1">
      <c r="Q670" s="6"/>
    </row>
    <row r="671" ht="14.25" customHeight="1">
      <c r="Q671" s="6"/>
    </row>
    <row r="672" ht="14.25" customHeight="1">
      <c r="Q672" s="6"/>
    </row>
    <row r="673" ht="14.25" customHeight="1">
      <c r="Q673" s="6"/>
    </row>
    <row r="674" ht="14.25" customHeight="1">
      <c r="Q674" s="6"/>
    </row>
    <row r="675" ht="14.25" customHeight="1">
      <c r="Q675" s="6"/>
    </row>
    <row r="676" ht="14.25" customHeight="1">
      <c r="Q676" s="6"/>
    </row>
    <row r="677" ht="14.25" customHeight="1">
      <c r="Q677" s="6"/>
    </row>
    <row r="678" ht="14.25" customHeight="1">
      <c r="Q678" s="6"/>
    </row>
    <row r="679" ht="14.25" customHeight="1">
      <c r="Q679" s="6"/>
    </row>
    <row r="680" ht="14.25" customHeight="1">
      <c r="Q680" s="6"/>
    </row>
    <row r="681" ht="14.25" customHeight="1">
      <c r="Q681" s="6"/>
    </row>
    <row r="682" ht="14.25" customHeight="1">
      <c r="Q682" s="6"/>
    </row>
    <row r="683" ht="14.25" customHeight="1">
      <c r="Q683" s="6"/>
    </row>
    <row r="684" ht="14.25" customHeight="1">
      <c r="Q684" s="6"/>
    </row>
    <row r="685" ht="14.25" customHeight="1">
      <c r="Q685" s="6"/>
    </row>
    <row r="686" ht="14.25" customHeight="1">
      <c r="Q686" s="6"/>
    </row>
    <row r="687" ht="14.25" customHeight="1">
      <c r="Q687" s="6"/>
    </row>
    <row r="688" ht="14.25" customHeight="1">
      <c r="Q688" s="6"/>
    </row>
    <row r="689" ht="14.25" customHeight="1">
      <c r="Q689" s="6"/>
    </row>
    <row r="690" ht="14.25" customHeight="1">
      <c r="Q690" s="6"/>
    </row>
    <row r="691" ht="14.25" customHeight="1">
      <c r="Q691" s="6"/>
    </row>
    <row r="692" ht="14.25" customHeight="1">
      <c r="Q692" s="6"/>
    </row>
    <row r="693" ht="14.25" customHeight="1">
      <c r="Q693" s="6"/>
    </row>
    <row r="694" ht="14.25" customHeight="1">
      <c r="Q694" s="6"/>
    </row>
    <row r="695" ht="14.25" customHeight="1">
      <c r="Q695" s="6"/>
    </row>
    <row r="696" ht="14.25" customHeight="1">
      <c r="Q696" s="6"/>
    </row>
    <row r="697" ht="14.25" customHeight="1">
      <c r="Q697" s="6"/>
    </row>
    <row r="698" ht="14.25" customHeight="1">
      <c r="Q698" s="6"/>
    </row>
    <row r="699" ht="14.25" customHeight="1">
      <c r="Q699" s="6"/>
    </row>
    <row r="700" ht="14.25" customHeight="1">
      <c r="Q700" s="6"/>
    </row>
    <row r="701" ht="14.25" customHeight="1">
      <c r="Q701" s="6"/>
    </row>
    <row r="702" ht="14.25" customHeight="1">
      <c r="Q702" s="6"/>
    </row>
    <row r="703" ht="14.25" customHeight="1">
      <c r="Q703" s="6"/>
    </row>
    <row r="704" ht="14.25" customHeight="1">
      <c r="Q704" s="6"/>
    </row>
    <row r="705" ht="14.25" customHeight="1">
      <c r="Q705" s="6"/>
    </row>
    <row r="706" ht="14.25" customHeight="1">
      <c r="Q706" s="6"/>
    </row>
    <row r="707" ht="14.25" customHeight="1">
      <c r="Q707" s="6"/>
    </row>
    <row r="708" ht="14.25" customHeight="1">
      <c r="Q708" s="6"/>
    </row>
    <row r="709" ht="14.25" customHeight="1">
      <c r="Q709" s="6"/>
    </row>
    <row r="710" ht="14.25" customHeight="1">
      <c r="Q710" s="6"/>
    </row>
    <row r="711" ht="14.25" customHeight="1">
      <c r="Q711" s="6"/>
    </row>
    <row r="712" ht="14.25" customHeight="1">
      <c r="Q712" s="6"/>
    </row>
    <row r="713" ht="14.25" customHeight="1">
      <c r="Q713" s="6"/>
    </row>
    <row r="714" ht="14.25" customHeight="1">
      <c r="Q714" s="6"/>
    </row>
    <row r="715" ht="14.25" customHeight="1">
      <c r="Q715" s="6"/>
    </row>
    <row r="716" ht="14.25" customHeight="1">
      <c r="Q716" s="6"/>
    </row>
    <row r="717" ht="14.25" customHeight="1">
      <c r="Q717" s="6"/>
    </row>
    <row r="718" ht="14.25" customHeight="1">
      <c r="Q718" s="6"/>
    </row>
    <row r="719" ht="14.25" customHeight="1">
      <c r="Q719" s="6"/>
    </row>
    <row r="720" ht="14.25" customHeight="1">
      <c r="Q720" s="6"/>
    </row>
    <row r="721" ht="14.25" customHeight="1">
      <c r="Q721" s="6"/>
    </row>
    <row r="722" ht="14.25" customHeight="1">
      <c r="Q722" s="6"/>
    </row>
    <row r="723" ht="14.25" customHeight="1">
      <c r="Q723" s="6"/>
    </row>
    <row r="724" ht="14.25" customHeight="1">
      <c r="Q724" s="6"/>
    </row>
    <row r="725" ht="14.25" customHeight="1">
      <c r="Q725" s="6"/>
    </row>
    <row r="726" ht="14.25" customHeight="1">
      <c r="Q726" s="6"/>
    </row>
    <row r="727" ht="14.25" customHeight="1">
      <c r="Q727" s="6"/>
    </row>
    <row r="728" ht="14.25" customHeight="1">
      <c r="Q728" s="6"/>
    </row>
    <row r="729" ht="14.25" customHeight="1">
      <c r="Q729" s="6"/>
    </row>
    <row r="730" ht="14.25" customHeight="1">
      <c r="Q730" s="6"/>
    </row>
    <row r="731" ht="14.25" customHeight="1">
      <c r="Q731" s="6"/>
    </row>
    <row r="732" ht="14.25" customHeight="1">
      <c r="Q732" s="6"/>
    </row>
    <row r="733" ht="14.25" customHeight="1">
      <c r="Q733" s="6"/>
    </row>
    <row r="734" ht="14.25" customHeight="1">
      <c r="Q734" s="6"/>
    </row>
    <row r="735" ht="14.25" customHeight="1">
      <c r="Q735" s="6"/>
    </row>
    <row r="736" ht="14.25" customHeight="1">
      <c r="Q736" s="6"/>
    </row>
    <row r="737" ht="14.25" customHeight="1">
      <c r="Q737" s="6"/>
    </row>
    <row r="738" ht="14.25" customHeight="1">
      <c r="Q738" s="6"/>
    </row>
    <row r="739" ht="14.25" customHeight="1">
      <c r="Q739" s="6"/>
    </row>
    <row r="740" ht="14.25" customHeight="1">
      <c r="Q740" s="6"/>
    </row>
    <row r="741" ht="14.25" customHeight="1">
      <c r="Q741" s="6"/>
    </row>
    <row r="742" ht="14.25" customHeight="1">
      <c r="Q742" s="6"/>
    </row>
    <row r="743" ht="14.25" customHeight="1">
      <c r="Q743" s="6"/>
    </row>
    <row r="744" ht="14.25" customHeight="1">
      <c r="Q744" s="6"/>
    </row>
    <row r="745" ht="14.25" customHeight="1">
      <c r="Q745" s="6"/>
    </row>
    <row r="746" ht="14.25" customHeight="1">
      <c r="Q746" s="6"/>
    </row>
    <row r="747" ht="14.25" customHeight="1">
      <c r="Q747" s="6"/>
    </row>
    <row r="748" ht="14.25" customHeight="1">
      <c r="Q748" s="6"/>
    </row>
    <row r="749" ht="14.25" customHeight="1">
      <c r="Q749" s="6"/>
    </row>
    <row r="750" ht="14.25" customHeight="1">
      <c r="Q750" s="6"/>
    </row>
    <row r="751" ht="14.25" customHeight="1">
      <c r="Q751" s="6"/>
    </row>
    <row r="752" ht="14.25" customHeight="1">
      <c r="Q752" s="6"/>
    </row>
    <row r="753" ht="14.25" customHeight="1">
      <c r="Q753" s="6"/>
    </row>
    <row r="754" ht="14.25" customHeight="1">
      <c r="Q754" s="6"/>
    </row>
    <row r="755" ht="14.25" customHeight="1">
      <c r="Q755" s="6"/>
    </row>
    <row r="756" ht="14.25" customHeight="1">
      <c r="Q756" s="6"/>
    </row>
    <row r="757" ht="14.25" customHeight="1">
      <c r="Q757" s="6"/>
    </row>
    <row r="758" ht="14.25" customHeight="1">
      <c r="Q758" s="6"/>
    </row>
    <row r="759" ht="14.25" customHeight="1">
      <c r="Q759" s="6"/>
    </row>
    <row r="760" ht="14.25" customHeight="1">
      <c r="Q760" s="6"/>
    </row>
    <row r="761" ht="14.25" customHeight="1">
      <c r="Q761" s="6"/>
    </row>
    <row r="762" ht="14.25" customHeight="1">
      <c r="Q762" s="6"/>
    </row>
    <row r="763" ht="14.25" customHeight="1">
      <c r="Q763" s="6"/>
    </row>
    <row r="764" ht="14.25" customHeight="1">
      <c r="Q764" s="6"/>
    </row>
    <row r="765" ht="14.25" customHeight="1">
      <c r="Q765" s="6"/>
    </row>
    <row r="766" ht="14.25" customHeight="1">
      <c r="Q766" s="6"/>
    </row>
    <row r="767" ht="14.25" customHeight="1">
      <c r="Q767" s="6"/>
    </row>
    <row r="768" ht="14.25" customHeight="1">
      <c r="Q768" s="6"/>
    </row>
    <row r="769" ht="14.25" customHeight="1">
      <c r="Q769" s="6"/>
    </row>
    <row r="770" ht="14.25" customHeight="1">
      <c r="Q770" s="6"/>
    </row>
    <row r="771" ht="14.25" customHeight="1">
      <c r="Q771" s="6"/>
    </row>
    <row r="772" ht="14.25" customHeight="1">
      <c r="Q772" s="6"/>
    </row>
    <row r="773" ht="14.25" customHeight="1">
      <c r="Q773" s="6"/>
    </row>
    <row r="774" ht="14.25" customHeight="1">
      <c r="Q774" s="6"/>
    </row>
    <row r="775" ht="14.25" customHeight="1">
      <c r="Q775" s="6"/>
    </row>
    <row r="776" ht="14.25" customHeight="1">
      <c r="Q776" s="6"/>
    </row>
    <row r="777" ht="14.25" customHeight="1">
      <c r="Q777" s="6"/>
    </row>
    <row r="778" ht="14.25" customHeight="1">
      <c r="Q778" s="6"/>
    </row>
    <row r="779" ht="14.25" customHeight="1">
      <c r="Q779" s="6"/>
    </row>
    <row r="780" ht="14.25" customHeight="1">
      <c r="Q780" s="6"/>
    </row>
    <row r="781" ht="14.25" customHeight="1">
      <c r="Q781" s="6"/>
    </row>
    <row r="782" ht="14.25" customHeight="1">
      <c r="Q782" s="6"/>
    </row>
    <row r="783" ht="14.25" customHeight="1">
      <c r="Q783" s="6"/>
    </row>
    <row r="784" ht="14.25" customHeight="1">
      <c r="Q784" s="6"/>
    </row>
    <row r="785" ht="14.25" customHeight="1">
      <c r="Q785" s="6"/>
    </row>
    <row r="786" ht="14.25" customHeight="1">
      <c r="Q786" s="6"/>
    </row>
    <row r="787" ht="14.25" customHeight="1">
      <c r="Q787" s="6"/>
    </row>
    <row r="788" ht="14.25" customHeight="1">
      <c r="Q788" s="6"/>
    </row>
    <row r="789" ht="14.25" customHeight="1">
      <c r="Q789" s="6"/>
    </row>
    <row r="790" ht="14.25" customHeight="1">
      <c r="Q790" s="6"/>
    </row>
    <row r="791" ht="14.25" customHeight="1">
      <c r="Q791" s="6"/>
    </row>
    <row r="792" ht="14.25" customHeight="1">
      <c r="Q792" s="6"/>
    </row>
    <row r="793" ht="14.25" customHeight="1">
      <c r="Q793" s="6"/>
    </row>
    <row r="794" ht="14.25" customHeight="1">
      <c r="Q794" s="6"/>
    </row>
    <row r="795" ht="14.25" customHeight="1">
      <c r="Q795" s="6"/>
    </row>
    <row r="796" ht="14.25" customHeight="1">
      <c r="Q796" s="6"/>
    </row>
    <row r="797" ht="14.25" customHeight="1">
      <c r="Q797" s="6"/>
    </row>
    <row r="798" ht="14.25" customHeight="1">
      <c r="Q798" s="6"/>
    </row>
    <row r="799" ht="14.25" customHeight="1">
      <c r="Q799" s="6"/>
    </row>
    <row r="800" ht="14.25" customHeight="1">
      <c r="Q800" s="6"/>
    </row>
    <row r="801" ht="14.25" customHeight="1">
      <c r="Q801" s="6"/>
    </row>
    <row r="802" ht="14.25" customHeight="1">
      <c r="Q802" s="6"/>
    </row>
    <row r="803" ht="14.25" customHeight="1">
      <c r="Q803" s="6"/>
    </row>
    <row r="804" ht="14.25" customHeight="1">
      <c r="Q804" s="6"/>
    </row>
    <row r="805" ht="14.25" customHeight="1">
      <c r="Q805" s="6"/>
    </row>
    <row r="806" ht="14.25" customHeight="1">
      <c r="Q806" s="6"/>
    </row>
    <row r="807" ht="14.25" customHeight="1">
      <c r="Q807" s="6"/>
    </row>
    <row r="808" ht="14.25" customHeight="1">
      <c r="Q808" s="6"/>
    </row>
    <row r="809" ht="14.25" customHeight="1">
      <c r="Q809" s="6"/>
    </row>
    <row r="810" ht="14.25" customHeight="1">
      <c r="Q810" s="6"/>
    </row>
    <row r="811" ht="14.25" customHeight="1">
      <c r="Q811" s="6"/>
    </row>
    <row r="812" ht="14.25" customHeight="1">
      <c r="Q812" s="6"/>
    </row>
    <row r="813" ht="14.25" customHeight="1">
      <c r="Q813" s="6"/>
    </row>
    <row r="814" ht="14.25" customHeight="1">
      <c r="Q814" s="6"/>
    </row>
    <row r="815" ht="14.25" customHeight="1">
      <c r="Q815" s="6"/>
    </row>
    <row r="816" ht="14.25" customHeight="1">
      <c r="Q816" s="6"/>
    </row>
    <row r="817" ht="14.25" customHeight="1">
      <c r="Q817" s="6"/>
    </row>
    <row r="818" ht="14.25" customHeight="1">
      <c r="Q818" s="6"/>
    </row>
    <row r="819" ht="14.25" customHeight="1">
      <c r="Q819" s="6"/>
    </row>
    <row r="820" ht="14.25" customHeight="1">
      <c r="Q820" s="6"/>
    </row>
    <row r="821" ht="14.25" customHeight="1">
      <c r="Q821" s="6"/>
    </row>
    <row r="822" ht="14.25" customHeight="1">
      <c r="Q822" s="6"/>
    </row>
    <row r="823" ht="14.25" customHeight="1">
      <c r="Q823" s="6"/>
    </row>
    <row r="824" ht="14.25" customHeight="1">
      <c r="Q824" s="6"/>
    </row>
    <row r="825" ht="14.25" customHeight="1">
      <c r="Q825" s="6"/>
    </row>
    <row r="826" ht="14.25" customHeight="1">
      <c r="Q826" s="6"/>
    </row>
    <row r="827" ht="14.25" customHeight="1">
      <c r="Q827" s="6"/>
    </row>
    <row r="828" ht="14.25" customHeight="1">
      <c r="Q828" s="6"/>
    </row>
    <row r="829" ht="14.25" customHeight="1">
      <c r="Q829" s="6"/>
    </row>
    <row r="830" ht="14.25" customHeight="1">
      <c r="Q830" s="6"/>
    </row>
    <row r="831" ht="14.25" customHeight="1">
      <c r="Q831" s="6"/>
    </row>
    <row r="832" ht="14.25" customHeight="1">
      <c r="Q832" s="6"/>
    </row>
    <row r="833" ht="14.25" customHeight="1">
      <c r="Q833" s="6"/>
    </row>
    <row r="834" ht="14.25" customHeight="1">
      <c r="Q834" s="6"/>
    </row>
    <row r="835" ht="14.25" customHeight="1">
      <c r="Q835" s="6"/>
    </row>
    <row r="836" ht="14.25" customHeight="1">
      <c r="Q836" s="6"/>
    </row>
    <row r="837" ht="14.25" customHeight="1">
      <c r="Q837" s="6"/>
    </row>
    <row r="838" ht="14.25" customHeight="1">
      <c r="Q838" s="6"/>
    </row>
    <row r="839" ht="14.25" customHeight="1">
      <c r="Q839" s="6"/>
    </row>
    <row r="840" ht="14.25" customHeight="1">
      <c r="Q840" s="6"/>
    </row>
    <row r="841" ht="14.25" customHeight="1">
      <c r="Q841" s="6"/>
    </row>
    <row r="842" ht="14.25" customHeight="1">
      <c r="Q842" s="6"/>
    </row>
    <row r="843" ht="14.25" customHeight="1">
      <c r="Q843" s="6"/>
    </row>
    <row r="844" ht="14.25" customHeight="1">
      <c r="Q844" s="6"/>
    </row>
    <row r="845" ht="14.25" customHeight="1">
      <c r="Q845" s="6"/>
    </row>
    <row r="846" ht="14.25" customHeight="1">
      <c r="Q846" s="6"/>
    </row>
    <row r="847" ht="14.25" customHeight="1">
      <c r="Q847" s="6"/>
    </row>
    <row r="848" ht="14.25" customHeight="1">
      <c r="Q848" s="6"/>
    </row>
    <row r="849" ht="14.25" customHeight="1">
      <c r="Q849" s="6"/>
    </row>
    <row r="850" ht="14.25" customHeight="1">
      <c r="Q850" s="6"/>
    </row>
    <row r="851" ht="14.25" customHeight="1">
      <c r="Q851" s="6"/>
    </row>
    <row r="852" ht="14.25" customHeight="1">
      <c r="Q852" s="6"/>
    </row>
    <row r="853" ht="14.25" customHeight="1">
      <c r="Q853" s="6"/>
    </row>
    <row r="854" ht="14.25" customHeight="1">
      <c r="Q854" s="6"/>
    </row>
    <row r="855" ht="14.25" customHeight="1">
      <c r="Q855" s="6"/>
    </row>
    <row r="856" ht="14.25" customHeight="1">
      <c r="Q856" s="6"/>
    </row>
    <row r="857" ht="14.25" customHeight="1">
      <c r="Q857" s="6"/>
    </row>
    <row r="858" ht="14.25" customHeight="1">
      <c r="Q858" s="6"/>
    </row>
    <row r="859" ht="14.25" customHeight="1">
      <c r="Q859" s="6"/>
    </row>
    <row r="860" ht="14.25" customHeight="1">
      <c r="Q860" s="6"/>
    </row>
    <row r="861" ht="14.25" customHeight="1">
      <c r="Q861" s="6"/>
    </row>
    <row r="862" ht="14.25" customHeight="1">
      <c r="Q862" s="6"/>
    </row>
    <row r="863" ht="14.25" customHeight="1">
      <c r="Q863" s="6"/>
    </row>
    <row r="864" ht="14.25" customHeight="1">
      <c r="Q864" s="6"/>
    </row>
    <row r="865" ht="14.25" customHeight="1">
      <c r="Q865" s="6"/>
    </row>
    <row r="866" ht="14.25" customHeight="1">
      <c r="Q866" s="6"/>
    </row>
    <row r="867" ht="14.25" customHeight="1">
      <c r="Q867" s="6"/>
    </row>
    <row r="868" ht="14.25" customHeight="1">
      <c r="Q868" s="6"/>
    </row>
    <row r="869" ht="14.25" customHeight="1">
      <c r="Q869" s="6"/>
    </row>
    <row r="870" ht="14.25" customHeight="1">
      <c r="Q870" s="6"/>
    </row>
    <row r="871" ht="14.25" customHeight="1">
      <c r="Q871" s="6"/>
    </row>
    <row r="872" ht="14.25" customHeight="1">
      <c r="Q872" s="6"/>
    </row>
    <row r="873" ht="14.25" customHeight="1">
      <c r="Q873" s="6"/>
    </row>
    <row r="874" ht="14.25" customHeight="1">
      <c r="Q874" s="6"/>
    </row>
    <row r="875" ht="14.25" customHeight="1">
      <c r="Q875" s="6"/>
    </row>
    <row r="876" ht="14.25" customHeight="1">
      <c r="Q876" s="6"/>
    </row>
    <row r="877" ht="14.25" customHeight="1">
      <c r="Q877" s="6"/>
    </row>
    <row r="878" ht="14.25" customHeight="1">
      <c r="Q878" s="6"/>
    </row>
    <row r="879" ht="14.25" customHeight="1">
      <c r="Q879" s="6"/>
    </row>
    <row r="880" ht="14.25" customHeight="1">
      <c r="Q880" s="6"/>
    </row>
    <row r="881" ht="14.25" customHeight="1">
      <c r="Q881" s="6"/>
    </row>
    <row r="882" ht="14.25" customHeight="1">
      <c r="Q882" s="6"/>
    </row>
    <row r="883" ht="14.25" customHeight="1">
      <c r="Q883" s="6"/>
    </row>
    <row r="884" ht="14.25" customHeight="1">
      <c r="Q884" s="6"/>
    </row>
    <row r="885" ht="14.25" customHeight="1">
      <c r="Q885" s="6"/>
    </row>
    <row r="886" ht="14.25" customHeight="1">
      <c r="Q886" s="6"/>
    </row>
    <row r="887" ht="14.25" customHeight="1">
      <c r="Q887" s="6"/>
    </row>
    <row r="888" ht="14.25" customHeight="1">
      <c r="Q888" s="6"/>
    </row>
    <row r="889" ht="14.25" customHeight="1">
      <c r="Q889" s="6"/>
    </row>
    <row r="890" ht="14.25" customHeight="1">
      <c r="Q890" s="6"/>
    </row>
    <row r="891" ht="14.25" customHeight="1">
      <c r="Q891" s="6"/>
    </row>
    <row r="892" ht="14.25" customHeight="1">
      <c r="Q892" s="6"/>
    </row>
    <row r="893" ht="14.25" customHeight="1">
      <c r="Q893" s="6"/>
    </row>
    <row r="894" ht="14.25" customHeight="1">
      <c r="Q894" s="6"/>
    </row>
    <row r="895" ht="14.25" customHeight="1">
      <c r="Q895" s="6"/>
    </row>
    <row r="896" ht="14.25" customHeight="1">
      <c r="Q896" s="6"/>
    </row>
    <row r="897" ht="14.25" customHeight="1">
      <c r="Q897" s="6"/>
    </row>
    <row r="898" ht="14.25" customHeight="1">
      <c r="Q898" s="6"/>
    </row>
    <row r="899" ht="14.25" customHeight="1">
      <c r="Q899" s="6"/>
    </row>
    <row r="900" ht="14.25" customHeight="1">
      <c r="Q900" s="6"/>
    </row>
    <row r="901" ht="14.25" customHeight="1">
      <c r="Q901" s="6"/>
    </row>
    <row r="902" ht="14.25" customHeight="1">
      <c r="Q902" s="6"/>
    </row>
    <row r="903" ht="14.25" customHeight="1">
      <c r="Q903" s="6"/>
    </row>
    <row r="904" ht="14.25" customHeight="1">
      <c r="Q904" s="6"/>
    </row>
    <row r="905" ht="14.25" customHeight="1">
      <c r="Q905" s="6"/>
    </row>
    <row r="906" ht="14.25" customHeight="1">
      <c r="Q906" s="6"/>
    </row>
    <row r="907" ht="14.25" customHeight="1">
      <c r="Q907" s="6"/>
    </row>
    <row r="908" ht="14.25" customHeight="1">
      <c r="Q908" s="6"/>
    </row>
    <row r="909" ht="14.25" customHeight="1">
      <c r="Q909" s="6"/>
    </row>
    <row r="910" ht="14.25" customHeight="1">
      <c r="Q910" s="6"/>
    </row>
    <row r="911" ht="14.25" customHeight="1">
      <c r="Q911" s="6"/>
    </row>
    <row r="912" ht="14.25" customHeight="1">
      <c r="Q912" s="6"/>
    </row>
    <row r="913" ht="14.25" customHeight="1">
      <c r="Q913" s="6"/>
    </row>
    <row r="914" ht="14.25" customHeight="1">
      <c r="Q914" s="6"/>
    </row>
    <row r="915" ht="14.25" customHeight="1">
      <c r="Q915" s="6"/>
    </row>
    <row r="916" ht="14.25" customHeight="1">
      <c r="Q916" s="6"/>
    </row>
    <row r="917" ht="14.25" customHeight="1">
      <c r="Q917" s="6"/>
    </row>
    <row r="918" ht="14.25" customHeight="1">
      <c r="Q918" s="6"/>
    </row>
    <row r="919" ht="14.25" customHeight="1">
      <c r="Q919" s="6"/>
    </row>
    <row r="920" ht="14.25" customHeight="1">
      <c r="Q920" s="6"/>
    </row>
    <row r="921" ht="14.25" customHeight="1">
      <c r="Q921" s="6"/>
    </row>
    <row r="922" ht="14.25" customHeight="1">
      <c r="Q922" s="6"/>
    </row>
    <row r="923" ht="14.25" customHeight="1">
      <c r="Q923" s="6"/>
    </row>
    <row r="924" ht="14.25" customHeight="1">
      <c r="Q924" s="6"/>
    </row>
    <row r="925" ht="14.25" customHeight="1">
      <c r="Q925" s="6"/>
    </row>
    <row r="926" ht="14.25" customHeight="1">
      <c r="Q926" s="6"/>
    </row>
    <row r="927" ht="14.25" customHeight="1">
      <c r="Q927" s="6"/>
    </row>
    <row r="928" ht="14.25" customHeight="1">
      <c r="Q928" s="6"/>
    </row>
    <row r="929" ht="14.25" customHeight="1">
      <c r="Q929" s="6"/>
    </row>
    <row r="930" ht="14.25" customHeight="1">
      <c r="Q930" s="6"/>
    </row>
    <row r="931" ht="14.25" customHeight="1">
      <c r="Q931" s="6"/>
    </row>
    <row r="932" ht="14.25" customHeight="1">
      <c r="Q932" s="6"/>
    </row>
    <row r="933" ht="14.25" customHeight="1">
      <c r="Q933" s="6"/>
    </row>
    <row r="934" ht="14.25" customHeight="1">
      <c r="Q934" s="6"/>
    </row>
    <row r="935" ht="14.25" customHeight="1">
      <c r="Q935" s="6"/>
    </row>
    <row r="936" ht="14.25" customHeight="1">
      <c r="Q936" s="6"/>
    </row>
    <row r="937" ht="14.25" customHeight="1">
      <c r="Q937" s="6"/>
    </row>
    <row r="938" ht="14.25" customHeight="1">
      <c r="Q938" s="6"/>
    </row>
    <row r="939" ht="14.25" customHeight="1">
      <c r="Q939" s="6"/>
    </row>
    <row r="940" ht="14.25" customHeight="1">
      <c r="Q940" s="6"/>
    </row>
    <row r="941" ht="14.25" customHeight="1">
      <c r="Q941" s="6"/>
    </row>
    <row r="942" ht="14.25" customHeight="1">
      <c r="Q942" s="6"/>
    </row>
    <row r="943" ht="14.25" customHeight="1">
      <c r="Q943" s="6"/>
    </row>
    <row r="944" ht="14.25" customHeight="1">
      <c r="Q944" s="6"/>
    </row>
    <row r="945" ht="14.25" customHeight="1">
      <c r="Q945" s="6"/>
    </row>
    <row r="946" ht="14.25" customHeight="1">
      <c r="Q946" s="6"/>
    </row>
    <row r="947" ht="14.25" customHeight="1">
      <c r="Q947" s="6"/>
    </row>
    <row r="948" ht="14.25" customHeight="1">
      <c r="Q948" s="6"/>
    </row>
    <row r="949" ht="14.25" customHeight="1">
      <c r="Q949" s="6"/>
    </row>
    <row r="950" ht="14.25" customHeight="1">
      <c r="Q950" s="6"/>
    </row>
    <row r="951" ht="14.25" customHeight="1">
      <c r="Q951" s="6"/>
    </row>
    <row r="952" ht="14.25" customHeight="1">
      <c r="Q952" s="6"/>
    </row>
    <row r="953" ht="14.25" customHeight="1">
      <c r="Q953" s="6"/>
    </row>
    <row r="954" ht="14.25" customHeight="1">
      <c r="Q954" s="6"/>
    </row>
    <row r="955" ht="14.25" customHeight="1">
      <c r="Q955" s="6"/>
    </row>
    <row r="956" ht="14.25" customHeight="1">
      <c r="Q956" s="6"/>
    </row>
    <row r="957" ht="14.25" customHeight="1">
      <c r="Q957" s="6"/>
    </row>
    <row r="958" ht="14.25" customHeight="1">
      <c r="Q958" s="6"/>
    </row>
    <row r="959" ht="14.25" customHeight="1">
      <c r="Q959" s="6"/>
    </row>
    <row r="960" ht="14.25" customHeight="1">
      <c r="Q960" s="6"/>
    </row>
    <row r="961" ht="14.25" customHeight="1">
      <c r="Q961" s="6"/>
    </row>
    <row r="962" ht="14.25" customHeight="1">
      <c r="Q962" s="6"/>
    </row>
    <row r="963" ht="14.25" customHeight="1">
      <c r="Q963" s="6"/>
    </row>
    <row r="964" ht="14.25" customHeight="1">
      <c r="Q964" s="6"/>
    </row>
    <row r="965" ht="14.25" customHeight="1">
      <c r="Q965" s="6"/>
    </row>
    <row r="966" ht="14.25" customHeight="1">
      <c r="Q966" s="6"/>
    </row>
    <row r="967" ht="14.25" customHeight="1">
      <c r="Q967" s="6"/>
    </row>
    <row r="968" ht="14.25" customHeight="1">
      <c r="Q968" s="6"/>
    </row>
    <row r="969" ht="14.25" customHeight="1">
      <c r="Q969" s="6"/>
    </row>
    <row r="970" ht="14.25" customHeight="1">
      <c r="Q970" s="6"/>
    </row>
    <row r="971" ht="14.25" customHeight="1">
      <c r="Q971" s="6"/>
    </row>
    <row r="972" ht="14.25" customHeight="1">
      <c r="Q972" s="6"/>
    </row>
    <row r="973" ht="14.25" customHeight="1">
      <c r="Q973" s="6"/>
    </row>
    <row r="974" ht="14.25" customHeight="1">
      <c r="Q974" s="6"/>
    </row>
    <row r="975" ht="14.25" customHeight="1">
      <c r="Q975" s="6"/>
    </row>
    <row r="976" ht="14.25" customHeight="1">
      <c r="Q976" s="6"/>
    </row>
    <row r="977" ht="14.25" customHeight="1">
      <c r="Q977" s="6"/>
    </row>
    <row r="978" ht="14.25" customHeight="1">
      <c r="Q978" s="6"/>
    </row>
    <row r="979" ht="14.25" customHeight="1">
      <c r="Q979" s="6"/>
    </row>
    <row r="980" ht="14.25" customHeight="1">
      <c r="Q980" s="6"/>
    </row>
    <row r="981" ht="14.25" customHeight="1">
      <c r="Q981" s="6"/>
    </row>
    <row r="982" ht="14.25" customHeight="1">
      <c r="Q982" s="6"/>
    </row>
    <row r="983" ht="14.25" customHeight="1">
      <c r="Q983" s="6"/>
    </row>
    <row r="984" ht="14.25" customHeight="1">
      <c r="Q984" s="6"/>
    </row>
    <row r="985" ht="14.25" customHeight="1">
      <c r="Q985" s="6"/>
    </row>
    <row r="986" ht="14.25" customHeight="1">
      <c r="Q986" s="6"/>
    </row>
    <row r="987" ht="14.25" customHeight="1">
      <c r="Q987" s="6"/>
    </row>
    <row r="988" ht="14.25" customHeight="1">
      <c r="Q988" s="6"/>
    </row>
    <row r="989" ht="14.25" customHeight="1">
      <c r="Q989" s="6"/>
    </row>
    <row r="990" ht="14.25" customHeight="1">
      <c r="Q990" s="6"/>
    </row>
    <row r="991" ht="14.25" customHeight="1">
      <c r="Q991" s="6"/>
    </row>
    <row r="992" ht="14.25" customHeight="1">
      <c r="Q992" s="6"/>
    </row>
    <row r="993" ht="14.25" customHeight="1">
      <c r="Q993" s="6"/>
    </row>
    <row r="994" ht="14.25" customHeight="1">
      <c r="Q994" s="6"/>
    </row>
    <row r="995" ht="14.25" customHeight="1">
      <c r="Q995" s="6"/>
    </row>
    <row r="996" ht="14.25" customHeight="1">
      <c r="Q996" s="6"/>
    </row>
    <row r="997" ht="14.25" customHeight="1">
      <c r="Q997" s="6"/>
    </row>
    <row r="998" ht="14.25" customHeight="1">
      <c r="Q998" s="6"/>
    </row>
    <row r="999" ht="14.25" customHeight="1">
      <c r="Q999" s="6"/>
    </row>
    <row r="1000" ht="14.25" customHeight="1">
      <c r="Q1000" s="6"/>
    </row>
  </sheetData>
  <autoFilter ref="$A$1:$AG$99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9.57"/>
    <col customWidth="1" min="8" max="8" width="11.71"/>
    <col customWidth="1" min="9" max="9" width="8.86"/>
    <col customWidth="1" min="10" max="10" width="10.14"/>
    <col customWidth="1" min="11" max="14" width="8.86"/>
    <col customWidth="1" min="15" max="15" width="22.14"/>
    <col customWidth="1" min="16" max="16" width="20.43"/>
    <col customWidth="1" min="17" max="17" width="21.57"/>
    <col customWidth="1" min="18" max="18" width="19.86"/>
    <col customWidth="1" min="19" max="19" width="22.29"/>
    <col customWidth="1" min="20" max="20" width="20.57"/>
    <col customWidth="1" min="21" max="21" width="21.71"/>
    <col customWidth="1" min="22" max="23" width="20.14"/>
    <col customWidth="1" min="24" max="24" width="18.57"/>
    <col customWidth="1" min="25" max="25" width="21.14"/>
    <col customWidth="1" min="26" max="26" width="19.57"/>
    <col customWidth="1" min="27" max="27" width="20.86"/>
    <col customWidth="1" min="28" max="28" width="19.29"/>
    <col customWidth="1" min="29" max="29" width="13.14"/>
  </cols>
  <sheetData>
    <row r="1" ht="14.25" customHeight="1">
      <c r="A1" s="5" t="s">
        <v>0</v>
      </c>
      <c r="B1" s="5" t="s">
        <v>1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6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29</v>
      </c>
      <c r="AC1" s="5" t="s">
        <v>30</v>
      </c>
    </row>
    <row r="2" ht="14.25" customHeight="1">
      <c r="A2" s="14">
        <v>27.0</v>
      </c>
      <c r="B2" s="15" t="s">
        <v>326</v>
      </c>
      <c r="C2" s="15" t="s">
        <v>134</v>
      </c>
      <c r="D2" s="15" t="s">
        <v>327</v>
      </c>
      <c r="E2" s="15" t="s">
        <v>328</v>
      </c>
      <c r="F2" s="15" t="s">
        <v>62</v>
      </c>
      <c r="G2" s="15">
        <v>0.0</v>
      </c>
      <c r="H2" s="15">
        <v>50.0</v>
      </c>
      <c r="I2" s="15">
        <v>0.0</v>
      </c>
      <c r="J2" s="15">
        <v>0.0</v>
      </c>
      <c r="K2" s="15">
        <v>0.0</v>
      </c>
      <c r="L2" s="15">
        <v>10.0</v>
      </c>
      <c r="M2" s="15" t="s">
        <v>76</v>
      </c>
      <c r="N2" s="15">
        <v>1.0</v>
      </c>
      <c r="O2" s="15" t="s">
        <v>371</v>
      </c>
      <c r="P2" s="15" t="s">
        <v>371</v>
      </c>
      <c r="Q2" s="15">
        <v>0.0</v>
      </c>
      <c r="R2" s="15">
        <v>0.0</v>
      </c>
      <c r="S2" s="15">
        <v>0.0</v>
      </c>
      <c r="T2" s="16">
        <v>0.0</v>
      </c>
      <c r="U2" s="16">
        <v>0.0</v>
      </c>
      <c r="V2" s="16">
        <v>0.0</v>
      </c>
      <c r="W2" s="5" t="s">
        <v>371</v>
      </c>
      <c r="X2" s="5" t="s">
        <v>371</v>
      </c>
      <c r="Y2" s="17">
        <v>0.0</v>
      </c>
      <c r="Z2" s="17">
        <v>0.0</v>
      </c>
      <c r="AA2" s="17">
        <v>0.0</v>
      </c>
      <c r="AB2" s="17">
        <v>0.0</v>
      </c>
      <c r="AC2" s="17">
        <v>0.0</v>
      </c>
    </row>
    <row r="3" ht="14.25" customHeight="1">
      <c r="A3" s="14">
        <v>27.0</v>
      </c>
      <c r="B3" s="18" t="s">
        <v>329</v>
      </c>
      <c r="C3" s="15"/>
      <c r="D3" s="15" t="s">
        <v>330</v>
      </c>
      <c r="E3" s="15"/>
      <c r="F3" s="15" t="s">
        <v>331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ht="14.25" customHeight="1">
      <c r="A4" s="14">
        <v>27.0</v>
      </c>
      <c r="B4" s="15" t="s">
        <v>333</v>
      </c>
      <c r="C4" s="15" t="s">
        <v>334</v>
      </c>
      <c r="D4" s="15" t="s">
        <v>335</v>
      </c>
      <c r="E4" s="15" t="s">
        <v>176</v>
      </c>
      <c r="F4" s="15" t="s">
        <v>62</v>
      </c>
      <c r="G4" s="15">
        <v>0.0</v>
      </c>
      <c r="H4" s="15">
        <v>60.0</v>
      </c>
      <c r="I4" s="15">
        <v>0.0</v>
      </c>
      <c r="J4" s="15">
        <v>0.0</v>
      </c>
      <c r="K4" s="15">
        <v>0.0</v>
      </c>
      <c r="L4" s="15">
        <v>5.0</v>
      </c>
      <c r="M4" s="15" t="s">
        <v>52</v>
      </c>
      <c r="N4" s="15">
        <v>6.0</v>
      </c>
      <c r="O4" s="15" t="s">
        <v>371</v>
      </c>
      <c r="P4" s="15" t="s">
        <v>371</v>
      </c>
      <c r="Q4" s="15">
        <v>0.0</v>
      </c>
      <c r="R4" s="15">
        <v>0.0</v>
      </c>
      <c r="S4" s="15">
        <v>0.0</v>
      </c>
      <c r="T4" s="16">
        <v>0.0</v>
      </c>
      <c r="U4" s="16">
        <v>0.0</v>
      </c>
      <c r="V4" s="16">
        <v>0.0</v>
      </c>
      <c r="W4" s="5" t="s">
        <v>371</v>
      </c>
      <c r="X4" s="5" t="s">
        <v>371</v>
      </c>
      <c r="Y4" s="17">
        <v>0.0</v>
      </c>
      <c r="Z4" s="17">
        <v>0.0</v>
      </c>
      <c r="AA4" s="17">
        <v>0.0</v>
      </c>
      <c r="AB4" s="17">
        <v>0.0</v>
      </c>
      <c r="AC4" s="17">
        <v>0.0</v>
      </c>
    </row>
    <row r="5" ht="14.25" customHeight="1">
      <c r="A5" s="14">
        <v>27.0</v>
      </c>
      <c r="B5" s="15" t="s">
        <v>336</v>
      </c>
      <c r="C5" s="15" t="s">
        <v>334</v>
      </c>
      <c r="D5" s="15" t="s">
        <v>337</v>
      </c>
      <c r="E5" s="15" t="s">
        <v>372</v>
      </c>
      <c r="F5" s="15" t="s">
        <v>339</v>
      </c>
      <c r="G5" s="15">
        <v>100.0</v>
      </c>
      <c r="H5" s="15">
        <v>100.0</v>
      </c>
      <c r="I5" s="15">
        <v>0.0</v>
      </c>
      <c r="J5" s="15">
        <v>0.0</v>
      </c>
      <c r="K5" s="15">
        <v>4.0</v>
      </c>
      <c r="L5" s="15">
        <v>1.0</v>
      </c>
      <c r="M5" s="15" t="s">
        <v>76</v>
      </c>
      <c r="N5" s="15">
        <v>5.0</v>
      </c>
      <c r="O5" s="15" t="s">
        <v>371</v>
      </c>
      <c r="P5" s="15" t="s">
        <v>371</v>
      </c>
      <c r="Q5" s="15">
        <v>0.0</v>
      </c>
      <c r="R5" s="15">
        <v>0.0</v>
      </c>
      <c r="S5" s="15">
        <v>0.0</v>
      </c>
      <c r="T5" s="16">
        <v>0.0</v>
      </c>
      <c r="U5" s="16">
        <v>0.0</v>
      </c>
      <c r="V5" s="16">
        <v>0.0</v>
      </c>
      <c r="W5" s="5" t="s">
        <v>371</v>
      </c>
      <c r="X5" s="5" t="s">
        <v>371</v>
      </c>
      <c r="Y5" s="17">
        <v>100.0</v>
      </c>
      <c r="Z5" s="17">
        <v>4.0</v>
      </c>
      <c r="AA5" s="17">
        <v>0.0</v>
      </c>
      <c r="AB5" s="17">
        <v>0.0</v>
      </c>
      <c r="AC5" s="17">
        <v>1.0</v>
      </c>
    </row>
    <row r="6" ht="14.25" customHeight="1">
      <c r="A6" s="14">
        <v>28.0</v>
      </c>
      <c r="B6" s="15" t="s">
        <v>340</v>
      </c>
      <c r="C6" s="15" t="s">
        <v>104</v>
      </c>
      <c r="D6" s="15" t="s">
        <v>341</v>
      </c>
      <c r="E6" s="15" t="s">
        <v>37</v>
      </c>
      <c r="F6" s="15" t="s">
        <v>342</v>
      </c>
      <c r="G6" s="15">
        <v>100.0</v>
      </c>
      <c r="H6" s="15">
        <v>100.0</v>
      </c>
      <c r="I6" s="15">
        <v>0.0</v>
      </c>
      <c r="J6" s="15">
        <v>0.0</v>
      </c>
      <c r="K6" s="15">
        <v>15.0</v>
      </c>
      <c r="L6" s="15">
        <v>15.0</v>
      </c>
      <c r="M6" s="15" t="s">
        <v>39</v>
      </c>
      <c r="N6" s="15">
        <v>3.0</v>
      </c>
      <c r="O6" s="15" t="s">
        <v>371</v>
      </c>
      <c r="P6" s="15" t="s">
        <v>371</v>
      </c>
      <c r="Q6" s="15">
        <v>0.0</v>
      </c>
      <c r="R6" s="15">
        <v>0.0</v>
      </c>
      <c r="S6" s="15">
        <v>0.0</v>
      </c>
      <c r="T6" s="17">
        <v>0.0</v>
      </c>
      <c r="U6" s="17">
        <v>33.33</v>
      </c>
      <c r="V6" s="17">
        <v>5.0</v>
      </c>
      <c r="W6" s="5" t="s">
        <v>371</v>
      </c>
      <c r="X6" s="5" t="s">
        <v>371</v>
      </c>
      <c r="Y6" s="17">
        <v>33.33</v>
      </c>
      <c r="Z6" s="17">
        <v>5.0</v>
      </c>
      <c r="AA6" s="17">
        <v>33.33</v>
      </c>
      <c r="AB6" s="17">
        <v>5.0</v>
      </c>
      <c r="AC6" s="17">
        <v>3.0</v>
      </c>
    </row>
    <row r="7" ht="14.25" customHeight="1">
      <c r="A7" s="14">
        <v>28.0</v>
      </c>
      <c r="B7" s="15" t="s">
        <v>373</v>
      </c>
      <c r="C7" s="15" t="s">
        <v>55</v>
      </c>
      <c r="D7" s="15" t="s">
        <v>374</v>
      </c>
      <c r="E7" s="15" t="s">
        <v>37</v>
      </c>
      <c r="F7" s="15" t="s">
        <v>62</v>
      </c>
      <c r="G7" s="15">
        <v>0.0</v>
      </c>
      <c r="H7" s="15">
        <v>90.0</v>
      </c>
      <c r="I7" s="15">
        <v>0.0</v>
      </c>
      <c r="J7" s="15">
        <v>0.0</v>
      </c>
      <c r="K7" s="15">
        <v>0.0</v>
      </c>
      <c r="L7" s="15">
        <v>5.0</v>
      </c>
      <c r="M7" s="15" t="s">
        <v>76</v>
      </c>
      <c r="N7" s="15">
        <v>2.0</v>
      </c>
      <c r="O7" s="15" t="s">
        <v>371</v>
      </c>
      <c r="P7" s="15" t="s">
        <v>371</v>
      </c>
      <c r="Q7" s="15">
        <v>0.0</v>
      </c>
      <c r="R7" s="15">
        <v>0.0</v>
      </c>
      <c r="S7" s="15">
        <v>0.0</v>
      </c>
      <c r="T7" s="17">
        <v>0.0</v>
      </c>
      <c r="U7" s="17">
        <v>0.0</v>
      </c>
      <c r="V7" s="17">
        <v>0.0</v>
      </c>
      <c r="W7" s="5" t="s">
        <v>371</v>
      </c>
      <c r="X7" s="5" t="s">
        <v>371</v>
      </c>
      <c r="Y7" s="17">
        <v>0.0</v>
      </c>
      <c r="Z7" s="17">
        <v>0.0</v>
      </c>
      <c r="AA7" s="17">
        <v>0.0</v>
      </c>
      <c r="AB7" s="17">
        <v>0.0</v>
      </c>
      <c r="AC7" s="17">
        <v>0.0</v>
      </c>
    </row>
    <row r="8" ht="14.25" customHeight="1">
      <c r="A8" s="14">
        <v>28.0</v>
      </c>
      <c r="B8" s="15" t="s">
        <v>346</v>
      </c>
      <c r="C8" s="15" t="s">
        <v>101</v>
      </c>
      <c r="D8" s="15" t="s">
        <v>347</v>
      </c>
      <c r="E8" s="15" t="s">
        <v>348</v>
      </c>
      <c r="F8" s="15" t="s">
        <v>349</v>
      </c>
      <c r="G8" s="15">
        <v>50.0</v>
      </c>
      <c r="H8" s="15">
        <v>50.0</v>
      </c>
      <c r="I8" s="15">
        <v>0.0</v>
      </c>
      <c r="J8" s="15">
        <v>0.0</v>
      </c>
      <c r="K8" s="15">
        <v>30.0</v>
      </c>
      <c r="L8" s="15">
        <v>5.0</v>
      </c>
      <c r="M8" s="15" t="s">
        <v>76</v>
      </c>
      <c r="N8" s="15">
        <v>2.0</v>
      </c>
      <c r="O8" s="15" t="s">
        <v>371</v>
      </c>
      <c r="P8" s="15" t="s">
        <v>371</v>
      </c>
      <c r="Q8" s="15">
        <v>0.0</v>
      </c>
      <c r="R8" s="15">
        <v>0.0</v>
      </c>
      <c r="S8" s="15">
        <v>0.0</v>
      </c>
      <c r="T8" s="17">
        <v>0.0</v>
      </c>
      <c r="U8" s="17">
        <v>16.6</v>
      </c>
      <c r="V8" s="17">
        <v>10.0</v>
      </c>
      <c r="W8" s="5" t="s">
        <v>371</v>
      </c>
      <c r="X8" s="5" t="s">
        <v>371</v>
      </c>
      <c r="Y8" s="17">
        <v>16.6</v>
      </c>
      <c r="Z8" s="17">
        <v>10.0</v>
      </c>
      <c r="AA8" s="17">
        <v>16.6</v>
      </c>
      <c r="AB8" s="17">
        <v>10.0</v>
      </c>
      <c r="AC8" s="17">
        <v>3.0</v>
      </c>
    </row>
    <row r="9" ht="14.25" customHeight="1">
      <c r="A9" s="14">
        <v>29.0</v>
      </c>
      <c r="B9" s="15" t="s">
        <v>350</v>
      </c>
      <c r="C9" s="15" t="s">
        <v>351</v>
      </c>
      <c r="D9" s="15" t="s">
        <v>352</v>
      </c>
      <c r="E9" s="15" t="s">
        <v>37</v>
      </c>
      <c r="F9" s="15" t="s">
        <v>353</v>
      </c>
      <c r="G9" s="15">
        <v>75.0</v>
      </c>
      <c r="H9" s="15">
        <v>75.0</v>
      </c>
      <c r="I9" s="15">
        <v>0.0</v>
      </c>
      <c r="J9" s="15">
        <v>0.0</v>
      </c>
      <c r="K9" s="15">
        <v>21.0</v>
      </c>
      <c r="L9" s="15">
        <v>5.0</v>
      </c>
      <c r="M9" s="15" t="s">
        <v>76</v>
      </c>
      <c r="N9" s="15">
        <v>1.0</v>
      </c>
      <c r="O9" s="15" t="s">
        <v>371</v>
      </c>
      <c r="P9" s="15" t="s">
        <v>371</v>
      </c>
      <c r="Q9" s="15">
        <v>25.0</v>
      </c>
      <c r="R9" s="15">
        <v>7.0</v>
      </c>
      <c r="S9" s="15">
        <v>0.0</v>
      </c>
      <c r="T9" s="17">
        <v>0.0</v>
      </c>
      <c r="U9" s="17">
        <v>25.0</v>
      </c>
      <c r="V9" s="17">
        <v>7.0</v>
      </c>
      <c r="W9" s="5" t="s">
        <v>371</v>
      </c>
      <c r="X9" s="5" t="s">
        <v>371</v>
      </c>
      <c r="Y9" s="17">
        <v>0.0</v>
      </c>
      <c r="Z9" s="17">
        <v>0.0</v>
      </c>
      <c r="AA9" s="17">
        <v>25.0</v>
      </c>
      <c r="AB9" s="17">
        <v>7.0</v>
      </c>
      <c r="AC9" s="17">
        <v>3.0</v>
      </c>
    </row>
    <row r="10" ht="14.25" customHeight="1">
      <c r="A10" s="14">
        <v>29.0</v>
      </c>
      <c r="B10" s="15" t="s">
        <v>355</v>
      </c>
      <c r="C10" s="19" t="s">
        <v>356</v>
      </c>
      <c r="D10" s="15" t="s">
        <v>357</v>
      </c>
      <c r="E10" s="20" t="s">
        <v>106</v>
      </c>
      <c r="F10" s="21" t="s">
        <v>62</v>
      </c>
      <c r="G10" s="20">
        <v>0.0</v>
      </c>
      <c r="H10" s="20">
        <v>75.0</v>
      </c>
      <c r="I10" s="20">
        <v>0.0</v>
      </c>
      <c r="J10" s="20">
        <v>0.0</v>
      </c>
      <c r="K10" s="20">
        <v>0.0</v>
      </c>
      <c r="L10" s="20">
        <v>3.0</v>
      </c>
      <c r="M10" s="20" t="s">
        <v>76</v>
      </c>
      <c r="N10" s="20">
        <v>2.0</v>
      </c>
      <c r="O10" s="20" t="s">
        <v>371</v>
      </c>
      <c r="P10" s="20" t="s">
        <v>371</v>
      </c>
      <c r="Q10" s="20">
        <v>0.0</v>
      </c>
      <c r="R10" s="20">
        <v>0.0</v>
      </c>
      <c r="S10" s="20">
        <v>0.0</v>
      </c>
      <c r="T10" s="17">
        <v>0.0</v>
      </c>
      <c r="U10" s="17">
        <v>0.0</v>
      </c>
      <c r="V10" s="17">
        <v>0.0</v>
      </c>
      <c r="W10" s="17" t="s">
        <v>371</v>
      </c>
      <c r="X10" s="17" t="s">
        <v>371</v>
      </c>
      <c r="Y10" s="17">
        <v>0.0</v>
      </c>
      <c r="Z10" s="17">
        <v>0.0</v>
      </c>
      <c r="AA10" s="17">
        <v>0.0</v>
      </c>
      <c r="AB10" s="17">
        <v>0.0</v>
      </c>
      <c r="AC10" s="17">
        <v>0.0</v>
      </c>
    </row>
    <row r="11" ht="14.25" customHeight="1">
      <c r="A11" s="14">
        <v>29.0</v>
      </c>
      <c r="B11" s="15" t="s">
        <v>358</v>
      </c>
      <c r="C11" s="15" t="s">
        <v>101</v>
      </c>
      <c r="D11" s="15" t="s">
        <v>359</v>
      </c>
      <c r="E11" s="16" t="s">
        <v>106</v>
      </c>
      <c r="F11" s="22"/>
      <c r="G11" s="16">
        <v>0.0</v>
      </c>
      <c r="H11" s="16">
        <v>100.0</v>
      </c>
      <c r="I11" s="16">
        <v>0.0</v>
      </c>
      <c r="J11" s="16">
        <v>0.0</v>
      </c>
      <c r="K11" s="16">
        <v>0.0</v>
      </c>
      <c r="L11" s="16">
        <v>3.5</v>
      </c>
      <c r="M11" s="16" t="s">
        <v>76</v>
      </c>
      <c r="N11" s="16">
        <v>2.0</v>
      </c>
      <c r="O11" s="20" t="s">
        <v>371</v>
      </c>
      <c r="P11" s="20" t="s">
        <v>371</v>
      </c>
      <c r="Q11" s="20">
        <v>0.0</v>
      </c>
      <c r="R11" s="20">
        <v>0.0</v>
      </c>
      <c r="S11" s="20">
        <v>0.0</v>
      </c>
      <c r="T11" s="17">
        <v>0.0</v>
      </c>
      <c r="U11" s="17">
        <v>0.0</v>
      </c>
      <c r="V11" s="17">
        <v>0.0</v>
      </c>
      <c r="W11" s="17" t="s">
        <v>371</v>
      </c>
      <c r="X11" s="17" t="s">
        <v>371</v>
      </c>
      <c r="Y11" s="17">
        <v>0.0</v>
      </c>
      <c r="Z11" s="17">
        <v>0.0</v>
      </c>
      <c r="AA11" s="17">
        <v>0.0</v>
      </c>
      <c r="AB11" s="17">
        <v>0.0</v>
      </c>
      <c r="AC11" s="17">
        <v>0.0</v>
      </c>
    </row>
    <row r="12" ht="14.25" customHeight="1">
      <c r="A12" s="14">
        <v>30.0</v>
      </c>
      <c r="B12" s="15" t="s">
        <v>360</v>
      </c>
      <c r="C12" s="15" t="s">
        <v>104</v>
      </c>
      <c r="D12" s="15" t="s">
        <v>361</v>
      </c>
      <c r="E12" s="23" t="s">
        <v>106</v>
      </c>
      <c r="F12" s="24"/>
      <c r="G12" s="23">
        <v>0.0</v>
      </c>
      <c r="H12" s="23">
        <v>75.0</v>
      </c>
      <c r="I12" s="23">
        <v>0.0</v>
      </c>
      <c r="J12" s="23">
        <v>0.0</v>
      </c>
      <c r="K12" s="23">
        <v>0.0</v>
      </c>
      <c r="L12" s="23">
        <v>15.0</v>
      </c>
      <c r="M12" s="25" t="s">
        <v>76</v>
      </c>
      <c r="N12" s="23">
        <v>1.0</v>
      </c>
      <c r="O12" s="20">
        <v>0.0</v>
      </c>
      <c r="P12" s="20">
        <v>0.0</v>
      </c>
      <c r="Q12" s="20">
        <v>0.0</v>
      </c>
      <c r="R12" s="20">
        <v>0.0</v>
      </c>
      <c r="S12" s="20">
        <v>0.0</v>
      </c>
      <c r="T12" s="17">
        <v>0.0</v>
      </c>
      <c r="U12" s="17">
        <v>0.0</v>
      </c>
      <c r="V12" s="17">
        <v>0.0</v>
      </c>
      <c r="W12" s="17">
        <v>0.0</v>
      </c>
      <c r="X12" s="17">
        <v>0.0</v>
      </c>
      <c r="Y12" s="17" t="s">
        <v>371</v>
      </c>
      <c r="Z12" s="17" t="s">
        <v>371</v>
      </c>
      <c r="AA12" s="17" t="s">
        <v>371</v>
      </c>
      <c r="AB12" s="17" t="s">
        <v>371</v>
      </c>
      <c r="AC12" s="17">
        <v>0.0</v>
      </c>
    </row>
    <row r="13" ht="14.25" customHeight="1">
      <c r="A13" s="14">
        <v>30.0</v>
      </c>
      <c r="B13" s="15" t="s">
        <v>362</v>
      </c>
      <c r="C13" s="15" t="s">
        <v>101</v>
      </c>
      <c r="D13" s="15" t="s">
        <v>362</v>
      </c>
      <c r="E13" s="15" t="s">
        <v>363</v>
      </c>
      <c r="F13" s="15" t="s">
        <v>364</v>
      </c>
      <c r="G13" s="15">
        <v>80.0</v>
      </c>
      <c r="H13" s="15">
        <v>80.0</v>
      </c>
      <c r="I13" s="15">
        <v>0.0</v>
      </c>
      <c r="J13" s="15">
        <v>0.0</v>
      </c>
      <c r="K13" s="15">
        <v>6.0</v>
      </c>
      <c r="L13" s="15">
        <v>1.0</v>
      </c>
      <c r="M13" s="15" t="s">
        <v>39</v>
      </c>
      <c r="N13" s="15">
        <v>3.0</v>
      </c>
      <c r="O13" s="15">
        <v>0.0</v>
      </c>
      <c r="P13" s="15">
        <v>0.0</v>
      </c>
      <c r="Q13" s="15">
        <v>40.0</v>
      </c>
      <c r="R13" s="15">
        <v>3.0</v>
      </c>
      <c r="S13" s="15">
        <v>0.0</v>
      </c>
      <c r="T13" s="17">
        <v>0.0</v>
      </c>
      <c r="U13" s="17">
        <v>40.0</v>
      </c>
      <c r="V13" s="17">
        <v>3.0</v>
      </c>
      <c r="W13" s="5">
        <v>0.0</v>
      </c>
      <c r="X13" s="5">
        <v>0.0</v>
      </c>
      <c r="Y13" s="5" t="s">
        <v>371</v>
      </c>
      <c r="Z13" s="5" t="s">
        <v>371</v>
      </c>
      <c r="AA13" s="5" t="s">
        <v>371</v>
      </c>
      <c r="AB13" s="5" t="s">
        <v>371</v>
      </c>
      <c r="AC13" s="17">
        <v>2.0</v>
      </c>
    </row>
    <row r="14" ht="14.25" customHeight="1">
      <c r="A14" s="14">
        <v>30.0</v>
      </c>
      <c r="B14" s="15" t="s">
        <v>366</v>
      </c>
      <c r="C14" s="15" t="s">
        <v>55</v>
      </c>
      <c r="D14" s="15" t="s">
        <v>367</v>
      </c>
      <c r="E14" s="20" t="s">
        <v>106</v>
      </c>
      <c r="F14" s="21" t="s">
        <v>62</v>
      </c>
      <c r="G14" s="20">
        <v>0.0</v>
      </c>
      <c r="H14" s="20">
        <v>300.0</v>
      </c>
      <c r="I14" s="15">
        <v>0.0</v>
      </c>
      <c r="J14" s="15">
        <v>0.0</v>
      </c>
      <c r="K14" s="20">
        <v>0.0</v>
      </c>
      <c r="L14" s="20">
        <v>1.0</v>
      </c>
      <c r="M14" s="20" t="s">
        <v>76</v>
      </c>
      <c r="N14" s="20">
        <v>2.0</v>
      </c>
      <c r="O14" s="20">
        <v>0.0</v>
      </c>
      <c r="P14" s="20">
        <v>0.0</v>
      </c>
      <c r="Q14" s="20">
        <v>0.0</v>
      </c>
      <c r="R14" s="20">
        <v>0.0</v>
      </c>
      <c r="S14" s="20">
        <v>0.0</v>
      </c>
      <c r="T14" s="17">
        <v>0.0</v>
      </c>
      <c r="U14" s="17">
        <v>0.0</v>
      </c>
      <c r="V14" s="17">
        <v>0.0</v>
      </c>
      <c r="W14" s="17">
        <v>0.0</v>
      </c>
      <c r="X14" s="17">
        <v>0.0</v>
      </c>
      <c r="Y14" s="5" t="s">
        <v>371</v>
      </c>
      <c r="Z14" s="5" t="s">
        <v>371</v>
      </c>
      <c r="AA14" s="5" t="s">
        <v>371</v>
      </c>
      <c r="AB14" s="5" t="s">
        <v>371</v>
      </c>
      <c r="AC14" s="17">
        <v>0.0</v>
      </c>
    </row>
    <row r="15" ht="14.25" customHeight="1">
      <c r="A15" s="14">
        <v>30.0</v>
      </c>
      <c r="B15" s="15" t="s">
        <v>368</v>
      </c>
      <c r="C15" s="15" t="s">
        <v>55</v>
      </c>
      <c r="D15" s="15" t="s">
        <v>369</v>
      </c>
      <c r="E15" s="23" t="s">
        <v>370</v>
      </c>
      <c r="F15" s="24"/>
      <c r="G15" s="23">
        <v>0.0</v>
      </c>
      <c r="H15" s="23">
        <v>50.0</v>
      </c>
      <c r="I15" s="15">
        <v>0.0</v>
      </c>
      <c r="J15" s="15">
        <v>0.0</v>
      </c>
      <c r="K15" s="23">
        <v>0.0</v>
      </c>
      <c r="L15" s="23">
        <v>7.5</v>
      </c>
      <c r="M15" s="23" t="s">
        <v>46</v>
      </c>
      <c r="N15" s="23">
        <v>1.0</v>
      </c>
      <c r="O15" s="20">
        <v>0.0</v>
      </c>
      <c r="P15" s="20">
        <v>0.0</v>
      </c>
      <c r="Q15" s="20">
        <v>0.0</v>
      </c>
      <c r="R15" s="20">
        <v>0.0</v>
      </c>
      <c r="S15" s="20">
        <v>0.0</v>
      </c>
      <c r="T15" s="17">
        <v>0.0</v>
      </c>
      <c r="U15" s="17">
        <v>0.0</v>
      </c>
      <c r="V15" s="17">
        <v>0.0</v>
      </c>
      <c r="W15" s="17">
        <v>0.0</v>
      </c>
      <c r="X15" s="17">
        <v>0.0</v>
      </c>
      <c r="Y15" s="5" t="s">
        <v>371</v>
      </c>
      <c r="Z15" s="5" t="s">
        <v>371</v>
      </c>
      <c r="AA15" s="5" t="s">
        <v>371</v>
      </c>
      <c r="AB15" s="5" t="s">
        <v>371</v>
      </c>
      <c r="AC15" s="17">
        <v>0.0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F10:F12"/>
    <mergeCell ref="F14:F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0"/>
    <col customWidth="1" min="2" max="4" width="8.71"/>
    <col customWidth="1" min="5" max="5" width="32.14"/>
    <col customWidth="1" min="6" max="8" width="8.71"/>
    <col customWidth="1" min="9" max="9" width="12.71"/>
    <col customWidth="1" min="10" max="12" width="8.71"/>
    <col customWidth="1" min="13" max="13" width="12.43"/>
    <col customWidth="1" min="14" max="14" width="13.71"/>
    <col customWidth="1" min="15" max="26" width="8.71"/>
  </cols>
  <sheetData>
    <row r="1" ht="14.25" customHeight="1">
      <c r="A1" s="26"/>
      <c r="B1" s="27"/>
      <c r="C1" s="28"/>
      <c r="D1" s="29" t="s">
        <v>375</v>
      </c>
      <c r="E1" s="27"/>
      <c r="F1" s="27"/>
      <c r="G1" s="27"/>
      <c r="H1" s="27"/>
      <c r="I1" s="27"/>
      <c r="J1" s="27"/>
      <c r="K1" s="27"/>
      <c r="L1" s="28"/>
      <c r="M1" s="26"/>
      <c r="N1" s="27"/>
      <c r="O1" s="27"/>
      <c r="P1" s="27"/>
      <c r="Q1" s="27"/>
      <c r="R1" s="28"/>
    </row>
    <row r="2" ht="14.25" customHeight="1">
      <c r="A2" s="30"/>
      <c r="B2" s="31"/>
      <c r="C2" s="32"/>
      <c r="D2" s="30"/>
      <c r="E2" s="31"/>
      <c r="F2" s="31"/>
      <c r="G2" s="31"/>
      <c r="H2" s="31"/>
      <c r="I2" s="31"/>
      <c r="J2" s="31"/>
      <c r="K2" s="31"/>
      <c r="L2" s="32"/>
      <c r="M2" s="30"/>
      <c r="N2" s="31"/>
      <c r="O2" s="31"/>
      <c r="P2" s="31"/>
      <c r="Q2" s="31"/>
      <c r="R2" s="32"/>
    </row>
    <row r="3" ht="14.25" customHeight="1"/>
    <row r="4" ht="14.25" customHeight="1">
      <c r="A4" s="33" t="s">
        <v>376</v>
      </c>
      <c r="B4" s="28"/>
      <c r="E4" s="34" t="s">
        <v>377</v>
      </c>
      <c r="F4" s="27"/>
      <c r="G4" s="27"/>
      <c r="H4" s="27"/>
      <c r="I4" s="27"/>
      <c r="J4" s="27"/>
      <c r="K4" s="27"/>
      <c r="L4" s="27"/>
      <c r="M4" s="27"/>
      <c r="N4" s="28"/>
    </row>
    <row r="5" ht="14.25" customHeight="1">
      <c r="A5" s="30"/>
      <c r="B5" s="32"/>
      <c r="E5" s="30"/>
      <c r="F5" s="31"/>
      <c r="G5" s="31"/>
      <c r="H5" s="31"/>
      <c r="I5" s="31"/>
      <c r="J5" s="31"/>
      <c r="K5" s="31"/>
      <c r="L5" s="31"/>
      <c r="M5" s="31"/>
      <c r="N5" s="32"/>
    </row>
    <row r="6" ht="14.25" customHeight="1"/>
    <row r="7" ht="14.25" customHeight="1">
      <c r="A7" s="35" t="s">
        <v>378</v>
      </c>
      <c r="B7" s="35" t="s">
        <v>379</v>
      </c>
      <c r="C7" s="6"/>
      <c r="E7" s="36" t="s">
        <v>380</v>
      </c>
      <c r="F7" s="37"/>
      <c r="G7" s="38"/>
      <c r="I7" s="39" t="s">
        <v>381</v>
      </c>
      <c r="J7" s="37"/>
      <c r="K7" s="40"/>
      <c r="M7" s="39" t="s">
        <v>382</v>
      </c>
      <c r="N7" s="37"/>
    </row>
    <row r="8" ht="14.25" customHeight="1">
      <c r="A8" s="41" t="s">
        <v>383</v>
      </c>
      <c r="B8" s="42">
        <v>1.0</v>
      </c>
      <c r="C8" s="6"/>
      <c r="E8" s="42"/>
      <c r="F8" s="42"/>
      <c r="I8" s="42"/>
      <c r="J8" s="42"/>
      <c r="M8" s="42"/>
      <c r="N8" s="42"/>
    </row>
    <row r="9" ht="14.25" customHeight="1">
      <c r="A9" s="41" t="s">
        <v>384</v>
      </c>
      <c r="B9" s="42">
        <f>IFERROR(__xludf.DUMMYFUNCTION("COUNTUNIQUE(Sheet1!A2:A99)"),30.0)</f>
        <v>30</v>
      </c>
      <c r="C9" s="6"/>
      <c r="E9" s="43" t="s">
        <v>385</v>
      </c>
      <c r="F9" s="42">
        <f>COUNTIF(Sheet1!O2:O99,"&lt;20")</f>
        <v>1</v>
      </c>
      <c r="I9" s="44" t="s">
        <v>37</v>
      </c>
      <c r="J9" s="42">
        <f>countif(Sheet1!$G$2:$G$99,I9)</f>
        <v>32</v>
      </c>
      <c r="M9" s="45" t="s">
        <v>35</v>
      </c>
      <c r="N9" s="42">
        <f>countif(Sheet1!$E$2:$E$99,M9)</f>
        <v>14</v>
      </c>
    </row>
    <row r="10" ht="14.25" customHeight="1">
      <c r="A10" s="41" t="s">
        <v>386</v>
      </c>
      <c r="B10" s="42">
        <f>IFERROR(__xludf.DUMMYFUNCTION("COUNTUNIQUE(Sheet1!B2:B99)"),98.0)</f>
        <v>98</v>
      </c>
      <c r="C10" s="6"/>
      <c r="E10" s="46" t="s">
        <v>52</v>
      </c>
      <c r="F10" s="42">
        <f>COUNTIF(Sheet1!O2:O99,"20-25")</f>
        <v>12</v>
      </c>
      <c r="I10" s="47" t="s">
        <v>106</v>
      </c>
      <c r="J10" s="42">
        <f>countif(Sheet1!$G$2:$G$99,I10)</f>
        <v>29</v>
      </c>
      <c r="M10" s="45" t="s">
        <v>101</v>
      </c>
      <c r="N10" s="42">
        <f>countif(Sheet1!$E$2:$E$99,M10)</f>
        <v>13</v>
      </c>
    </row>
    <row r="11" ht="14.25" customHeight="1">
      <c r="A11" s="41" t="s">
        <v>387</v>
      </c>
      <c r="B11" s="42">
        <f>B10-countif(Sheet1!H2:H99,"No Deal")</f>
        <v>58</v>
      </c>
      <c r="C11" s="6"/>
      <c r="E11" s="48" t="s">
        <v>46</v>
      </c>
      <c r="F11" s="42">
        <f>COUNTIF(Sheet1!O2:O99,"25-30")</f>
        <v>17</v>
      </c>
      <c r="I11" s="49" t="s">
        <v>61</v>
      </c>
      <c r="J11" s="42">
        <f>countif(Sheet1!$G$2:$G$99,I11)</f>
        <v>12</v>
      </c>
      <c r="M11" s="45" t="s">
        <v>104</v>
      </c>
      <c r="N11" s="42">
        <f>countif(Sheet1!$E$2:$E$99,M11)</f>
        <v>11</v>
      </c>
    </row>
    <row r="12" ht="14.25" customHeight="1">
      <c r="A12" s="41" t="s">
        <v>388</v>
      </c>
      <c r="B12" s="42">
        <f>(B11/B10)*100</f>
        <v>59.18367347</v>
      </c>
      <c r="C12" s="6"/>
      <c r="E12" s="50" t="s">
        <v>76</v>
      </c>
      <c r="F12" s="42">
        <f>COUNTIF(Sheet1!O2:O99,"30-35")</f>
        <v>32</v>
      </c>
      <c r="I12" s="51" t="s">
        <v>176</v>
      </c>
      <c r="J12" s="42">
        <f>countif(Sheet1!$G$2:$G$99,I12)</f>
        <v>10</v>
      </c>
      <c r="M12" s="45" t="s">
        <v>55</v>
      </c>
      <c r="N12" s="42">
        <f>countif(Sheet1!$E$2:$E$99,M12)</f>
        <v>10</v>
      </c>
    </row>
    <row r="13" ht="14.25" customHeight="1">
      <c r="A13" s="41" t="s">
        <v>389</v>
      </c>
      <c r="B13" s="42">
        <f>sum(Sheet1!C2:C99)</f>
        <v>143</v>
      </c>
      <c r="C13" s="6"/>
      <c r="E13" s="52" t="s">
        <v>39</v>
      </c>
      <c r="F13" s="42">
        <f>COUNTIF(Sheet1!O2:O99,"35-40")</f>
        <v>21</v>
      </c>
      <c r="I13" s="53" t="s">
        <v>44</v>
      </c>
      <c r="J13" s="42">
        <f>countif(Sheet1!$G$2:$G$99,I13)</f>
        <v>6</v>
      </c>
      <c r="M13" s="45" t="s">
        <v>138</v>
      </c>
      <c r="N13" s="42">
        <f>countif(Sheet1!$E$2:$E$99,M13)</f>
        <v>6</v>
      </c>
    </row>
    <row r="14" ht="14.25" customHeight="1">
      <c r="A14" s="41" t="s">
        <v>390</v>
      </c>
      <c r="B14" s="42">
        <f>sum(Sheet1!D2:D99)</f>
        <v>59</v>
      </c>
      <c r="C14" s="6"/>
      <c r="E14" s="54" t="s">
        <v>185</v>
      </c>
      <c r="F14" s="42">
        <f>COUNTIF(Sheet1!O2:O99,"40-45")</f>
        <v>6</v>
      </c>
      <c r="I14" s="55" t="s">
        <v>50</v>
      </c>
      <c r="J14" s="42">
        <f>countif(Sheet1!$G$2:$G$99,I14)</f>
        <v>4</v>
      </c>
      <c r="M14" s="45" t="s">
        <v>42</v>
      </c>
      <c r="N14" s="42">
        <f>countif(Sheet1!$E$2:$E$99,M14)</f>
        <v>5</v>
      </c>
    </row>
    <row r="15" ht="14.25" customHeight="1">
      <c r="A15" s="41" t="s">
        <v>391</v>
      </c>
      <c r="B15" s="42">
        <f>B13/B14</f>
        <v>2.423728814</v>
      </c>
      <c r="C15" s="6"/>
      <c r="E15" s="56" t="s">
        <v>90</v>
      </c>
      <c r="F15" s="42">
        <f>COUNTIF(Sheet1!O2:O99,"45-50")</f>
        <v>5</v>
      </c>
      <c r="I15" s="52" t="s">
        <v>372</v>
      </c>
      <c r="J15" s="42">
        <f>countif(Sheet1!$G$2:$G$99,I15)</f>
        <v>0</v>
      </c>
      <c r="M15" s="45" t="s">
        <v>108</v>
      </c>
      <c r="N15" s="42">
        <f>countif(Sheet1!$E$2:$E$99,M15)</f>
        <v>4</v>
      </c>
    </row>
    <row r="16" ht="14.25" customHeight="1">
      <c r="A16" s="41" t="s">
        <v>392</v>
      </c>
      <c r="B16" s="42">
        <f>sum(Sheet1!I2:I99)</f>
        <v>3417.00106</v>
      </c>
      <c r="C16" s="6"/>
      <c r="E16" s="57" t="s">
        <v>63</v>
      </c>
      <c r="F16" s="42">
        <f>COUNTIF(Sheet1!O2:O99,"50-55")</f>
        <v>3</v>
      </c>
      <c r="I16" s="46" t="s">
        <v>348</v>
      </c>
      <c r="J16" s="42">
        <f>countif(Sheet1!$G$2:$G$99,I16)</f>
        <v>1</v>
      </c>
      <c r="M16" s="45" t="s">
        <v>239</v>
      </c>
      <c r="N16" s="42">
        <f>countif(Sheet1!$E$2:$E$99,M16)</f>
        <v>3</v>
      </c>
    </row>
    <row r="17" ht="14.25" customHeight="1">
      <c r="A17" s="41" t="s">
        <v>393</v>
      </c>
      <c r="B17" s="42">
        <f>AVERAGEIF(Sheet1!M2:M99,"&gt;0")</f>
        <v>16.36344828</v>
      </c>
      <c r="C17" s="6"/>
      <c r="I17" s="52" t="s">
        <v>370</v>
      </c>
      <c r="J17" s="42">
        <f>countif(Sheet1!$G$2:$G$99,I17)</f>
        <v>1</v>
      </c>
      <c r="M17" s="45" t="s">
        <v>134</v>
      </c>
      <c r="N17" s="42">
        <f>countif(Sheet1!$E$2:$E$99,M17)</f>
        <v>3</v>
      </c>
    </row>
    <row r="18" ht="14.25" customHeight="1">
      <c r="A18" s="41" t="s">
        <v>394</v>
      </c>
      <c r="B18" s="42">
        <f>max(Sheet1!I2:I99)</f>
        <v>150</v>
      </c>
      <c r="C18" s="6"/>
      <c r="I18" s="50" t="s">
        <v>73</v>
      </c>
      <c r="J18" s="42">
        <f>countif(Sheet1!$G$2:$G$99,I18)</f>
        <v>1</v>
      </c>
      <c r="M18" s="45" t="s">
        <v>126</v>
      </c>
      <c r="N18" s="42">
        <f>countif(Sheet1!$E$2:$E$99,M18)</f>
        <v>2</v>
      </c>
    </row>
    <row r="19" ht="14.25" customHeight="1">
      <c r="A19" s="41" t="s">
        <v>395</v>
      </c>
      <c r="B19" s="42">
        <f>max(Sheet1!M2:M99)</f>
        <v>75</v>
      </c>
      <c r="C19" s="6"/>
      <c r="I19" s="55" t="s">
        <v>363</v>
      </c>
      <c r="J19" s="42">
        <f>countif(Sheet1!$G$2:$G$99,I19)</f>
        <v>1</v>
      </c>
      <c r="M19" s="45" t="s">
        <v>334</v>
      </c>
      <c r="N19" s="42">
        <f>countif(Sheet1!$E$2:$E$99,M19)</f>
        <v>2</v>
      </c>
    </row>
    <row r="20" ht="14.25" customHeight="1">
      <c r="A20" s="41" t="s">
        <v>396</v>
      </c>
      <c r="B20" s="42">
        <f>COUNTIF(Sheet1!D2:D99,"&gt;0")</f>
        <v>52</v>
      </c>
      <c r="C20" s="6"/>
      <c r="M20" s="45" t="s">
        <v>147</v>
      </c>
      <c r="N20" s="42">
        <f>countif(Sheet1!$E$2:$E$99,M20)</f>
        <v>2</v>
      </c>
    </row>
    <row r="21" ht="14.25" customHeight="1">
      <c r="A21" s="41" t="s">
        <v>397</v>
      </c>
      <c r="B21" s="42">
        <f>COUNTIFS(Sheet1!D2:D99,"&gt;0",Sheet1!AH2:AH99,"yes")</f>
        <v>29</v>
      </c>
      <c r="C21" s="6"/>
      <c r="M21" s="58" t="s">
        <v>268</v>
      </c>
      <c r="N21" s="42">
        <f>countif(Sheet1!$E$2:$E$99,M21)</f>
        <v>2</v>
      </c>
    </row>
    <row r="22" ht="14.25" customHeight="1">
      <c r="A22" s="41" t="s">
        <v>398</v>
      </c>
      <c r="B22" s="42">
        <f>AVERAGE(Sheet1!AI2:AI99)</f>
        <v>2.06122449</v>
      </c>
      <c r="C22" s="6"/>
      <c r="M22" s="58" t="s">
        <v>183</v>
      </c>
      <c r="N22" s="42">
        <f>countif(Sheet1!$E$2:$E$99,M22)</f>
        <v>1</v>
      </c>
    </row>
    <row r="23" ht="14.25" customHeight="1">
      <c r="A23" s="41" t="s">
        <v>399</v>
      </c>
      <c r="B23" s="42">
        <f>sum(Sheet1!K2:K99)</f>
        <v>301</v>
      </c>
      <c r="C23" s="6"/>
      <c r="M23" s="58" t="s">
        <v>400</v>
      </c>
      <c r="N23" s="42">
        <f>countif(Sheet1!$E$2:$E$99,M23)</f>
        <v>0</v>
      </c>
    </row>
    <row r="24" ht="14.25" customHeight="1">
      <c r="A24" s="41" t="s">
        <v>401</v>
      </c>
      <c r="B24" s="42">
        <f>sum(Sheet1!J2:J99)</f>
        <v>36268.00106</v>
      </c>
      <c r="C24" s="6"/>
      <c r="M24" s="58" t="s">
        <v>310</v>
      </c>
      <c r="N24" s="42">
        <f>countif(Sheet1!$E$2:$E$99,M24)</f>
        <v>1</v>
      </c>
    </row>
    <row r="25" ht="14.25" customHeight="1">
      <c r="A25" s="41" t="s">
        <v>402</v>
      </c>
      <c r="B25" s="42">
        <f>AVERAGE(Sheet1!N2:N99)</f>
        <v>5.25</v>
      </c>
      <c r="C25" s="6"/>
      <c r="M25" s="58" t="s">
        <v>403</v>
      </c>
      <c r="N25" s="42">
        <f>countif(Sheet1!$E$2:$E$99,M25)</f>
        <v>0</v>
      </c>
    </row>
    <row r="26" ht="14.25" customHeight="1">
      <c r="A26" s="41" t="s">
        <v>404</v>
      </c>
      <c r="B26" s="42">
        <f>B17-B25</f>
        <v>11.11344828</v>
      </c>
      <c r="C26" s="6"/>
      <c r="M26" s="58" t="s">
        <v>88</v>
      </c>
      <c r="N26" s="42">
        <f>countif(Sheet1!$E$2:$E$99,M26)</f>
        <v>1</v>
      </c>
    </row>
    <row r="27" ht="14.25" customHeight="1">
      <c r="A27" s="41" t="s">
        <v>405</v>
      </c>
      <c r="B27" s="42">
        <f>B16/B11</f>
        <v>58.91381138</v>
      </c>
      <c r="C27" s="6"/>
      <c r="M27" s="58" t="s">
        <v>194</v>
      </c>
      <c r="N27" s="42">
        <f>countif(Sheet1!$E$2:$E$99,M27)</f>
        <v>1</v>
      </c>
    </row>
    <row r="28" ht="14.25" customHeight="1">
      <c r="M28" s="58" t="s">
        <v>315</v>
      </c>
      <c r="N28" s="42">
        <f>countif(Sheet1!$E$2:$E$99,M28)</f>
        <v>1</v>
      </c>
    </row>
    <row r="29" ht="14.25" customHeight="1">
      <c r="M29" s="58" t="s">
        <v>72</v>
      </c>
      <c r="N29" s="42">
        <f>countif(Sheet1!$E$2:$E$99,M29)</f>
        <v>1</v>
      </c>
    </row>
    <row r="30" ht="14.25" customHeight="1">
      <c r="M30" s="58" t="s">
        <v>406</v>
      </c>
      <c r="N30" s="42">
        <f>countif(Sheet1!$E$2:$E$99,M30)</f>
        <v>0</v>
      </c>
    </row>
    <row r="31" ht="14.25" customHeight="1">
      <c r="M31" s="58" t="s">
        <v>351</v>
      </c>
      <c r="N31" s="42">
        <f>countif(Sheet1!$E$2:$E$99,M31)</f>
        <v>1</v>
      </c>
    </row>
    <row r="32" ht="14.25" customHeight="1">
      <c r="M32" s="58" t="s">
        <v>407</v>
      </c>
      <c r="N32" s="42">
        <f>countif(Sheet1!$E$2:$E$99,M32)</f>
        <v>0</v>
      </c>
    </row>
    <row r="33" ht="14.25" customHeight="1">
      <c r="M33" s="58" t="s">
        <v>306</v>
      </c>
      <c r="N33" s="42">
        <f>countif(Sheet1!$E$2:$E$99,M33)</f>
        <v>1</v>
      </c>
    </row>
    <row r="34" ht="14.25" customHeight="1">
      <c r="M34" s="58" t="s">
        <v>199</v>
      </c>
      <c r="N34" s="42">
        <f>countif(Sheet1!$E$2:$E$99,M34)</f>
        <v>1</v>
      </c>
    </row>
    <row r="35" ht="14.25" customHeight="1">
      <c r="M35" s="58" t="s">
        <v>318</v>
      </c>
      <c r="N35" s="42">
        <f>countif(Sheet1!$E$2:$E$99,M35)</f>
        <v>1</v>
      </c>
    </row>
    <row r="36" ht="14.25" customHeight="1">
      <c r="M36" s="58" t="s">
        <v>291</v>
      </c>
      <c r="N36" s="42">
        <f>countif(Sheet1!$E$2:$E$99,M36)</f>
        <v>1</v>
      </c>
    </row>
    <row r="37" ht="14.25" customHeight="1">
      <c r="M37" s="58" t="s">
        <v>408</v>
      </c>
      <c r="N37" s="42">
        <f>countif(Sheet1!$E$2:$E$99,M37)</f>
        <v>0</v>
      </c>
    </row>
    <row r="38" ht="14.25" customHeight="1">
      <c r="M38" s="58" t="s">
        <v>254</v>
      </c>
      <c r="N38" s="42">
        <f>countif(Sheet1!$E$2:$E$99,M38)</f>
        <v>2</v>
      </c>
    </row>
    <row r="39" ht="14.25" customHeight="1">
      <c r="M39" s="58" t="s">
        <v>300</v>
      </c>
      <c r="N39" s="42">
        <f>countif(Sheet1!$E$2:$E$99,M39)</f>
        <v>1</v>
      </c>
    </row>
    <row r="40" ht="14.25" customHeight="1">
      <c r="M40" s="58" t="s">
        <v>272</v>
      </c>
      <c r="N40" s="42">
        <f>countif(Sheet1!$E$2:$E$99,M40)</f>
        <v>1</v>
      </c>
    </row>
    <row r="41" ht="14.25" customHeight="1">
      <c r="M41" s="58" t="s">
        <v>356</v>
      </c>
      <c r="N41" s="42">
        <f>countif(Sheet1!$E$2:$E$99,M41)</f>
        <v>1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1:C2"/>
    <mergeCell ref="D1:L2"/>
    <mergeCell ref="M1:R2"/>
    <mergeCell ref="A4:B5"/>
    <mergeCell ref="E4:N5"/>
    <mergeCell ref="E7:F7"/>
    <mergeCell ref="I7:J7"/>
    <mergeCell ref="M7:N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86"/>
    <col customWidth="1" min="4" max="4" width="14.71"/>
    <col customWidth="1" min="5" max="5" width="12.71"/>
    <col customWidth="1" min="6" max="6" width="9.86"/>
    <col customWidth="1" min="7" max="26" width="8.71"/>
  </cols>
  <sheetData>
    <row r="1" ht="14.25" customHeight="1">
      <c r="A1" s="26"/>
      <c r="B1" s="28"/>
      <c r="C1" s="29" t="s">
        <v>375</v>
      </c>
      <c r="D1" s="27"/>
      <c r="E1" s="27"/>
      <c r="F1" s="27"/>
      <c r="G1" s="27"/>
      <c r="H1" s="27"/>
      <c r="I1" s="27"/>
      <c r="J1" s="27"/>
      <c r="K1" s="28"/>
      <c r="L1" s="35"/>
      <c r="M1" s="35"/>
      <c r="N1" s="35"/>
      <c r="O1" s="35"/>
    </row>
    <row r="2" ht="14.25" customHeight="1">
      <c r="A2" s="30"/>
      <c r="B2" s="32"/>
      <c r="C2" s="30"/>
      <c r="D2" s="31"/>
      <c r="E2" s="31"/>
      <c r="F2" s="31"/>
      <c r="G2" s="31"/>
      <c r="H2" s="31"/>
      <c r="I2" s="31"/>
      <c r="J2" s="31"/>
      <c r="K2" s="32"/>
      <c r="L2" s="35"/>
      <c r="M2" s="35"/>
      <c r="N2" s="35"/>
      <c r="O2" s="35"/>
    </row>
    <row r="3" ht="14.25" customHeight="1"/>
    <row r="4" ht="14.25" customHeight="1"/>
    <row r="5" ht="14.25" customHeight="1"/>
    <row r="6" ht="42.75" customHeight="1">
      <c r="E6" s="59" t="s">
        <v>409</v>
      </c>
      <c r="F6" s="27"/>
      <c r="G6" s="27"/>
      <c r="H6" s="27"/>
      <c r="I6" s="28"/>
    </row>
    <row r="7" ht="14.25" customHeight="1">
      <c r="E7" s="30"/>
      <c r="F7" s="31"/>
      <c r="G7" s="31"/>
      <c r="H7" s="31"/>
      <c r="I7" s="32"/>
    </row>
    <row r="8" ht="14.25" customHeight="1"/>
    <row r="9" ht="14.25" customHeight="1"/>
    <row r="10" ht="14.25" customHeight="1">
      <c r="B10" s="42"/>
      <c r="C10" s="60" t="s">
        <v>410</v>
      </c>
      <c r="D10" s="60" t="s">
        <v>411</v>
      </c>
      <c r="E10" s="60" t="s">
        <v>412</v>
      </c>
      <c r="K10" s="61" t="s">
        <v>65</v>
      </c>
      <c r="L10" s="61" t="s">
        <v>66</v>
      </c>
      <c r="M10" s="61" t="s">
        <v>58</v>
      </c>
      <c r="N10" s="61" t="s">
        <v>67</v>
      </c>
      <c r="O10" s="61" t="s">
        <v>413</v>
      </c>
      <c r="P10" s="61" t="s">
        <v>69</v>
      </c>
      <c r="Q10" s="61" t="s">
        <v>70</v>
      </c>
    </row>
    <row r="11" ht="14.25" customHeight="1">
      <c r="B11" s="62" t="s">
        <v>414</v>
      </c>
      <c r="C11" s="42">
        <f>sum(Sheet1!Q2:Q99)</f>
        <v>560.83</v>
      </c>
      <c r="D11" s="42">
        <f>AVERAGEif(Sheet1!R2:R99,"&gt;0")</f>
        <v>4.140196078</v>
      </c>
      <c r="E11" s="42">
        <f>countif(Sheet1!R$2:R$99,"&gt;0")</f>
        <v>17</v>
      </c>
      <c r="J11" s="62" t="s">
        <v>65</v>
      </c>
      <c r="K11" s="63">
        <f>countif(Sheet1!AF2:AF99,"Ama")</f>
        <v>3</v>
      </c>
      <c r="L11" s="5">
        <f>countifs(Sheet1!$AF$2:$AF$99,"*Ama*",Sheet1!$AF$2:$AF$99,"*Anu*")</f>
        <v>9</v>
      </c>
      <c r="M11" s="5">
        <f>countifs(Sheet1!$AF$2:$AF$99,"*Ama*",Sheet1!$AF$2:$AF$99,"*Ash*")</f>
        <v>10</v>
      </c>
      <c r="N11" s="64">
        <f>countifs(Sheet1!$AF$2:$AF$99,"*Ama*",Sheet1!$AF$2:$AF$99,"*Gha*")</f>
        <v>0</v>
      </c>
      <c r="O11" s="64">
        <f>countifs(Sheet1!$AF$2:$AF$99,"*Ama*",Sheet1!$AF$2:$AF$99,"*0m*")</f>
        <v>11</v>
      </c>
      <c r="P11" s="64">
        <f>countifs(Sheet1!$AF$2:$AF$99,"*Ama*",Sheet1!$AF$2:$AF$99,"*Pey*")</f>
        <v>10</v>
      </c>
      <c r="Q11" s="64">
        <f>countifs(Sheet1!$AF$2:$AF$99,"*Ama*",Sheet1!$AF$2:$AF$99,"*Vin*")</f>
        <v>2</v>
      </c>
    </row>
    <row r="12" ht="14.25" customHeight="1">
      <c r="B12" s="65" t="s">
        <v>415</v>
      </c>
      <c r="C12" s="66">
        <f>sum(Sheet1!U2:U99)</f>
        <v>518.8002692</v>
      </c>
      <c r="D12" s="42">
        <f>AVERAGEIF(Sheet1!V2:V99,"&gt;0")</f>
        <v>7.064848485</v>
      </c>
      <c r="E12" s="42">
        <f>countif(Sheet1!U$2:U$99,"&gt;0")</f>
        <v>22</v>
      </c>
      <c r="J12" s="65" t="s">
        <v>66</v>
      </c>
      <c r="K12" s="5">
        <f>countifs(Sheet1!$AF$2:$AF$99,"*Anu*",Sheet1!$AF$2:$AF$99,"*Ama*")</f>
        <v>9</v>
      </c>
      <c r="L12" s="63">
        <f>countif(Sheet1!AF2:AF99,"Anu")</f>
        <v>2</v>
      </c>
      <c r="M12" s="64">
        <f>countifs(Sheet1!$AF$2:$AF$99,"*Anu*",Sheet1!$AF$2:$AF$99,"*Ash*")</f>
        <v>6</v>
      </c>
      <c r="N12" s="64">
        <f>countifs(Sheet1!$AF$2:$AF$99,"*Anu*",Sheet1!$AF$2:$AF$99,"*Gha*")</f>
        <v>3</v>
      </c>
      <c r="O12" s="64">
        <f>countifs(Sheet1!$AF$2:$AF$99,"*Anu*",Sheet1!$AF$2:$AF$99,"*0m*")</f>
        <v>7</v>
      </c>
      <c r="P12" s="64">
        <f>countifs(Sheet1!$AF$2:$AF$99,"*Anu*",Sheet1!$AF$2:$AF$99,"*Pey*")</f>
        <v>11</v>
      </c>
      <c r="Q12" s="64">
        <f>countifs(Sheet1!$AF$2:$AF$99,"*Anu*",Sheet1!$AF$2:$AF$99,"*Vin*")</f>
        <v>5</v>
      </c>
    </row>
    <row r="13" ht="14.25" customHeight="1">
      <c r="B13" s="67" t="s">
        <v>416</v>
      </c>
      <c r="C13" s="66">
        <f>sum(Sheet1!Y2:Y99)</f>
        <v>799.9300167</v>
      </c>
      <c r="D13" s="42">
        <f>AVERAGEIF(Sheet1!Z2:Z99,"&gt;0")</f>
        <v>5.917866667</v>
      </c>
      <c r="E13" s="42">
        <f>countif(Sheet1!Y$2:Y$99,"&gt;0")</f>
        <v>25</v>
      </c>
      <c r="J13" s="67" t="s">
        <v>58</v>
      </c>
      <c r="K13" s="5">
        <f>countifs(Sheet1!$AF$2:$AF$99,"*Ash*",Sheet1!$AF$2:$AF$99,"*Ama*")</f>
        <v>10</v>
      </c>
      <c r="L13" s="5">
        <f>countifs(Sheet1!$AF$2:$AF$99,"*Ash*",Sheet1!$AF$2:$AF$99,"*Anu*")</f>
        <v>6</v>
      </c>
      <c r="M13" s="68">
        <f>countif(Sheet1!AF2:AF99,"Ash")</f>
        <v>3</v>
      </c>
      <c r="N13" s="64">
        <f>countifs(Sheet1!$AF$2:$AF$99,"*Ash*",Sheet1!$AF$2:$AF$99,"*Gha*")</f>
        <v>0</v>
      </c>
      <c r="O13" s="64">
        <f>countifs(Sheet1!$AF$2:$AF$99,"*Ash*",Sheet1!$AF$2:$AF$99,"*0m*")</f>
        <v>5</v>
      </c>
      <c r="P13" s="64">
        <f>countifs(Sheet1!$AF$2:$AF$99,"*Ash*",Sheet1!$AF$2:$AF$99,"*Pey*")</f>
        <v>8</v>
      </c>
      <c r="Q13" s="64">
        <f>countifs(Sheet1!$AF$2:$AF$99,"*Ash*",Sheet1!$AF$2:$AF$99,"*Vin*")</f>
        <v>3</v>
      </c>
    </row>
    <row r="14" ht="14.25" customHeight="1">
      <c r="B14" s="69" t="s">
        <v>417</v>
      </c>
      <c r="C14" s="42">
        <f>sum(Sheet1!AA2:AA99)</f>
        <v>784.0302525</v>
      </c>
      <c r="D14" s="42">
        <f>averageif(Sheet1!AB2:AB99,"&gt;0")</f>
        <v>13.2144</v>
      </c>
      <c r="E14" s="42">
        <f>countif(Sheet1!AA$2:AA$99,"&gt;0")</f>
        <v>25</v>
      </c>
      <c r="J14" s="69" t="s">
        <v>67</v>
      </c>
      <c r="K14" s="5">
        <f>countifs(Sheet1!$AF$2:$AF$99,"*Gha*",Sheet1!$AF$2:$AF$99,"*Ama*")</f>
        <v>0</v>
      </c>
      <c r="L14" s="64">
        <f>countifs(Sheet1!$AF$2:$AF$99,"*Gha*",Sheet1!$AF$2:$AF$99,"*Anu*")</f>
        <v>3</v>
      </c>
      <c r="M14" s="5">
        <f>countifs(Sheet1!$AF$2:$AF$99,"*Gha*",Sheet1!$AF$2:$AF$99,"*Ash*")</f>
        <v>0</v>
      </c>
      <c r="N14" s="68">
        <f>countif(Sheet1!AF2:AF99,"Gha")</f>
        <v>0</v>
      </c>
      <c r="O14" s="64">
        <f>countifs(Sheet1!$AF$2:$AF$99,"*Gha*",Sheet1!$AF$2:$AF$99,"*0m*")</f>
        <v>3</v>
      </c>
      <c r="P14" s="64">
        <f>countifs(Sheet1!$AF$2:$AF$99,"*Gha*",Sheet1!$AF$2:$AF$99,"*Pey*")</f>
        <v>4</v>
      </c>
      <c r="Q14" s="64">
        <f>countifs(Sheet1!$AF$2:$AF$99,"*Gha*",Sheet1!$AF$2:$AF$99,"*Vin*")</f>
        <v>4</v>
      </c>
    </row>
    <row r="15" ht="14.25" customHeight="1">
      <c r="B15" s="70" t="s">
        <v>418</v>
      </c>
      <c r="C15" s="42">
        <f>sum(Sheet1!AC2:AC99)</f>
        <v>119.9302525</v>
      </c>
      <c r="D15" s="42">
        <f>AVERAGEIF(Sheet1!AD2:AD99,"&gt;0")</f>
        <v>6.95</v>
      </c>
      <c r="E15" s="42">
        <f>countif(Sheet1!AC$2:AC$99,"&gt;0")</f>
        <v>6</v>
      </c>
      <c r="J15" s="70" t="s">
        <v>413</v>
      </c>
      <c r="K15" s="5">
        <f>countifs(Sheet1!$AF$2:$AF$99,"*0m*",Sheet1!$AF$2:$AF$99,"*Ama*")</f>
        <v>11</v>
      </c>
      <c r="L15" s="64">
        <f>countifs(Sheet1!$AF$2:$AF$99,"*0m*",Sheet1!$AF$2:$AF$99,"*Anu*")</f>
        <v>7</v>
      </c>
      <c r="M15" s="64">
        <f>countifs(Sheet1!$AF$2:$AF$99,"*0m*",Sheet1!$AF$2:$AF$99,"*Ash*")</f>
        <v>5</v>
      </c>
      <c r="N15" s="64">
        <f>countifs(Sheet1!$AF$2:$AF$99,"*0m*",Sheet1!$AF$2:$AF$99,"*Gha*")</f>
        <v>3</v>
      </c>
      <c r="O15" s="68">
        <f>countif(Sheet1!AF2:AF99,"0m")</f>
        <v>3</v>
      </c>
      <c r="P15" s="64">
        <f>countifs(Sheet1!$AF$2:$AF$99,"*0m*",Sheet1!$AF$2:$AF$99,"*Pey*")</f>
        <v>8</v>
      </c>
      <c r="Q15" s="64">
        <f>countifs(Sheet1!$AF$2:$AF$99,"*0m*",Sheet1!$AF$2:$AF$99,"*Vin*")</f>
        <v>4</v>
      </c>
    </row>
    <row r="16" ht="14.25" customHeight="1">
      <c r="B16" s="71" t="s">
        <v>419</v>
      </c>
      <c r="C16" s="42">
        <f>sum(Sheet1!W2:W99)</f>
        <v>338.26</v>
      </c>
      <c r="D16" s="42">
        <f>averageif(Sheet1!X2:X99,"&gt;0")</f>
        <v>9.156153846</v>
      </c>
      <c r="E16" s="42">
        <f>countif(Sheet1!W$2:W$99,"&gt;0")</f>
        <v>13</v>
      </c>
      <c r="J16" s="71" t="s">
        <v>69</v>
      </c>
      <c r="K16" s="5">
        <f>countifs(Sheet1!$AF$2:$AF$99,"*Pey*",Sheet1!$AF$2:$AF$99,"*Ama*")</f>
        <v>10</v>
      </c>
      <c r="L16" s="64">
        <f>countifs(Sheet1!$AF$2:$AF$99,"*Pey*",Sheet1!$AF$2:$AF$99,"*Anu*")</f>
        <v>11</v>
      </c>
      <c r="M16" s="64">
        <f>countifs(Sheet1!$AF$2:$AF$99,"*Pey*",Sheet1!$AF$2:$AF$99,"*Ash*")</f>
        <v>8</v>
      </c>
      <c r="N16" s="64">
        <f>countifs(Sheet1!$AF$2:$AF$99,"*Pey*",Sheet1!$AF$2:$AF$99,"*Gha*")</f>
        <v>4</v>
      </c>
      <c r="O16" s="5">
        <f>countifs(Sheet1!$AF$2:$AF$99,"*Pey*",Sheet1!$AF$2:$AF$99,"*0m*")</f>
        <v>8</v>
      </c>
      <c r="P16" s="68">
        <f>countif(Sheet1!AF2:AF99,"Pey")</f>
        <v>7</v>
      </c>
      <c r="Q16" s="64">
        <f>countifs(Sheet1!$AF$2:$AF$99,"*Pey*",Sheet1!$AF$2:$AF$99,"*Vin*")</f>
        <v>3</v>
      </c>
    </row>
    <row r="17" ht="14.25" customHeight="1">
      <c r="B17" s="72" t="s">
        <v>420</v>
      </c>
      <c r="C17" s="42">
        <f>sum(Sheet1!S2:S99)</f>
        <v>595.8002692</v>
      </c>
      <c r="D17" s="42">
        <f>AVERAGEIF(Sheet1!T2:T99,"&gt;0")</f>
        <v>5.135833333</v>
      </c>
      <c r="E17" s="42">
        <f>countif(Sheet1!S$2:S$99,"&gt;0")</f>
        <v>20</v>
      </c>
      <c r="J17" s="72" t="s">
        <v>70</v>
      </c>
      <c r="K17" s="5">
        <f>countifs(Sheet1!$AF$2:$AF$99,"*Vin*",Sheet1!$AF$2:$AF$99,"*Ama*")</f>
        <v>2</v>
      </c>
      <c r="L17" s="64">
        <f>countifs(Sheet1!$AF$2:$AF$99,"*Vin*",Sheet1!$AF$2:$AF$99,"*Anu*")</f>
        <v>5</v>
      </c>
      <c r="M17" s="64">
        <f>countifs(Sheet1!$AF$2:$AF$99,"*Vin*",Sheet1!$AF$2:$AF$99,"*Ash*")</f>
        <v>3</v>
      </c>
      <c r="N17" s="5">
        <f>countifs(Sheet1!$AF$2:$AF$99,"*Vin*",Sheet1!$AF$2:$AF$99,"*Gha*")</f>
        <v>4</v>
      </c>
      <c r="O17" s="64">
        <f>countifs(Sheet1!$AF$2:$AF$99,"*Vin*",Sheet1!$AF$2:$AF$99,"*0m*")</f>
        <v>4</v>
      </c>
      <c r="P17" s="64">
        <f>countifs(Sheet1!$AF$2:$AF$99,"*Vin*",Sheet1!$AF$2:$AF$99,"*Pey*")</f>
        <v>3</v>
      </c>
      <c r="Q17" s="68">
        <f>countif(Sheet1!AF2:AF99,"Vin")</f>
        <v>1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B2"/>
    <mergeCell ref="C1:K2"/>
    <mergeCell ref="E6:I7"/>
  </mergeCells>
  <conditionalFormatting sqref="J10:Q17">
    <cfRule type="cellIs" dxfId="0" priority="1" operator="greaterThan">
      <formula>10</formula>
    </cfRule>
  </conditionalFormatting>
  <conditionalFormatting sqref="J10:Q17">
    <cfRule type="cellIs" dxfId="1" priority="2" operator="lessThan">
      <formula>4</formula>
    </cfRule>
  </conditionalFormatting>
  <conditionalFormatting sqref="J10:Q17">
    <cfRule type="cellIs" dxfId="2" priority="3" operator="between">
      <formula>4</formula>
      <formula>10</formula>
    </cfRule>
  </conditionalFormatting>
  <printOptions/>
  <pageMargins bottom="0.75" footer="0.0" header="0.0" left="0.7" right="0.7" top="0.75"/>
  <pageSetup orientation="landscape"/>
  <drawing r:id="rId1"/>
</worksheet>
</file>