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advirdi/Desktop/3.0 Code and Database/WaterWhizFrontend/static/"/>
    </mc:Choice>
  </mc:AlternateContent>
  <xr:revisionPtr revIDLastSave="0" documentId="13_ncr:1_{DD6CA3B1-DABB-4648-8A9C-4F1A3EF7A7A7}" xr6:coauthVersionLast="47" xr6:coauthVersionMax="47" xr10:uidLastSave="{00000000-0000-0000-0000-000000000000}"/>
  <bookViews>
    <workbookView xWindow="0" yWindow="500" windowWidth="28800" windowHeight="15800" xr2:uid="{E1C06684-F8DE-0E4C-8BB0-CBB13BC3B7F8}"/>
  </bookViews>
  <sheets>
    <sheet name="Biotech" sheetId="1" r:id="rId1"/>
    <sheet name="Sheet1" sheetId="10" r:id="rId2"/>
    <sheet name="SOFTRAK" sheetId="9" r:id="rId3"/>
    <sheet name="HINDBIO" sheetId="8" r:id="rId4"/>
    <sheet name="BIBCOL" sheetId="7" r:id="rId5"/>
    <sheet name="ZENOTECH" sheetId="5" r:id="rId6"/>
    <sheet name="NIRMAN" sheetId="6" r:id="rId7"/>
    <sheet name="BIOCON" sheetId="2" r:id="rId8"/>
    <sheet name="PANACEA" sheetId="3" r:id="rId9"/>
    <sheet name="HESTE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4" i="10" l="1"/>
  <c r="I10" i="10"/>
  <c r="CA9" i="10"/>
  <c r="BZ9" i="10"/>
  <c r="BX9" i="10"/>
  <c r="BU9" i="10"/>
  <c r="BS9" i="10"/>
  <c r="BQ9" i="10"/>
  <c r="BJ9" i="10"/>
  <c r="BI9" i="10"/>
  <c r="BH9" i="10"/>
  <c r="BG9" i="10"/>
  <c r="BB9" i="10"/>
  <c r="BF9" i="10" s="1"/>
  <c r="BA9" i="10"/>
  <c r="BM9" i="10" s="1"/>
  <c r="AZ9" i="10"/>
  <c r="BL9" i="10" s="1"/>
  <c r="AY9" i="10"/>
  <c r="BK9" i="10" s="1"/>
  <c r="AW9" i="10"/>
  <c r="AV9" i="10"/>
  <c r="AU9" i="10"/>
  <c r="AX9" i="10" s="1"/>
  <c r="AT9" i="10"/>
  <c r="AS9" i="10"/>
  <c r="H9" i="10"/>
  <c r="F9" i="10"/>
  <c r="E9" i="10"/>
  <c r="CA8" i="10"/>
  <c r="BX8" i="10"/>
  <c r="BU8" i="10"/>
  <c r="BS8" i="10"/>
  <c r="BQ8" i="10"/>
  <c r="BJ8" i="10"/>
  <c r="BI8" i="10"/>
  <c r="BH8" i="10"/>
  <c r="BG8" i="10"/>
  <c r="BB8" i="10"/>
  <c r="BF8" i="10" s="1"/>
  <c r="BA8" i="10"/>
  <c r="BM8" i="10" s="1"/>
  <c r="AZ8" i="10"/>
  <c r="BL8" i="10" s="1"/>
  <c r="AY8" i="10"/>
  <c r="BK8" i="10" s="1"/>
  <c r="AW8" i="10"/>
  <c r="AV8" i="10"/>
  <c r="AU8" i="10"/>
  <c r="AX8" i="10" s="1"/>
  <c r="AT8" i="10"/>
  <c r="AS8" i="10"/>
  <c r="H8" i="10"/>
  <c r="F8" i="10"/>
  <c r="E8" i="10"/>
  <c r="BX7" i="10"/>
  <c r="BZ7" i="10" s="1"/>
  <c r="BU7" i="10"/>
  <c r="BS7" i="10"/>
  <c r="BQ7" i="10"/>
  <c r="BM7" i="10"/>
  <c r="BL7" i="10"/>
  <c r="BJ7" i="10"/>
  <c r="BI7" i="10"/>
  <c r="BH7" i="10"/>
  <c r="BG7" i="10"/>
  <c r="BE7" i="10"/>
  <c r="BD7" i="10"/>
  <c r="BB7" i="10"/>
  <c r="BF7" i="10" s="1"/>
  <c r="BA7" i="10"/>
  <c r="AZ7" i="10"/>
  <c r="BO7" i="10" s="1"/>
  <c r="BP7" i="10" s="1"/>
  <c r="AY7" i="10"/>
  <c r="BK7" i="10" s="1"/>
  <c r="AV7" i="10"/>
  <c r="AU7" i="10"/>
  <c r="AX7" i="10" s="1"/>
  <c r="AT7" i="10"/>
  <c r="AW7" i="10" s="1"/>
  <c r="AS7" i="10"/>
  <c r="H7" i="10"/>
  <c r="F7" i="10"/>
  <c r="E7" i="10"/>
  <c r="CA6" i="10"/>
  <c r="BZ6" i="10"/>
  <c r="BX6" i="10"/>
  <c r="BU6" i="10"/>
  <c r="BS6" i="10"/>
  <c r="BQ6" i="10"/>
  <c r="BL6" i="10"/>
  <c r="BJ6" i="10"/>
  <c r="BI6" i="10"/>
  <c r="BH6" i="10"/>
  <c r="BG6" i="10"/>
  <c r="BB6" i="10"/>
  <c r="BM6" i="10" s="1"/>
  <c r="BA6" i="10"/>
  <c r="AZ6" i="10"/>
  <c r="BD6" i="10" s="1"/>
  <c r="AY6" i="10"/>
  <c r="BK6" i="10" s="1"/>
  <c r="AX6" i="10"/>
  <c r="AU6" i="10"/>
  <c r="AT6" i="10"/>
  <c r="AW6" i="10" s="1"/>
  <c r="AS6" i="10"/>
  <c r="AV6" i="10" s="1"/>
  <c r="F6" i="10"/>
  <c r="G6" i="10" s="1"/>
  <c r="E6" i="10"/>
  <c r="H6" i="10" s="1"/>
  <c r="CA5" i="10"/>
  <c r="BZ5" i="10"/>
  <c r="BX5" i="10"/>
  <c r="BU5" i="10"/>
  <c r="BS5" i="10"/>
  <c r="BQ5" i="10"/>
  <c r="BJ5" i="10"/>
  <c r="BI5" i="10"/>
  <c r="BH5" i="10"/>
  <c r="BG5" i="10"/>
  <c r="BB5" i="10"/>
  <c r="BF5" i="10" s="1"/>
  <c r="BA5" i="10"/>
  <c r="BM5" i="10" s="1"/>
  <c r="AZ5" i="10"/>
  <c r="BL5" i="10" s="1"/>
  <c r="AY5" i="10"/>
  <c r="BK5" i="10" s="1"/>
  <c r="AW5" i="10"/>
  <c r="AV5" i="10"/>
  <c r="AU5" i="10"/>
  <c r="AX5" i="10" s="1"/>
  <c r="AT5" i="10"/>
  <c r="AS5" i="10"/>
  <c r="H5" i="10"/>
  <c r="E5" i="10"/>
  <c r="F5" i="10" s="1"/>
  <c r="G5" i="10" s="1"/>
  <c r="CA4" i="10"/>
  <c r="BZ4" i="10"/>
  <c r="BX4" i="10"/>
  <c r="BU4" i="10"/>
  <c r="BQ4" i="10"/>
  <c r="BO4" i="10"/>
  <c r="BP4" i="10" s="1"/>
  <c r="BJ4" i="10"/>
  <c r="BI4" i="10"/>
  <c r="BH4" i="10"/>
  <c r="BG4" i="10"/>
  <c r="BB4" i="10"/>
  <c r="BF4" i="10" s="1"/>
  <c r="BA4" i="10"/>
  <c r="BM4" i="10" s="1"/>
  <c r="AZ4" i="10"/>
  <c r="BL4" i="10" s="1"/>
  <c r="AY4" i="10"/>
  <c r="BC4" i="10" s="1"/>
  <c r="AX4" i="10"/>
  <c r="AU4" i="10"/>
  <c r="AT4" i="10"/>
  <c r="AW4" i="10" s="1"/>
  <c r="AS4" i="10"/>
  <c r="AV4" i="10" s="1"/>
  <c r="F4" i="10"/>
  <c r="G4" i="10" s="1"/>
  <c r="E4" i="10"/>
  <c r="H4" i="10" s="1"/>
  <c r="CA3" i="10"/>
  <c r="BX3" i="10"/>
  <c r="BZ3" i="10" s="1"/>
  <c r="BU3" i="10"/>
  <c r="BS3" i="10"/>
  <c r="BQ3" i="10"/>
  <c r="BJ3" i="10"/>
  <c r="BI3" i="10"/>
  <c r="BH3" i="10"/>
  <c r="BG3" i="10"/>
  <c r="BB3" i="10"/>
  <c r="BF3" i="10" s="1"/>
  <c r="BA3" i="10"/>
  <c r="BE3" i="10" s="1"/>
  <c r="AZ3" i="10"/>
  <c r="BD3" i="10" s="1"/>
  <c r="AY3" i="10"/>
  <c r="BK3" i="10" s="1"/>
  <c r="AW3" i="10"/>
  <c r="AV3" i="10"/>
  <c r="AU3" i="10"/>
  <c r="AX3" i="10" s="1"/>
  <c r="AT3" i="10"/>
  <c r="AS3" i="10"/>
  <c r="H3" i="10"/>
  <c r="E3" i="10"/>
  <c r="F3" i="10" s="1"/>
  <c r="G3" i="10" s="1"/>
  <c r="CA2" i="10"/>
  <c r="BZ2" i="10"/>
  <c r="BX2" i="10"/>
  <c r="BU2" i="10"/>
  <c r="BS2" i="10"/>
  <c r="BQ2" i="10"/>
  <c r="BO2" i="10"/>
  <c r="BP2" i="10" s="1"/>
  <c r="BT2" i="10" s="1"/>
  <c r="BJ2" i="10"/>
  <c r="BI2" i="10"/>
  <c r="BH2" i="10"/>
  <c r="BG2" i="10"/>
  <c r="BB2" i="10"/>
  <c r="BF2" i="10" s="1"/>
  <c r="BA2" i="10"/>
  <c r="BM2" i="10" s="1"/>
  <c r="AZ2" i="10"/>
  <c r="BL2" i="10" s="1"/>
  <c r="AY2" i="10"/>
  <c r="BC2" i="10" s="1"/>
  <c r="AX2" i="10"/>
  <c r="AU2" i="10"/>
  <c r="AT2" i="10"/>
  <c r="AW2" i="10" s="1"/>
  <c r="AS2" i="10"/>
  <c r="AV2" i="10" s="1"/>
  <c r="F2" i="10"/>
  <c r="G2" i="10" s="1"/>
  <c r="E2" i="10"/>
  <c r="H2" i="10" s="1"/>
  <c r="B22" i="9"/>
  <c r="B5" i="9"/>
  <c r="B4" i="9"/>
  <c r="B16" i="9"/>
  <c r="C12" i="9"/>
  <c r="D12" i="9" s="1"/>
  <c r="E12" i="9" s="1"/>
  <c r="F12" i="9" s="1"/>
  <c r="G12" i="9" s="1"/>
  <c r="H12" i="9" s="1"/>
  <c r="I12" i="9" s="1"/>
  <c r="J12" i="9" s="1"/>
  <c r="K12" i="9" s="1"/>
  <c r="L12" i="9" s="1"/>
  <c r="M5" i="9"/>
  <c r="B33" i="9"/>
  <c r="B25" i="9"/>
  <c r="B23" i="8"/>
  <c r="B22" i="8"/>
  <c r="B21" i="8"/>
  <c r="B4" i="8"/>
  <c r="BT4" i="10" l="1"/>
  <c r="BT7" i="10"/>
  <c r="BT6" i="10"/>
  <c r="BT3" i="10"/>
  <c r="BT5" i="10"/>
  <c r="BD8" i="10"/>
  <c r="BD9" i="10"/>
  <c r="BL3" i="10"/>
  <c r="BD5" i="10"/>
  <c r="BK2" i="10"/>
  <c r="BE5" i="10"/>
  <c r="BC6" i="10"/>
  <c r="BE8" i="10"/>
  <c r="BE9" i="10"/>
  <c r="BM3" i="10"/>
  <c r="BK4" i="10"/>
  <c r="BD2" i="10"/>
  <c r="BO3" i="10"/>
  <c r="BP3" i="10" s="1"/>
  <c r="BD4" i="10"/>
  <c r="BO5" i="10"/>
  <c r="BP5" i="10" s="1"/>
  <c r="BO6" i="10"/>
  <c r="BP6" i="10" s="1"/>
  <c r="BO8" i="10"/>
  <c r="BP8" i="10" s="1"/>
  <c r="BT8" i="10" s="1"/>
  <c r="BO9" i="10"/>
  <c r="BP9" i="10" s="1"/>
  <c r="BT9" i="10" s="1"/>
  <c r="BE2" i="10"/>
  <c r="BC3" i="10"/>
  <c r="BE4" i="10"/>
  <c r="BC5" i="10"/>
  <c r="BC8" i="10"/>
  <c r="BC9" i="10"/>
  <c r="B6" i="9"/>
  <c r="B7" i="9" s="1"/>
  <c r="B32" i="9"/>
  <c r="C4" i="9"/>
  <c r="B25" i="8"/>
  <c r="B16" i="8"/>
  <c r="C12" i="8"/>
  <c r="D12" i="8" s="1"/>
  <c r="E12" i="8" s="1"/>
  <c r="F12" i="8" s="1"/>
  <c r="G12" i="8" s="1"/>
  <c r="H12" i="8" s="1"/>
  <c r="I12" i="8" s="1"/>
  <c r="J12" i="8" s="1"/>
  <c r="K12" i="8" s="1"/>
  <c r="L12" i="8" s="1"/>
  <c r="C4" i="8"/>
  <c r="C8" i="8" s="1"/>
  <c r="B23" i="7"/>
  <c r="B22" i="7"/>
  <c r="B21" i="7"/>
  <c r="B4" i="7"/>
  <c r="B22" i="5"/>
  <c r="B16" i="7"/>
  <c r="C12" i="7"/>
  <c r="D12" i="7" s="1"/>
  <c r="E12" i="7" s="1"/>
  <c r="F12" i="7" s="1"/>
  <c r="G12" i="7" s="1"/>
  <c r="H12" i="7" s="1"/>
  <c r="I12" i="7" s="1"/>
  <c r="J12" i="7" s="1"/>
  <c r="K12" i="7" s="1"/>
  <c r="L12" i="7" s="1"/>
  <c r="M5" i="7"/>
  <c r="B23" i="6"/>
  <c r="B22" i="6"/>
  <c r="B21" i="6"/>
  <c r="B4" i="6"/>
  <c r="C4" i="6" s="1"/>
  <c r="B16" i="6"/>
  <c r="C12" i="6"/>
  <c r="D12" i="6" s="1"/>
  <c r="E12" i="6" s="1"/>
  <c r="F12" i="6" s="1"/>
  <c r="G12" i="6" s="1"/>
  <c r="H12" i="6" s="1"/>
  <c r="I12" i="6" s="1"/>
  <c r="J12" i="6" s="1"/>
  <c r="K12" i="6" s="1"/>
  <c r="L12" i="6" s="1"/>
  <c r="M5" i="6"/>
  <c r="B23" i="5"/>
  <c r="B21" i="5"/>
  <c r="B4" i="5"/>
  <c r="C4" i="5" s="1"/>
  <c r="B16" i="5"/>
  <c r="C12" i="5"/>
  <c r="D12" i="5" s="1"/>
  <c r="E12" i="5" s="1"/>
  <c r="F12" i="5" s="1"/>
  <c r="G12" i="5" s="1"/>
  <c r="H12" i="5" s="1"/>
  <c r="I12" i="5" s="1"/>
  <c r="J12" i="5" s="1"/>
  <c r="K12" i="5" s="1"/>
  <c r="L12" i="5" s="1"/>
  <c r="M5" i="5"/>
  <c r="B23" i="4"/>
  <c r="B22" i="4"/>
  <c r="B21" i="4"/>
  <c r="B4" i="4"/>
  <c r="C4" i="4" s="1"/>
  <c r="C6" i="4" s="1"/>
  <c r="C7" i="4" s="1"/>
  <c r="B16" i="4"/>
  <c r="C12" i="4"/>
  <c r="D12" i="4" s="1"/>
  <c r="E12" i="4" s="1"/>
  <c r="F12" i="4" s="1"/>
  <c r="G12" i="4" s="1"/>
  <c r="H12" i="4" s="1"/>
  <c r="I12" i="4" s="1"/>
  <c r="J12" i="4" s="1"/>
  <c r="K12" i="4" s="1"/>
  <c r="L12" i="4" s="1"/>
  <c r="M5" i="4"/>
  <c r="B20" i="3"/>
  <c r="B22" i="3"/>
  <c r="B21" i="3"/>
  <c r="B3" i="3"/>
  <c r="B15" i="3"/>
  <c r="C11" i="3"/>
  <c r="D11" i="3" s="1"/>
  <c r="E11" i="3" s="1"/>
  <c r="F11" i="3" s="1"/>
  <c r="G11" i="3" s="1"/>
  <c r="H11" i="3" s="1"/>
  <c r="I11" i="3" s="1"/>
  <c r="J11" i="3" s="1"/>
  <c r="K11" i="3" s="1"/>
  <c r="L11" i="3" s="1"/>
  <c r="M4" i="3"/>
  <c r="B23" i="2"/>
  <c r="B22" i="2"/>
  <c r="B21" i="2"/>
  <c r="C12" i="2"/>
  <c r="D12" i="2" s="1"/>
  <c r="E12" i="2" s="1"/>
  <c r="F12" i="2" s="1"/>
  <c r="G12" i="2" s="1"/>
  <c r="H12" i="2" s="1"/>
  <c r="I12" i="2" s="1"/>
  <c r="J12" i="2" s="1"/>
  <c r="K12" i="2" s="1"/>
  <c r="L12" i="2" s="1"/>
  <c r="B4" i="2"/>
  <c r="B16" i="2"/>
  <c r="M5" i="2"/>
  <c r="B5" i="8"/>
  <c r="B6" i="8" s="1"/>
  <c r="B7" i="8" s="1"/>
  <c r="C8" i="9" l="1"/>
  <c r="C6" i="9"/>
  <c r="C7" i="9" s="1"/>
  <c r="D4" i="9"/>
  <c r="B11" i="8"/>
  <c r="B32" i="8"/>
  <c r="C32" i="8" s="1"/>
  <c r="D4" i="8"/>
  <c r="C6" i="8"/>
  <c r="C7" i="8" s="1"/>
  <c r="C4" i="7"/>
  <c r="D4" i="7" s="1"/>
  <c r="E4" i="7" s="1"/>
  <c r="C8" i="6"/>
  <c r="D4" i="6"/>
  <c r="E4" i="6" s="1"/>
  <c r="E6" i="6" s="1"/>
  <c r="E7" i="6" s="1"/>
  <c r="C6" i="6"/>
  <c r="C7" i="6" s="1"/>
  <c r="C8" i="5"/>
  <c r="D4" i="5"/>
  <c r="E4" i="5" s="1"/>
  <c r="F4" i="5" s="1"/>
  <c r="C6" i="5"/>
  <c r="C7" i="5" s="1"/>
  <c r="D4" i="4"/>
  <c r="E4" i="4" s="1"/>
  <c r="E8" i="4" s="1"/>
  <c r="C8" i="4"/>
  <c r="B33" i="8"/>
  <c r="C4" i="2"/>
  <c r="C6" i="2" s="1"/>
  <c r="C7" i="2" s="1"/>
  <c r="C3" i="3"/>
  <c r="E4" i="9" l="1"/>
  <c r="D8" i="9"/>
  <c r="D6" i="9"/>
  <c r="D7" i="9" s="1"/>
  <c r="C9" i="9"/>
  <c r="C13" i="9" s="1"/>
  <c r="C34" i="9"/>
  <c r="C32" i="9"/>
  <c r="C9" i="8"/>
  <c r="C13" i="8" s="1"/>
  <c r="C33" i="8"/>
  <c r="E4" i="8"/>
  <c r="D8" i="8"/>
  <c r="D6" i="8"/>
  <c r="D7" i="8" s="1"/>
  <c r="C34" i="8"/>
  <c r="F4" i="7"/>
  <c r="G4" i="7" s="1"/>
  <c r="E6" i="7"/>
  <c r="E7" i="7" s="1"/>
  <c r="E8" i="7"/>
  <c r="D8" i="7"/>
  <c r="D6" i="7"/>
  <c r="D7" i="7" s="1"/>
  <c r="C8" i="7"/>
  <c r="C6" i="7"/>
  <c r="C7" i="7" s="1"/>
  <c r="C34" i="6"/>
  <c r="E8" i="6"/>
  <c r="E9" i="6" s="1"/>
  <c r="E13" i="6" s="1"/>
  <c r="D8" i="6"/>
  <c r="D6" i="6"/>
  <c r="D7" i="6" s="1"/>
  <c r="F4" i="6"/>
  <c r="F6" i="6" s="1"/>
  <c r="F7" i="6" s="1"/>
  <c r="C9" i="6"/>
  <c r="C13" i="6" s="1"/>
  <c r="D6" i="5"/>
  <c r="D7" i="5" s="1"/>
  <c r="E6" i="5"/>
  <c r="E7" i="5" s="1"/>
  <c r="E8" i="5"/>
  <c r="C34" i="5"/>
  <c r="C9" i="5"/>
  <c r="C13" i="5" s="1"/>
  <c r="D8" i="5"/>
  <c r="F8" i="5"/>
  <c r="F6" i="5"/>
  <c r="F7" i="5" s="1"/>
  <c r="G4" i="5"/>
  <c r="C9" i="4"/>
  <c r="C13" i="4" s="1"/>
  <c r="D8" i="4"/>
  <c r="F4" i="4"/>
  <c r="F8" i="4" s="1"/>
  <c r="D6" i="4"/>
  <c r="D7" i="4" s="1"/>
  <c r="E6" i="4"/>
  <c r="E7" i="4" s="1"/>
  <c r="E34" i="4" s="1"/>
  <c r="C34" i="4"/>
  <c r="D4" i="2"/>
  <c r="D8" i="2" s="1"/>
  <c r="C8" i="2"/>
  <c r="C9" i="2" s="1"/>
  <c r="C13" i="2" s="1"/>
  <c r="C7" i="3"/>
  <c r="C5" i="3"/>
  <c r="C6" i="3" s="1"/>
  <c r="D3" i="3"/>
  <c r="D32" i="9" l="1"/>
  <c r="D33" i="9" s="1"/>
  <c r="D34" i="9"/>
  <c r="D9" i="9"/>
  <c r="D13" i="9" s="1"/>
  <c r="C33" i="9"/>
  <c r="E8" i="9"/>
  <c r="E6" i="9"/>
  <c r="E7" i="9" s="1"/>
  <c r="F4" i="9"/>
  <c r="E8" i="8"/>
  <c r="E6" i="8"/>
  <c r="E7" i="8" s="1"/>
  <c r="F4" i="8"/>
  <c r="D9" i="8"/>
  <c r="D13" i="8" s="1"/>
  <c r="D34" i="8"/>
  <c r="D32" i="8"/>
  <c r="F6" i="7"/>
  <c r="F7" i="7" s="1"/>
  <c r="F8" i="7"/>
  <c r="E9" i="7"/>
  <c r="E13" i="7" s="1"/>
  <c r="E34" i="7"/>
  <c r="D9" i="7"/>
  <c r="D13" i="7" s="1"/>
  <c r="D34" i="7"/>
  <c r="C34" i="7"/>
  <c r="C9" i="7"/>
  <c r="C13" i="7" s="1"/>
  <c r="G8" i="7"/>
  <c r="G6" i="7"/>
  <c r="G7" i="7" s="1"/>
  <c r="H4" i="7"/>
  <c r="E34" i="6"/>
  <c r="D9" i="6"/>
  <c r="D13" i="6" s="1"/>
  <c r="F8" i="6"/>
  <c r="F9" i="6" s="1"/>
  <c r="F13" i="6" s="1"/>
  <c r="D34" i="6"/>
  <c r="G4" i="6"/>
  <c r="G8" i="6" s="1"/>
  <c r="E34" i="5"/>
  <c r="E9" i="5"/>
  <c r="E13" i="5" s="1"/>
  <c r="D9" i="5"/>
  <c r="D13" i="5" s="1"/>
  <c r="D34" i="5"/>
  <c r="F34" i="5"/>
  <c r="G8" i="5"/>
  <c r="G6" i="5"/>
  <c r="G7" i="5" s="1"/>
  <c r="H4" i="5"/>
  <c r="F9" i="5"/>
  <c r="F13" i="5" s="1"/>
  <c r="D9" i="4"/>
  <c r="D13" i="4" s="1"/>
  <c r="F6" i="4"/>
  <c r="F7" i="4" s="1"/>
  <c r="F34" i="4" s="1"/>
  <c r="G4" i="4"/>
  <c r="H4" i="4" s="1"/>
  <c r="D34" i="4"/>
  <c r="E9" i="4"/>
  <c r="E13" i="4" s="1"/>
  <c r="E4" i="2"/>
  <c r="E6" i="2" s="1"/>
  <c r="E7" i="2" s="1"/>
  <c r="D6" i="2"/>
  <c r="D7" i="2" s="1"/>
  <c r="D9" i="2" s="1"/>
  <c r="D13" i="2" s="1"/>
  <c r="C34" i="2"/>
  <c r="E3" i="3"/>
  <c r="D7" i="3"/>
  <c r="D5" i="3"/>
  <c r="D6" i="3" s="1"/>
  <c r="C8" i="3"/>
  <c r="C12" i="3" s="1"/>
  <c r="C33" i="3"/>
  <c r="F4" i="2" l="1"/>
  <c r="E9" i="9"/>
  <c r="E13" i="9" s="1"/>
  <c r="E34" i="9"/>
  <c r="G4" i="9"/>
  <c r="F8" i="9"/>
  <c r="F6" i="9"/>
  <c r="F7" i="9" s="1"/>
  <c r="E32" i="9"/>
  <c r="D33" i="8"/>
  <c r="E32" i="8"/>
  <c r="E33" i="8" s="1"/>
  <c r="F8" i="8"/>
  <c r="F6" i="8"/>
  <c r="F7" i="8" s="1"/>
  <c r="G4" i="8"/>
  <c r="E9" i="8"/>
  <c r="E13" i="8" s="1"/>
  <c r="E34" i="8"/>
  <c r="F9" i="7"/>
  <c r="F13" i="7" s="1"/>
  <c r="F34" i="7"/>
  <c r="G34" i="7"/>
  <c r="I4" i="7"/>
  <c r="H8" i="7"/>
  <c r="H6" i="7"/>
  <c r="H7" i="7" s="1"/>
  <c r="G9" i="7"/>
  <c r="G13" i="7" s="1"/>
  <c r="F34" i="6"/>
  <c r="H4" i="6"/>
  <c r="H8" i="6" s="1"/>
  <c r="G6" i="6"/>
  <c r="G7" i="6" s="1"/>
  <c r="G34" i="6" s="1"/>
  <c r="G9" i="5"/>
  <c r="G13" i="5" s="1"/>
  <c r="G34" i="5"/>
  <c r="I4" i="5"/>
  <c r="H8" i="5"/>
  <c r="H6" i="5"/>
  <c r="H7" i="5" s="1"/>
  <c r="F9" i="4"/>
  <c r="F13" i="4" s="1"/>
  <c r="G6" i="4"/>
  <c r="G7" i="4" s="1"/>
  <c r="G8" i="4"/>
  <c r="H8" i="4"/>
  <c r="H6" i="4"/>
  <c r="H7" i="4" s="1"/>
  <c r="I4" i="4"/>
  <c r="E8" i="2"/>
  <c r="E9" i="2" s="1"/>
  <c r="E13" i="2" s="1"/>
  <c r="D34" i="2"/>
  <c r="D33" i="3"/>
  <c r="D8" i="3"/>
  <c r="D12" i="3" s="1"/>
  <c r="E7" i="3"/>
  <c r="E5" i="3"/>
  <c r="E6" i="3" s="1"/>
  <c r="F3" i="3"/>
  <c r="F8" i="2"/>
  <c r="G4" i="2"/>
  <c r="F6" i="2"/>
  <c r="F7" i="2" s="1"/>
  <c r="E34" i="2" l="1"/>
  <c r="F32" i="9"/>
  <c r="F33" i="9" s="1"/>
  <c r="F9" i="9"/>
  <c r="F13" i="9" s="1"/>
  <c r="F34" i="9"/>
  <c r="E33" i="9"/>
  <c r="G8" i="9"/>
  <c r="G6" i="9"/>
  <c r="G7" i="9" s="1"/>
  <c r="H4" i="9"/>
  <c r="F32" i="8"/>
  <c r="F33" i="8" s="1"/>
  <c r="G8" i="8"/>
  <c r="G6" i="8"/>
  <c r="G7" i="8" s="1"/>
  <c r="H4" i="8"/>
  <c r="F9" i="8"/>
  <c r="F13" i="8" s="1"/>
  <c r="F34" i="8"/>
  <c r="H34" i="7"/>
  <c r="H9" i="7"/>
  <c r="H13" i="7" s="1"/>
  <c r="I8" i="7"/>
  <c r="I6" i="7"/>
  <c r="I7" i="7" s="1"/>
  <c r="J4" i="7"/>
  <c r="I4" i="6"/>
  <c r="I6" i="6" s="1"/>
  <c r="I7" i="6" s="1"/>
  <c r="G9" i="6"/>
  <c r="G13" i="6" s="1"/>
  <c r="H6" i="6"/>
  <c r="H7" i="6" s="1"/>
  <c r="H34" i="6" s="1"/>
  <c r="H9" i="5"/>
  <c r="H13" i="5" s="1"/>
  <c r="H34" i="5"/>
  <c r="I8" i="5"/>
  <c r="I6" i="5"/>
  <c r="I7" i="5" s="1"/>
  <c r="J4" i="5"/>
  <c r="G9" i="4"/>
  <c r="G13" i="4" s="1"/>
  <c r="G34" i="4"/>
  <c r="I8" i="4"/>
  <c r="I6" i="4"/>
  <c r="I7" i="4" s="1"/>
  <c r="J4" i="4"/>
  <c r="H9" i="4"/>
  <c r="H13" i="4" s="1"/>
  <c r="H34" i="4"/>
  <c r="E8" i="3"/>
  <c r="E12" i="3" s="1"/>
  <c r="E33" i="3"/>
  <c r="F7" i="3"/>
  <c r="F5" i="3"/>
  <c r="F6" i="3" s="1"/>
  <c r="G3" i="3"/>
  <c r="G8" i="2"/>
  <c r="G6" i="2"/>
  <c r="G7" i="2" s="1"/>
  <c r="H4" i="2"/>
  <c r="F9" i="2"/>
  <c r="F13" i="2" s="1"/>
  <c r="F34" i="2"/>
  <c r="I4" i="9" l="1"/>
  <c r="H8" i="9"/>
  <c r="H6" i="9"/>
  <c r="H7" i="9" s="1"/>
  <c r="G9" i="9"/>
  <c r="G13" i="9" s="1"/>
  <c r="G34" i="9"/>
  <c r="G32" i="9"/>
  <c r="G32" i="8"/>
  <c r="G33" i="8" s="1"/>
  <c r="I4" i="8"/>
  <c r="H8" i="8"/>
  <c r="H6" i="8"/>
  <c r="H7" i="8" s="1"/>
  <c r="G9" i="8"/>
  <c r="G13" i="8" s="1"/>
  <c r="G34" i="8"/>
  <c r="I34" i="7"/>
  <c r="K4" i="7"/>
  <c r="J8" i="7"/>
  <c r="J6" i="7"/>
  <c r="J7" i="7" s="1"/>
  <c r="I9" i="7"/>
  <c r="I13" i="7" s="1"/>
  <c r="I8" i="6"/>
  <c r="I9" i="6" s="1"/>
  <c r="I13" i="6" s="1"/>
  <c r="J4" i="6"/>
  <c r="K4" i="6" s="1"/>
  <c r="H9" i="6"/>
  <c r="H13" i="6" s="1"/>
  <c r="K4" i="5"/>
  <c r="J8" i="5"/>
  <c r="J6" i="5"/>
  <c r="J7" i="5" s="1"/>
  <c r="I9" i="5"/>
  <c r="I13" i="5" s="1"/>
  <c r="I34" i="5"/>
  <c r="J6" i="4"/>
  <c r="J7" i="4" s="1"/>
  <c r="K4" i="4"/>
  <c r="J8" i="4"/>
  <c r="I9" i="4"/>
  <c r="I13" i="4" s="1"/>
  <c r="I34" i="4"/>
  <c r="F8" i="3"/>
  <c r="F12" i="3" s="1"/>
  <c r="F33" i="3"/>
  <c r="G7" i="3"/>
  <c r="G5" i="3"/>
  <c r="G6" i="3" s="1"/>
  <c r="H3" i="3"/>
  <c r="H8" i="2"/>
  <c r="H6" i="2"/>
  <c r="H7" i="2" s="1"/>
  <c r="I4" i="2"/>
  <c r="G9" i="2"/>
  <c r="G13" i="2" s="1"/>
  <c r="G34" i="2"/>
  <c r="H32" i="9" l="1"/>
  <c r="H33" i="9" s="1"/>
  <c r="H9" i="9"/>
  <c r="H13" i="9" s="1"/>
  <c r="H34" i="9"/>
  <c r="G33" i="9"/>
  <c r="I8" i="9"/>
  <c r="J4" i="9"/>
  <c r="I6" i="9"/>
  <c r="I7" i="9" s="1"/>
  <c r="H32" i="8"/>
  <c r="H33" i="8" s="1"/>
  <c r="H9" i="8"/>
  <c r="H13" i="8" s="1"/>
  <c r="H34" i="8"/>
  <c r="I8" i="8"/>
  <c r="I6" i="8"/>
  <c r="I7" i="8" s="1"/>
  <c r="J4" i="8"/>
  <c r="J34" i="7"/>
  <c r="K8" i="7"/>
  <c r="K6" i="7"/>
  <c r="K7" i="7" s="1"/>
  <c r="L4" i="7"/>
  <c r="J9" i="7"/>
  <c r="J13" i="7" s="1"/>
  <c r="I34" i="6"/>
  <c r="J8" i="6"/>
  <c r="J6" i="6"/>
  <c r="J7" i="6" s="1"/>
  <c r="K8" i="6"/>
  <c r="K6" i="6"/>
  <c r="K7" i="6" s="1"/>
  <c r="L4" i="6"/>
  <c r="J34" i="5"/>
  <c r="J9" i="5"/>
  <c r="J13" i="5" s="1"/>
  <c r="K8" i="5"/>
  <c r="K6" i="5"/>
  <c r="K7" i="5" s="1"/>
  <c r="L4" i="5"/>
  <c r="J34" i="4"/>
  <c r="J9" i="4"/>
  <c r="J13" i="4" s="1"/>
  <c r="K8" i="4"/>
  <c r="K6" i="4"/>
  <c r="K7" i="4" s="1"/>
  <c r="L4" i="4"/>
  <c r="G33" i="3"/>
  <c r="G8" i="3"/>
  <c r="G12" i="3" s="1"/>
  <c r="I3" i="3"/>
  <c r="H7" i="3"/>
  <c r="H5" i="3"/>
  <c r="H6" i="3" s="1"/>
  <c r="J4" i="2"/>
  <c r="I8" i="2"/>
  <c r="I6" i="2"/>
  <c r="I7" i="2" s="1"/>
  <c r="H9" i="2"/>
  <c r="H13" i="2" s="1"/>
  <c r="H34" i="2"/>
  <c r="I32" i="9" l="1"/>
  <c r="I33" i="9" s="1"/>
  <c r="I9" i="9"/>
  <c r="I13" i="9" s="1"/>
  <c r="K4" i="9"/>
  <c r="J8" i="9"/>
  <c r="J6" i="9"/>
  <c r="J7" i="9" s="1"/>
  <c r="I34" i="9"/>
  <c r="I34" i="8"/>
  <c r="I9" i="8"/>
  <c r="I13" i="8" s="1"/>
  <c r="I32" i="8"/>
  <c r="J8" i="8"/>
  <c r="J6" i="8"/>
  <c r="J7" i="8" s="1"/>
  <c r="K4" i="8"/>
  <c r="M4" i="7"/>
  <c r="M6" i="7" s="1"/>
  <c r="L8" i="7"/>
  <c r="L6" i="7"/>
  <c r="L7" i="7" s="1"/>
  <c r="K9" i="7"/>
  <c r="K13" i="7" s="1"/>
  <c r="K34" i="7"/>
  <c r="J34" i="6"/>
  <c r="J9" i="6"/>
  <c r="J13" i="6" s="1"/>
  <c r="K34" i="6"/>
  <c r="M4" i="6"/>
  <c r="M6" i="6" s="1"/>
  <c r="L8" i="6"/>
  <c r="L6" i="6"/>
  <c r="L7" i="6" s="1"/>
  <c r="K9" i="6"/>
  <c r="K13" i="6" s="1"/>
  <c r="K34" i="5"/>
  <c r="M4" i="5"/>
  <c r="M6" i="5" s="1"/>
  <c r="L8" i="5"/>
  <c r="L6" i="5"/>
  <c r="L7" i="5" s="1"/>
  <c r="K9" i="5"/>
  <c r="K13" i="5" s="1"/>
  <c r="K9" i="4"/>
  <c r="K13" i="4" s="1"/>
  <c r="K34" i="4"/>
  <c r="M4" i="4"/>
  <c r="M6" i="4" s="1"/>
  <c r="L8" i="4"/>
  <c r="L6" i="4"/>
  <c r="L7" i="4" s="1"/>
  <c r="J3" i="3"/>
  <c r="I7" i="3"/>
  <c r="I5" i="3"/>
  <c r="I6" i="3" s="1"/>
  <c r="H8" i="3"/>
  <c r="H12" i="3" s="1"/>
  <c r="H33" i="3"/>
  <c r="I9" i="2"/>
  <c r="I13" i="2" s="1"/>
  <c r="I34" i="2"/>
  <c r="J6" i="2"/>
  <c r="J7" i="2" s="1"/>
  <c r="J8" i="2"/>
  <c r="K4" i="2"/>
  <c r="J34" i="9" l="1"/>
  <c r="J9" i="9"/>
  <c r="J13" i="9" s="1"/>
  <c r="K8" i="9"/>
  <c r="K6" i="9"/>
  <c r="K7" i="9" s="1"/>
  <c r="L4" i="9"/>
  <c r="J32" i="9"/>
  <c r="J32" i="8"/>
  <c r="J33" i="8" s="1"/>
  <c r="I33" i="8"/>
  <c r="J34" i="8"/>
  <c r="J9" i="8"/>
  <c r="J13" i="8" s="1"/>
  <c r="K8" i="8"/>
  <c r="K6" i="8"/>
  <c r="K7" i="8" s="1"/>
  <c r="L4" i="8"/>
  <c r="L34" i="7"/>
  <c r="L9" i="7"/>
  <c r="L13" i="7" s="1"/>
  <c r="B19" i="7" s="1"/>
  <c r="M7" i="7"/>
  <c r="L9" i="6"/>
  <c r="L13" i="6" s="1"/>
  <c r="B19" i="6" s="1"/>
  <c r="L34" i="6"/>
  <c r="M7" i="6"/>
  <c r="L34" i="5"/>
  <c r="L9" i="5"/>
  <c r="L13" i="5" s="1"/>
  <c r="B19" i="5" s="1"/>
  <c r="M7" i="5"/>
  <c r="L9" i="4"/>
  <c r="L13" i="4" s="1"/>
  <c r="B19" i="4" s="1"/>
  <c r="L34" i="4"/>
  <c r="M7" i="4"/>
  <c r="I8" i="3"/>
  <c r="I12" i="3" s="1"/>
  <c r="I33" i="3"/>
  <c r="J7" i="3"/>
  <c r="J5" i="3"/>
  <c r="J6" i="3" s="1"/>
  <c r="K3" i="3"/>
  <c r="J34" i="2"/>
  <c r="K8" i="2"/>
  <c r="K6" i="2"/>
  <c r="K7" i="2" s="1"/>
  <c r="L4" i="2"/>
  <c r="J9" i="2"/>
  <c r="J13" i="2" s="1"/>
  <c r="K9" i="9" l="1"/>
  <c r="K13" i="9" s="1"/>
  <c r="K34" i="9"/>
  <c r="K32" i="9"/>
  <c r="K33" i="9" s="1"/>
  <c r="M4" i="9"/>
  <c r="M6" i="9" s="1"/>
  <c r="L8" i="9"/>
  <c r="L6" i="9"/>
  <c r="L7" i="9" s="1"/>
  <c r="J33" i="9"/>
  <c r="K32" i="8"/>
  <c r="K33" i="8" s="1"/>
  <c r="M4" i="8"/>
  <c r="M6" i="8" s="1"/>
  <c r="L8" i="8"/>
  <c r="L6" i="8"/>
  <c r="L7" i="8" s="1"/>
  <c r="K9" i="8"/>
  <c r="K13" i="8" s="1"/>
  <c r="K34" i="8"/>
  <c r="M8" i="7"/>
  <c r="N8" i="7" s="1"/>
  <c r="M8" i="6"/>
  <c r="N8" i="6" s="1"/>
  <c r="M8" i="5"/>
  <c r="N8" i="5" s="1"/>
  <c r="M8" i="4"/>
  <c r="N8" i="4" s="1"/>
  <c r="J8" i="3"/>
  <c r="J12" i="3" s="1"/>
  <c r="K7" i="3"/>
  <c r="K5" i="3"/>
  <c r="K6" i="3" s="1"/>
  <c r="L3" i="3"/>
  <c r="J33" i="3"/>
  <c r="K9" i="2"/>
  <c r="K13" i="2" s="1"/>
  <c r="K34" i="2"/>
  <c r="L8" i="2"/>
  <c r="L6" i="2"/>
  <c r="L7" i="2" s="1"/>
  <c r="M4" i="2"/>
  <c r="M6" i="2" s="1"/>
  <c r="L9" i="9" l="1"/>
  <c r="L13" i="9" s="1"/>
  <c r="B19" i="9" s="1"/>
  <c r="L34" i="9"/>
  <c r="M7" i="9"/>
  <c r="N6" i="9"/>
  <c r="L32" i="9"/>
  <c r="L33" i="9" s="1"/>
  <c r="L9" i="8"/>
  <c r="L13" i="8" s="1"/>
  <c r="B19" i="8" s="1"/>
  <c r="L34" i="8"/>
  <c r="M7" i="8"/>
  <c r="N6" i="8"/>
  <c r="L32" i="8"/>
  <c r="L33" i="8" s="1"/>
  <c r="M9" i="7"/>
  <c r="B15" i="7" s="1"/>
  <c r="B17" i="7" s="1"/>
  <c r="B18" i="7" s="1"/>
  <c r="B20" i="7" s="1"/>
  <c r="B24" i="7" s="1"/>
  <c r="M9" i="6"/>
  <c r="B15" i="6" s="1"/>
  <c r="B17" i="6" s="1"/>
  <c r="B18" i="6" s="1"/>
  <c r="B20" i="6" s="1"/>
  <c r="B24" i="6" s="1"/>
  <c r="M9" i="5"/>
  <c r="B15" i="5" s="1"/>
  <c r="B17" i="5" s="1"/>
  <c r="B18" i="5" s="1"/>
  <c r="B20" i="5" s="1"/>
  <c r="B24" i="5" s="1"/>
  <c r="M9" i="4"/>
  <c r="B15" i="4" s="1"/>
  <c r="B17" i="4" s="1"/>
  <c r="B18" i="4" s="1"/>
  <c r="B20" i="4" s="1"/>
  <c r="B24" i="4" s="1"/>
  <c r="M3" i="3"/>
  <c r="M5" i="3" s="1"/>
  <c r="L7" i="3"/>
  <c r="L5" i="3"/>
  <c r="L6" i="3" s="1"/>
  <c r="K8" i="3"/>
  <c r="K12" i="3" s="1"/>
  <c r="K33" i="3"/>
  <c r="L34" i="2"/>
  <c r="M7" i="2"/>
  <c r="M8" i="2" s="1"/>
  <c r="L9" i="2"/>
  <c r="L13" i="2" s="1"/>
  <c r="B19" i="2" s="1"/>
  <c r="M8" i="9" l="1"/>
  <c r="N8" i="9" s="1"/>
  <c r="M8" i="8"/>
  <c r="N8" i="8" s="1"/>
  <c r="L33" i="3"/>
  <c r="L8" i="3"/>
  <c r="L12" i="3" s="1"/>
  <c r="B18" i="3" s="1"/>
  <c r="M6" i="3"/>
  <c r="N8" i="2"/>
  <c r="M9" i="9" l="1"/>
  <c r="B15" i="9" s="1"/>
  <c r="B17" i="9" s="1"/>
  <c r="B18" i="9" s="1"/>
  <c r="B20" i="9" s="1"/>
  <c r="B24" i="9" s="1"/>
  <c r="B26" i="9" s="1"/>
  <c r="B28" i="9" s="1"/>
  <c r="M9" i="8"/>
  <c r="B15" i="8" s="1"/>
  <c r="B17" i="8" s="1"/>
  <c r="B18" i="8" s="1"/>
  <c r="B20" i="8" s="1"/>
  <c r="B24" i="8" s="1"/>
  <c r="B26" i="8" s="1"/>
  <c r="B28" i="8" s="1"/>
  <c r="M7" i="3"/>
  <c r="N7" i="3" s="1"/>
  <c r="M9" i="2"/>
  <c r="B15" i="2" s="1"/>
  <c r="M8" i="3" l="1"/>
  <c r="B14" i="3" s="1"/>
  <c r="B16" i="3" s="1"/>
  <c r="B17" i="3" s="1"/>
  <c r="B19" i="3" s="1"/>
  <c r="B23" i="3" s="1"/>
  <c r="B17" i="2"/>
  <c r="B18" i="2" s="1"/>
  <c r="B20" i="2" s="1"/>
  <c r="B24" i="2" s="1"/>
  <c r="B33" i="7"/>
  <c r="B5" i="7"/>
  <c r="B6" i="7" s="1"/>
  <c r="B33" i="5"/>
  <c r="B5" i="5"/>
  <c r="B6" i="5" s="1"/>
  <c r="B33" i="6"/>
  <c r="B5" i="6"/>
  <c r="B6" i="6" s="1"/>
  <c r="B32" i="4"/>
  <c r="C32" i="4" s="1"/>
  <c r="B5" i="4"/>
  <c r="B6" i="4" s="1"/>
  <c r="B32" i="3"/>
  <c r="B4" i="3"/>
  <c r="B24" i="3" l="1"/>
  <c r="B25" i="3" s="1"/>
  <c r="B27" i="3" s="1"/>
  <c r="B25" i="6"/>
  <c r="B26" i="6" s="1"/>
  <c r="B28" i="6" s="1"/>
  <c r="B7" i="6"/>
  <c r="N6" i="6"/>
  <c r="B7" i="5"/>
  <c r="N6" i="5"/>
  <c r="B11" i="5"/>
  <c r="B32" i="5"/>
  <c r="C32" i="5" s="1"/>
  <c r="B25" i="4"/>
  <c r="B26" i="4" s="1"/>
  <c r="B28" i="4" s="1"/>
  <c r="B7" i="7"/>
  <c r="N6" i="7"/>
  <c r="B7" i="4"/>
  <c r="N6" i="4"/>
  <c r="C33" i="4"/>
  <c r="D32" i="4"/>
  <c r="B25" i="7"/>
  <c r="B26" i="7" s="1"/>
  <c r="B28" i="7" s="1"/>
  <c r="B11" i="6"/>
  <c r="B32" i="6"/>
  <c r="C32" i="6" s="1"/>
  <c r="B10" i="3"/>
  <c r="B31" i="3"/>
  <c r="C31" i="3" s="1"/>
  <c r="B25" i="5"/>
  <c r="B26" i="5" s="1"/>
  <c r="B28" i="5" s="1"/>
  <c r="B11" i="7"/>
  <c r="B32" i="7"/>
  <c r="C32" i="7" s="1"/>
  <c r="B33" i="4"/>
  <c r="B11" i="4"/>
  <c r="B25" i="2"/>
  <c r="B26" i="2" s="1"/>
  <c r="B28" i="2" s="1"/>
  <c r="B32" i="2"/>
  <c r="C32" i="2" s="1"/>
  <c r="B5" i="2"/>
  <c r="B6" i="2" s="1"/>
  <c r="B5" i="3"/>
  <c r="C33" i="5" l="1"/>
  <c r="D32" i="5"/>
  <c r="E32" i="4"/>
  <c r="D33" i="4"/>
  <c r="D32" i="7"/>
  <c r="C33" i="7"/>
  <c r="C33" i="6"/>
  <c r="D32" i="6"/>
  <c r="B11" i="2"/>
  <c r="B6" i="3"/>
  <c r="N5" i="3"/>
  <c r="D31" i="3"/>
  <c r="C32" i="3"/>
  <c r="B7" i="2"/>
  <c r="N6" i="2"/>
  <c r="B33" i="2"/>
  <c r="D32" i="2"/>
  <c r="C33" i="2"/>
  <c r="E32" i="6" l="1"/>
  <c r="D33" i="6"/>
  <c r="F32" i="4"/>
  <c r="E33" i="4"/>
  <c r="E32" i="5"/>
  <c r="D33" i="5"/>
  <c r="D33" i="7"/>
  <c r="E32" i="7"/>
  <c r="D33" i="2"/>
  <c r="E32" i="2"/>
  <c r="D32" i="3"/>
  <c r="E31" i="3"/>
  <c r="E33" i="7" l="1"/>
  <c r="F32" i="7"/>
  <c r="F33" i="4"/>
  <c r="G32" i="4"/>
  <c r="F32" i="5"/>
  <c r="E33" i="5"/>
  <c r="E33" i="6"/>
  <c r="F32" i="6"/>
  <c r="E33" i="2"/>
  <c r="F32" i="2"/>
  <c r="F31" i="3"/>
  <c r="E32" i="3"/>
  <c r="H32" i="4" l="1"/>
  <c r="G33" i="4"/>
  <c r="G32" i="7"/>
  <c r="F33" i="7"/>
  <c r="G32" i="6"/>
  <c r="F33" i="6"/>
  <c r="F33" i="5"/>
  <c r="G32" i="5"/>
  <c r="F32" i="3"/>
  <c r="G31" i="3"/>
  <c r="F33" i="2"/>
  <c r="G32" i="2"/>
  <c r="G33" i="5" l="1"/>
  <c r="H32" i="5"/>
  <c r="G33" i="7"/>
  <c r="H32" i="7"/>
  <c r="H32" i="6"/>
  <c r="G33" i="6"/>
  <c r="H33" i="4"/>
  <c r="I32" i="4"/>
  <c r="G33" i="2"/>
  <c r="H32" i="2"/>
  <c r="H31" i="3"/>
  <c r="G32" i="3"/>
  <c r="I33" i="4" l="1"/>
  <c r="J32" i="4"/>
  <c r="H33" i="5"/>
  <c r="I32" i="5"/>
  <c r="I32" i="7"/>
  <c r="H33" i="7"/>
  <c r="H33" i="6"/>
  <c r="I32" i="6"/>
  <c r="H32" i="3"/>
  <c r="I31" i="3"/>
  <c r="H33" i="2"/>
  <c r="I32" i="2"/>
  <c r="I33" i="6" l="1"/>
  <c r="J32" i="6"/>
  <c r="I33" i="5"/>
  <c r="J32" i="5"/>
  <c r="K32" i="4"/>
  <c r="J33" i="4"/>
  <c r="I33" i="7"/>
  <c r="J32" i="7"/>
  <c r="I33" i="2"/>
  <c r="J32" i="2"/>
  <c r="I32" i="3"/>
  <c r="J31" i="3"/>
  <c r="K32" i="7" l="1"/>
  <c r="J33" i="7"/>
  <c r="J33" i="5"/>
  <c r="K32" i="5"/>
  <c r="J33" i="6"/>
  <c r="K32" i="6"/>
  <c r="K33" i="4"/>
  <c r="L32" i="4"/>
  <c r="L33" i="4" s="1"/>
  <c r="J33" i="2"/>
  <c r="K32" i="2"/>
  <c r="K31" i="3"/>
  <c r="J32" i="3"/>
  <c r="K33" i="5" l="1"/>
  <c r="L32" i="5"/>
  <c r="L33" i="5" s="1"/>
  <c r="K33" i="6"/>
  <c r="L32" i="6"/>
  <c r="L33" i="6" s="1"/>
  <c r="K33" i="7"/>
  <c r="L32" i="7"/>
  <c r="L33" i="7" s="1"/>
  <c r="K32" i="3"/>
  <c r="L31" i="3"/>
  <c r="L32" i="3" s="1"/>
  <c r="K33" i="2"/>
  <c r="L32" i="2"/>
  <c r="L33" i="2" s="1"/>
</calcChain>
</file>

<file path=xl/sharedStrings.xml><?xml version="1.0" encoding="utf-8"?>
<sst xmlns="http://schemas.openxmlformats.org/spreadsheetml/2006/main" count="426" uniqueCount="155">
  <si>
    <t>Bharat Immunologicals &amp; Biologicals Corporation Limited (BSE:524663)</t>
  </si>
  <si>
    <t>Biocon Limited (NSEI:BIOCON)</t>
  </si>
  <si>
    <t>Hester Biosciences Limited (BSE:524669)</t>
  </si>
  <si>
    <t>Hindustan Bio Sciences Limited (BSE:532041)</t>
  </si>
  <si>
    <t>Nirman Agri Genetics Limited (NSEI:NIRMAN)</t>
  </si>
  <si>
    <t>Panacea Biotec Limited (NSEI:PANACEABIO)</t>
  </si>
  <si>
    <t>Transgene Biotek Limited (BSE:526139)</t>
  </si>
  <si>
    <t>Zenotech Laboratories Limited (BSE:532039)</t>
  </si>
  <si>
    <t>cr</t>
  </si>
  <si>
    <t>Stock</t>
  </si>
  <si>
    <t>P/E</t>
  </si>
  <si>
    <t>revenue_24</t>
  </si>
  <si>
    <t>revenue_23</t>
  </si>
  <si>
    <t>revenue_22</t>
  </si>
  <si>
    <t>revenue_21</t>
  </si>
  <si>
    <t>EBIT_24</t>
  </si>
  <si>
    <t>EBIT_23</t>
  </si>
  <si>
    <t>EBIT_22</t>
  </si>
  <si>
    <t>EBIT_21</t>
  </si>
  <si>
    <t>interest_24</t>
  </si>
  <si>
    <t>interest_23</t>
  </si>
  <si>
    <t>CA_24</t>
  </si>
  <si>
    <t>CA_23</t>
  </si>
  <si>
    <t>CA_22</t>
  </si>
  <si>
    <t>CA_21</t>
  </si>
  <si>
    <t>CL_24</t>
  </si>
  <si>
    <t>CL_23</t>
  </si>
  <si>
    <t>CL_22</t>
  </si>
  <si>
    <t>CL_21</t>
  </si>
  <si>
    <t>equity_24</t>
  </si>
  <si>
    <t>equity_23</t>
  </si>
  <si>
    <t>equity_22</t>
  </si>
  <si>
    <t>equity_21</t>
  </si>
  <si>
    <t>debt_24</t>
  </si>
  <si>
    <t>debt_23</t>
  </si>
  <si>
    <t>debt_22</t>
  </si>
  <si>
    <t>debt_21</t>
  </si>
  <si>
    <t>cash_24</t>
  </si>
  <si>
    <r>
      <t>c</t>
    </r>
    <r>
      <rPr>
        <sz val="12"/>
        <color theme="1"/>
        <rFont val="Ash_23"/>
      </rPr>
      <t>ash_23</t>
    </r>
  </si>
  <si>
    <r>
      <t>c</t>
    </r>
    <r>
      <rPr>
        <sz val="12"/>
        <color theme="1"/>
        <rFont val="Ash_23"/>
      </rPr>
      <t>ash_22</t>
    </r>
  </si>
  <si>
    <r>
      <t>c</t>
    </r>
    <r>
      <rPr>
        <sz val="12"/>
        <color theme="1"/>
        <rFont val="Ash_23"/>
      </rPr>
      <t>ash_21</t>
    </r>
  </si>
  <si>
    <t>non_current_assests_24</t>
  </si>
  <si>
    <t>capex( including acquistions and R&amp;D)_24</t>
  </si>
  <si>
    <t>capex_23</t>
  </si>
  <si>
    <t>capex_22</t>
  </si>
  <si>
    <t>capex_21</t>
  </si>
  <si>
    <t>change in non cash WC_24-23</t>
  </si>
  <si>
    <t>change in non cash WC_23-22</t>
  </si>
  <si>
    <t>change in non cash WC_22-21</t>
  </si>
  <si>
    <t>ReInv_24-23</t>
  </si>
  <si>
    <t>ReInv_23-22</t>
  </si>
  <si>
    <t>ReInv_22-21</t>
  </si>
  <si>
    <t>Invested_cap_24</t>
  </si>
  <si>
    <t>Invested_cap_23</t>
  </si>
  <si>
    <t>Invested_cap_22</t>
  </si>
  <si>
    <t>Invested_cap_21</t>
  </si>
  <si>
    <t>ROC_24</t>
  </si>
  <si>
    <t>ROC_23</t>
  </si>
  <si>
    <t>ROC_22</t>
  </si>
  <si>
    <t>ROC_21</t>
  </si>
  <si>
    <t>op_margin_24</t>
  </si>
  <si>
    <t>op_margin_23</t>
  </si>
  <si>
    <t>op_margin_22</t>
  </si>
  <si>
    <t>op_margin_21</t>
  </si>
  <si>
    <t>sales/capital_24-23</t>
  </si>
  <si>
    <t>sales/capital_23-22</t>
  </si>
  <si>
    <t>sales/capital_22-21</t>
  </si>
  <si>
    <t>debt%</t>
  </si>
  <si>
    <t>equity%</t>
  </si>
  <si>
    <t>Kd</t>
  </si>
  <si>
    <t xml:space="preserve">beta </t>
  </si>
  <si>
    <t>Ke</t>
  </si>
  <si>
    <t>WACC</t>
  </si>
  <si>
    <t>assest turnover</t>
  </si>
  <si>
    <t>growth rate</t>
  </si>
  <si>
    <t>%rev</t>
  </si>
  <si>
    <t xml:space="preserve">capex/revenue </t>
  </si>
  <si>
    <t>misc</t>
  </si>
  <si>
    <t>serum institue of india, sale of domestic formulations of 1600 cr in 2022</t>
  </si>
  <si>
    <t>animal</t>
  </si>
  <si>
    <t>shares outstanding</t>
  </si>
  <si>
    <t>EPS</t>
  </si>
  <si>
    <t>P/R</t>
  </si>
  <si>
    <t>listed 2023</t>
  </si>
  <si>
    <t>NA</t>
  </si>
  <si>
    <t xml:space="preserve">high amortization of intangible assests </t>
  </si>
  <si>
    <t>Base year</t>
    <phoneticPr fontId="0" type="noConversion"/>
  </si>
  <si>
    <t>Terminal year</t>
  </si>
  <si>
    <t>Growth</t>
  </si>
  <si>
    <t>Revenues</t>
  </si>
  <si>
    <t>EBIT (Operating) margin</t>
    <phoneticPr fontId="0" type="noConversion"/>
  </si>
  <si>
    <t>EBIT (Operating income)</t>
    <phoneticPr fontId="0" type="noConversion"/>
  </si>
  <si>
    <t>EBIT(1-t)</t>
  </si>
  <si>
    <t xml:space="preserve"> - Reinvestment</t>
    <phoneticPr fontId="0" type="noConversion"/>
  </si>
  <si>
    <t>FCFF</t>
  </si>
  <si>
    <t>Cost of capital</t>
  </si>
  <si>
    <t>Cumulated discount factor</t>
  </si>
  <si>
    <t>PV(FCFF)</t>
    <phoneticPr fontId="0" type="noConversion"/>
  </si>
  <si>
    <t>Terminal cash flow</t>
    <phoneticPr fontId="0" type="noConversion"/>
  </si>
  <si>
    <t>Terminal cost of capital</t>
  </si>
  <si>
    <t>Terminal value</t>
    <phoneticPr fontId="0" type="noConversion"/>
  </si>
  <si>
    <t>PV(Terminal value)</t>
    <phoneticPr fontId="0" type="noConversion"/>
  </si>
  <si>
    <t>PV (CF over next 10 years)</t>
  </si>
  <si>
    <t>Sum of PV</t>
  </si>
  <si>
    <t xml:space="preserve"> - Debt</t>
  </si>
  <si>
    <t xml:space="preserve"> +  Cash</t>
  </si>
  <si>
    <t xml:space="preserve"> + Non-operating assets</t>
  </si>
  <si>
    <t>Value of equity</t>
  </si>
  <si>
    <t>lakhs</t>
  </si>
  <si>
    <t>Number of shares</t>
    <phoneticPr fontId="0" type="noConversion"/>
  </si>
  <si>
    <t>Estimated value /share</t>
  </si>
  <si>
    <t>Price</t>
  </si>
  <si>
    <t>Price as % of value</t>
  </si>
  <si>
    <t>Implied variables</t>
    <phoneticPr fontId="0" type="noConversion"/>
  </si>
  <si>
    <t>After year 10</t>
  </si>
  <si>
    <t>Sales to capital ratio</t>
  </si>
  <si>
    <t>Invested capital</t>
    <phoneticPr fontId="0" type="noConversion"/>
  </si>
  <si>
    <t>ROIC</t>
    <phoneticPr fontId="0" type="noConversion"/>
  </si>
  <si>
    <t>reinvestment rate</t>
  </si>
  <si>
    <t>year5</t>
  </si>
  <si>
    <t>REV SHARE CHANGE</t>
  </si>
  <si>
    <t xml:space="preserve">SENSTIVITY ANALYSIS </t>
  </si>
  <si>
    <t>MKT SHARE yr9</t>
  </si>
  <si>
    <t>value</t>
  </si>
  <si>
    <t>curent, 4%</t>
  </si>
  <si>
    <t>double up ;959</t>
  </si>
  <si>
    <t>curent, 2%</t>
  </si>
  <si>
    <t>IV=PV</t>
  </si>
  <si>
    <t>current, 0.25%</t>
  </si>
  <si>
    <t>IV = PV</t>
  </si>
  <si>
    <t>current, 0.38%</t>
  </si>
  <si>
    <t>PSU&lt;&gt;recent annual report missing ; 2023 numbers from moneycontrol</t>
  </si>
  <si>
    <t>Mcap (cr)</t>
  </si>
  <si>
    <t xml:space="preserve">price </t>
  </si>
  <si>
    <t>Biocon Limited</t>
  </si>
  <si>
    <t xml:space="preserve">Hester Biosciences Limited </t>
  </si>
  <si>
    <t xml:space="preserve">Zenotech Laboratories Limited </t>
  </si>
  <si>
    <t xml:space="preserve">Nirman Agri Genetics Limited </t>
  </si>
  <si>
    <t xml:space="preserve">Transgene Biotek Limited </t>
  </si>
  <si>
    <t>Hindustan Bio Sciences Limited</t>
  </si>
  <si>
    <t>EBIT</t>
  </si>
  <si>
    <t>Sales</t>
  </si>
  <si>
    <t>interest</t>
  </si>
  <si>
    <t>cash</t>
  </si>
  <si>
    <t>Capex</t>
  </si>
  <si>
    <t>Invested cap</t>
  </si>
  <si>
    <t>Panacea Biotec Limited</t>
  </si>
  <si>
    <t>Bharat Immunologicals (BIBCOL)</t>
  </si>
  <si>
    <t>Assests (L)</t>
  </si>
  <si>
    <t>sales/capital</t>
  </si>
  <si>
    <t>ReInv rate (%)</t>
  </si>
  <si>
    <t>assest turnover (%)</t>
  </si>
  <si>
    <t>WACC (%)</t>
  </si>
  <si>
    <t>OP margin (%)</t>
  </si>
  <si>
    <t>ROC 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</si>
</sst>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0.0000"/>
    <numFmt numFmtId="167" formatCode="_ [$₹-4009]\ * #,##0.00_ ;_ [$₹-4009]\ * \-#,##0.00_ ;_ [$₹-4009]\ * &quot;-&quot;??_ ;_ @_ "/>
    <numFmt numFmtId="168" formatCode="[$₹-4009]\ #,##0.00"/>
    <numFmt numFmtId="169" formatCode="0.000"/>
  </numFmts>
  <fonts count="1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sh_23"/>
    </font>
    <font>
      <sz val="12"/>
      <name val="Aptos Narrow"/>
      <family val="2"/>
      <scheme val="minor"/>
    </font>
    <font>
      <sz val="12"/>
      <color theme="9"/>
      <name val="Aptos Narrow"/>
      <family val="2"/>
      <scheme val="minor"/>
    </font>
    <font>
      <i/>
      <sz val="12"/>
      <name val="Times"/>
      <family val="1"/>
    </font>
    <font>
      <sz val="12"/>
      <name val="Times"/>
      <family val="1"/>
    </font>
    <font>
      <sz val="12"/>
      <color rgb="FFFF0000"/>
      <name val="Times"/>
      <family val="1"/>
    </font>
    <font>
      <b/>
      <i/>
      <u/>
      <sz val="12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Alignment="0"/>
  </cellStyleXfs>
  <cellXfs count="77">
    <xf numFmtId="0" fontId="0" fillId="0" borderId="0" xfId="0"/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0" fontId="11" fillId="2" borderId="1" xfId="0" applyNumberFormat="1" applyFont="1" applyFill="1" applyBorder="1" applyAlignment="1">
      <alignment horizontal="center"/>
    </xf>
    <xf numFmtId="0" fontId="11" fillId="0" borderId="0" xfId="0" applyFont="1"/>
    <xf numFmtId="167" fontId="11" fillId="2" borderId="1" xfId="2" applyNumberFormat="1" applyFont="1" applyFill="1" applyBorder="1"/>
    <xf numFmtId="167" fontId="11" fillId="4" borderId="1" xfId="2" applyNumberFormat="1" applyFont="1" applyFill="1" applyBorder="1" applyAlignment="1">
      <alignment horizontal="center"/>
    </xf>
    <xf numFmtId="10" fontId="11" fillId="2" borderId="1" xfId="3" applyNumberFormat="1" applyFont="1" applyFill="1" applyBorder="1"/>
    <xf numFmtId="10" fontId="11" fillId="2" borderId="1" xfId="3" applyNumberFormat="1" applyFont="1" applyFill="1" applyBorder="1" applyAlignment="1">
      <alignment horizontal="center"/>
    </xf>
    <xf numFmtId="167" fontId="11" fillId="5" borderId="1" xfId="2" applyNumberFormat="1" applyFont="1" applyFill="1" applyBorder="1" applyAlignment="1">
      <alignment horizontal="center"/>
    </xf>
    <xf numFmtId="167" fontId="0" fillId="5" borderId="1" xfId="0" applyNumberFormat="1" applyFill="1" applyBorder="1"/>
    <xf numFmtId="168" fontId="11" fillId="2" borderId="1" xfId="2" applyNumberFormat="1" applyFont="1" applyFill="1" applyBorder="1"/>
    <xf numFmtId="168" fontId="11" fillId="4" borderId="1" xfId="2" applyNumberFormat="1" applyFont="1" applyFill="1" applyBorder="1" applyAlignment="1">
      <alignment horizontal="center"/>
    </xf>
    <xf numFmtId="168" fontId="11" fillId="6" borderId="1" xfId="2" applyNumberFormat="1" applyFont="1" applyFill="1" applyBorder="1"/>
    <xf numFmtId="168" fontId="0" fillId="0" borderId="0" xfId="0" applyNumberFormat="1"/>
    <xf numFmtId="168" fontId="11" fillId="4" borderId="1" xfId="2" applyNumberFormat="1" applyFont="1" applyFill="1" applyBorder="1"/>
    <xf numFmtId="168" fontId="11" fillId="4" borderId="1" xfId="0" applyNumberFormat="1" applyFont="1" applyFill="1" applyBorder="1" applyAlignment="1">
      <alignment horizontal="center"/>
    </xf>
    <xf numFmtId="168" fontId="0" fillId="5" borderId="1" xfId="0" applyNumberFormat="1" applyFill="1" applyBorder="1"/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/>
    </xf>
    <xf numFmtId="44" fontId="11" fillId="4" borderId="1" xfId="2" applyFont="1" applyFill="1" applyBorder="1" applyAlignment="1">
      <alignment horizontal="center"/>
    </xf>
    <xf numFmtId="0" fontId="11" fillId="0" borderId="1" xfId="0" applyFont="1" applyBorder="1"/>
    <xf numFmtId="10" fontId="11" fillId="4" borderId="1" xfId="3" applyNumberFormat="1" applyFont="1" applyFill="1" applyBorder="1"/>
    <xf numFmtId="167" fontId="11" fillId="4" borderId="1" xfId="2" applyNumberFormat="1" applyFont="1" applyFill="1" applyBorder="1"/>
    <xf numFmtId="0" fontId="11" fillId="0" borderId="0" xfId="0" applyFont="1" applyAlignment="1">
      <alignment horizontal="left"/>
    </xf>
    <xf numFmtId="167" fontId="11" fillId="4" borderId="1" xfId="0" applyNumberFormat="1" applyFont="1" applyFill="1" applyBorder="1"/>
    <xf numFmtId="167" fontId="0" fillId="0" borderId="0" xfId="0" applyNumberFormat="1"/>
    <xf numFmtId="168" fontId="11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68" fontId="11" fillId="4" borderId="1" xfId="0" applyNumberFormat="1" applyFont="1" applyFill="1" applyBorder="1"/>
    <xf numFmtId="43" fontId="11" fillId="2" borderId="1" xfId="1" applyFont="1" applyFill="1" applyBorder="1"/>
    <xf numFmtId="167" fontId="12" fillId="4" borderId="1" xfId="2" applyNumberFormat="1" applyFont="1" applyFill="1" applyBorder="1"/>
    <xf numFmtId="10" fontId="11" fillId="4" borderId="1" xfId="2" applyNumberFormat="1" applyFont="1" applyFill="1" applyBorder="1"/>
    <xf numFmtId="0" fontId="13" fillId="0" borderId="1" xfId="0" applyFont="1" applyBorder="1"/>
    <xf numFmtId="2" fontId="11" fillId="2" borderId="1" xfId="0" applyNumberFormat="1" applyFont="1" applyFill="1" applyBorder="1" applyAlignment="1">
      <alignment horizontal="center"/>
    </xf>
    <xf numFmtId="168" fontId="11" fillId="0" borderId="1" xfId="0" applyNumberFormat="1" applyFont="1" applyBorder="1"/>
    <xf numFmtId="168" fontId="11" fillId="2" borderId="1" xfId="0" applyNumberFormat="1" applyFont="1" applyFill="1" applyBorder="1"/>
    <xf numFmtId="10" fontId="11" fillId="4" borderId="1" xfId="3" applyNumberFormat="1" applyFont="1" applyFill="1" applyBorder="1" applyAlignment="1">
      <alignment horizontal="center"/>
    </xf>
    <xf numFmtId="10" fontId="11" fillId="5" borderId="1" xfId="3" applyNumberFormat="1" applyFont="1" applyFill="1" applyBorder="1" applyAlignment="1">
      <alignment horizontal="center"/>
    </xf>
    <xf numFmtId="9" fontId="11" fillId="0" borderId="0" xfId="3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9" fontId="11" fillId="0" borderId="1" xfId="0" applyNumberFormat="1" applyFont="1" applyBorder="1" applyAlignment="1">
      <alignment horizontal="center"/>
    </xf>
    <xf numFmtId="165" fontId="11" fillId="2" borderId="1" xfId="0" applyNumberFormat="1" applyFont="1" applyFill="1" applyBorder="1" applyAlignment="1">
      <alignment horizontal="center"/>
    </xf>
    <xf numFmtId="10" fontId="12" fillId="2" borderId="1" xfId="3" applyNumberFormat="1" applyFont="1" applyFill="1" applyBorder="1"/>
    <xf numFmtId="1" fontId="5" fillId="0" borderId="0" xfId="0" applyNumberFormat="1" applyFont="1" applyFill="1" applyBorder="1"/>
    <xf numFmtId="1" fontId="0" fillId="0" borderId="0" xfId="0" applyNumberFormat="1" applyFill="1" applyBorder="1"/>
    <xf numFmtId="2" fontId="5" fillId="0" borderId="0" xfId="3" applyNumberFormat="1" applyFont="1" applyFill="1" applyBorder="1"/>
    <xf numFmtId="2" fontId="0" fillId="0" borderId="0" xfId="3" applyNumberFormat="1" applyFont="1" applyFill="1" applyBorder="1"/>
    <xf numFmtId="2" fontId="9" fillId="0" borderId="0" xfId="3" applyNumberFormat="1" applyFont="1" applyFill="1" applyBorder="1"/>
    <xf numFmtId="2" fontId="0" fillId="0" borderId="0" xfId="3" applyNumberFormat="1" applyFont="1" applyFill="1" applyBorder="1" applyAlignment="1">
      <alignment horizontal="center"/>
    </xf>
    <xf numFmtId="169" fontId="0" fillId="0" borderId="0" xfId="3" applyNumberFormat="1" applyFont="1" applyFill="1" applyBorder="1"/>
    <xf numFmtId="169" fontId="9" fillId="0" borderId="0" xfId="3" applyNumberFormat="1" applyFont="1" applyFill="1" applyBorder="1"/>
    <xf numFmtId="169" fontId="2" fillId="0" borderId="0" xfId="3" applyNumberFormat="1" applyFont="1" applyFill="1" applyBorder="1"/>
    <xf numFmtId="1" fontId="5" fillId="0" borderId="0" xfId="1" applyNumberFormat="1" applyFont="1" applyFill="1" applyBorder="1"/>
    <xf numFmtId="1" fontId="6" fillId="0" borderId="0" xfId="1" applyNumberFormat="1" applyFont="1" applyFill="1" applyBorder="1"/>
    <xf numFmtId="1" fontId="5" fillId="0" borderId="0" xfId="3" applyNumberFormat="1" applyFont="1" applyFill="1" applyBorder="1"/>
    <xf numFmtId="1" fontId="6" fillId="0" borderId="0" xfId="0" applyNumberFormat="1" applyFont="1" applyFill="1" applyBorder="1"/>
    <xf numFmtId="1" fontId="4" fillId="0" borderId="0" xfId="4" applyNumberFormat="1" applyFont="1" applyFill="1" applyBorder="1" applyAlignment="1">
      <alignment horizontal="left" vertical="top" wrapText="1"/>
    </xf>
    <xf numFmtId="1" fontId="0" fillId="0" borderId="0" xfId="1" applyNumberFormat="1" applyFont="1" applyFill="1" applyBorder="1"/>
    <xf numFmtId="1" fontId="0" fillId="0" borderId="0" xfId="3" applyNumberFormat="1" applyFont="1" applyFill="1" applyBorder="1"/>
    <xf numFmtId="1" fontId="8" fillId="0" borderId="0" xfId="0" applyNumberFormat="1" applyFont="1" applyFill="1" applyBorder="1"/>
    <xf numFmtId="1" fontId="0" fillId="0" borderId="0" xfId="1" applyNumberFormat="1" applyFont="1" applyFill="1" applyBorder="1" applyAlignment="1">
      <alignment horizontal="center"/>
    </xf>
    <xf numFmtId="1" fontId="9" fillId="0" borderId="0" xfId="3" applyNumberFormat="1" applyFont="1" applyFill="1" applyBorder="1"/>
    <xf numFmtId="1" fontId="0" fillId="0" borderId="0" xfId="3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2" fillId="0" borderId="0" xfId="3" applyNumberFormat="1" applyFont="1" applyFill="1" applyBorder="1"/>
    <xf numFmtId="0" fontId="5" fillId="0" borderId="0" xfId="3" applyNumberFormat="1" applyFont="1" applyFill="1" applyBorder="1"/>
    <xf numFmtId="0" fontId="0" fillId="0" borderId="0" xfId="3" applyNumberFormat="1" applyFont="1" applyFill="1" applyBorder="1"/>
    <xf numFmtId="0" fontId="0" fillId="0" borderId="0" xfId="3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Per cent" xfId="3" builtinId="5"/>
    <cellStyle name="TextNormal" xfId="4" xr:uid="{AE09331C-FC7B-DE4D-9F30-2A5CC9EB8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3</xdr:row>
      <xdr:rowOff>189912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232FA3-F744-B94A-AD08-6E3B1AB60E3F}"/>
            </a:ext>
          </a:extLst>
        </xdr:cNvPr>
        <xdr:cNvSpPr txBox="1"/>
      </xdr:nvSpPr>
      <xdr:spPr>
        <a:xfrm>
          <a:off x="18986500" y="266700"/>
          <a:ext cx="2215478" cy="5455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8</xdr:row>
      <xdr:rowOff>4985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4D24C2F8-C52D-1B4E-86F5-9446635FE5A2}"/>
            </a:ext>
          </a:extLst>
        </xdr:cNvPr>
        <xdr:cNvSpPr txBox="1"/>
      </xdr:nvSpPr>
      <xdr:spPr>
        <a:xfrm>
          <a:off x="20904200" y="1282700"/>
          <a:ext cx="2133600" cy="309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7784AA-9C7A-4645-B253-F8AFB0F1EE33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DF165B-DA00-F744-93EA-31B692AEEA6D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6D5162-CDA0-C94E-B876-AD29362E6C18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1DBF7-94AF-9244-BA35-3EFCEF976A06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2095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33DAD-3A8D-C14B-9CA6-877A1BA24D6F}"/>
            </a:ext>
          </a:extLst>
        </xdr:cNvPr>
        <xdr:cNvSpPr txBox="1"/>
      </xdr:nvSpPr>
      <xdr:spPr>
        <a:xfrm>
          <a:off x="18986500" y="266700"/>
          <a:ext cx="2215478" cy="535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7</xdr:row>
      <xdr:rowOff>144685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2069C5E7-A697-B04C-9737-68FF2358A5BC}"/>
            </a:ext>
          </a:extLst>
        </xdr:cNvPr>
        <xdr:cNvSpPr txBox="1"/>
      </xdr:nvSpPr>
      <xdr:spPr>
        <a:xfrm>
          <a:off x="20904200" y="1282700"/>
          <a:ext cx="2133600" cy="246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91F477-547E-9D45-8F35-B1820A78BB52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58B068-CED1-134F-977E-B1E856665A2A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3848C3-999E-FD48-879F-74AB94877A09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901F61-292D-E04B-B193-D2BFB7AB1FF7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2095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D97FFD-5074-EC40-A384-2C2DB9153BCB}"/>
            </a:ext>
          </a:extLst>
        </xdr:cNvPr>
        <xdr:cNvSpPr txBox="1"/>
      </xdr:nvSpPr>
      <xdr:spPr>
        <a:xfrm>
          <a:off x="18986500" y="266700"/>
          <a:ext cx="2215478" cy="535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7</xdr:row>
      <xdr:rowOff>157385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3B4EFBF2-A5E1-214A-82A2-F6DD771F336B}"/>
            </a:ext>
          </a:extLst>
        </xdr:cNvPr>
        <xdr:cNvSpPr txBox="1"/>
      </xdr:nvSpPr>
      <xdr:spPr>
        <a:xfrm>
          <a:off x="20904200" y="1282700"/>
          <a:ext cx="2133600" cy="258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E65F278-BC0E-7C4F-A114-C8F759AB4619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4EF6F7-E39C-5548-A287-84E386E64E31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7D575F-A9EB-AC4B-A8D5-A26DF20A7439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F487BEF-F4F8-EF4D-97CB-9A8EAB65DD88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2095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E508D1-FE66-7B48-B37B-A55989B6BF8B}"/>
            </a:ext>
          </a:extLst>
        </xdr:cNvPr>
        <xdr:cNvSpPr txBox="1"/>
      </xdr:nvSpPr>
      <xdr:spPr>
        <a:xfrm>
          <a:off x="18986500" y="266700"/>
          <a:ext cx="2215478" cy="535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7</xdr:row>
      <xdr:rowOff>182785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CF250F66-1AD5-0C4E-B593-2275D3CFC15E}"/>
            </a:ext>
          </a:extLst>
        </xdr:cNvPr>
        <xdr:cNvSpPr txBox="1"/>
      </xdr:nvSpPr>
      <xdr:spPr>
        <a:xfrm>
          <a:off x="20904200" y="1282700"/>
          <a:ext cx="2133600" cy="284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E45AB0-8CBE-E64C-B363-C7B5F6A7BC58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4305DC-FF08-D348-891C-2FD7C8483ABE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0D6AE9-22BC-374A-AD7D-8B58E0104B93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C36FD0-2FA2-1342-9231-F9D723947E9C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2095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F9FA28-003E-6047-ADB5-D5620DFEF70D}"/>
            </a:ext>
          </a:extLst>
        </xdr:cNvPr>
        <xdr:cNvSpPr txBox="1"/>
      </xdr:nvSpPr>
      <xdr:spPr>
        <a:xfrm>
          <a:off x="18986500" y="266700"/>
          <a:ext cx="2215478" cy="535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7</xdr:row>
      <xdr:rowOff>170085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3415A298-A4E1-4546-894F-B8EC4A7E08B5}"/>
            </a:ext>
          </a:extLst>
        </xdr:cNvPr>
        <xdr:cNvSpPr txBox="1"/>
      </xdr:nvSpPr>
      <xdr:spPr>
        <a:xfrm>
          <a:off x="20904200" y="1282700"/>
          <a:ext cx="2133600" cy="271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1AAE20-C2F2-5349-A03D-0AC79D6B008E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D3DCC5-5DAC-D145-9184-8F894F573B71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FC680BF-1BB4-4643-A616-D2D6AB647A07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D22BED6-D476-D548-B6A7-D254DD48C88F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12112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D1BB6E-AC77-2641-95DA-F8E1188B73A4}"/>
            </a:ext>
          </a:extLst>
        </xdr:cNvPr>
        <xdr:cNvSpPr txBox="1"/>
      </xdr:nvSpPr>
      <xdr:spPr>
        <a:xfrm>
          <a:off x="18986500" y="63500"/>
          <a:ext cx="2215478" cy="5582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8</xdr:row>
      <xdr:rowOff>30385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CBB0A6A0-7A4F-4048-9F90-27069D071067}"/>
            </a:ext>
          </a:extLst>
        </xdr:cNvPr>
        <xdr:cNvSpPr txBox="1"/>
      </xdr:nvSpPr>
      <xdr:spPr>
        <a:xfrm>
          <a:off x="20904200" y="1079500"/>
          <a:ext cx="2133600" cy="335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99978DA-C678-BB4F-815F-0F4B9B6396E5}"/>
            </a:ext>
          </a:extLst>
        </xdr:cNvPr>
        <xdr:cNvSpPr txBox="1"/>
      </xdr:nvSpPr>
      <xdr:spPr>
        <a:xfrm>
          <a:off x="18996660" y="736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D0B0564-C310-CE41-A4BC-E8EBAE357D21}"/>
            </a:ext>
          </a:extLst>
        </xdr:cNvPr>
        <xdr:cNvSpPr txBox="1"/>
      </xdr:nvSpPr>
      <xdr:spPr>
        <a:xfrm>
          <a:off x="16233140" y="65811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BDD5B6-6F59-EE4B-8B99-B0BFA2AF4F00}"/>
            </a:ext>
          </a:extLst>
        </xdr:cNvPr>
        <xdr:cNvSpPr txBox="1"/>
      </xdr:nvSpPr>
      <xdr:spPr>
        <a:xfrm>
          <a:off x="20350480" y="11226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513589A-9A7E-B548-9989-39A9C9513A64}"/>
            </a:ext>
          </a:extLst>
        </xdr:cNvPr>
        <xdr:cNvSpPr txBox="1"/>
      </xdr:nvSpPr>
      <xdr:spPr>
        <a:xfrm>
          <a:off x="20330160" y="7416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0</xdr:row>
      <xdr:rowOff>63500</xdr:rowOff>
    </xdr:from>
    <xdr:to>
      <xdr:col>15</xdr:col>
      <xdr:colOff>56478</xdr:colOff>
      <xdr:row>3</xdr:row>
      <xdr:rowOff>4059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71AFAE-56B6-F647-BFD5-C58798491863}"/>
            </a:ext>
          </a:extLst>
        </xdr:cNvPr>
        <xdr:cNvSpPr txBox="1"/>
      </xdr:nvSpPr>
      <xdr:spPr>
        <a:xfrm>
          <a:off x="18986500" y="63500"/>
          <a:ext cx="2215478" cy="5455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5</xdr:row>
      <xdr:rowOff>101600</xdr:rowOff>
    </xdr:from>
    <xdr:to>
      <xdr:col>17</xdr:col>
      <xdr:colOff>241300</xdr:colOff>
      <xdr:row>7</xdr:row>
      <xdr:rowOff>4986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DBC7A08D-0DA0-A945-A5A6-282374063D19}"/>
            </a:ext>
          </a:extLst>
        </xdr:cNvPr>
        <xdr:cNvSpPr txBox="1"/>
      </xdr:nvSpPr>
      <xdr:spPr>
        <a:xfrm>
          <a:off x="20904200" y="1079500"/>
          <a:ext cx="2133600" cy="309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0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0EAD36-232F-2E48-B257-90F4D7437961}"/>
            </a:ext>
          </a:extLst>
        </xdr:cNvPr>
        <xdr:cNvSpPr txBox="1"/>
      </xdr:nvSpPr>
      <xdr:spPr>
        <a:xfrm>
          <a:off x="18996660" y="736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33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17377F-8B8E-EA44-962C-A21E1C357C5E}"/>
            </a:ext>
          </a:extLst>
        </xdr:cNvPr>
        <xdr:cNvSpPr txBox="1"/>
      </xdr:nvSpPr>
      <xdr:spPr>
        <a:xfrm>
          <a:off x="16233140" y="65811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5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DF77A8-0BC4-9245-B69B-C0CDFAA03EAF}"/>
            </a:ext>
          </a:extLst>
        </xdr:cNvPr>
        <xdr:cNvSpPr txBox="1"/>
      </xdr:nvSpPr>
      <xdr:spPr>
        <a:xfrm>
          <a:off x="20350480" y="11226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3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503DD2-3D99-AC49-9E69-592A6ED6A7C0}"/>
            </a:ext>
          </a:extLst>
        </xdr:cNvPr>
        <xdr:cNvSpPr txBox="1"/>
      </xdr:nvSpPr>
      <xdr:spPr>
        <a:xfrm>
          <a:off x="20330160" y="7416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1</xdr:row>
      <xdr:rowOff>63500</xdr:rowOff>
    </xdr:from>
    <xdr:to>
      <xdr:col>15</xdr:col>
      <xdr:colOff>56478</xdr:colOff>
      <xdr:row>4</xdr:row>
      <xdr:rowOff>2095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A425D-4248-8543-B993-46D44D2357DD}"/>
            </a:ext>
          </a:extLst>
        </xdr:cNvPr>
        <xdr:cNvSpPr txBox="1"/>
      </xdr:nvSpPr>
      <xdr:spPr>
        <a:xfrm>
          <a:off x="18986500" y="266700"/>
          <a:ext cx="2215478" cy="5455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584200</xdr:colOff>
      <xdr:row>6</xdr:row>
      <xdr:rowOff>101600</xdr:rowOff>
    </xdr:from>
    <xdr:to>
      <xdr:col>17</xdr:col>
      <xdr:colOff>241300</xdr:colOff>
      <xdr:row>8</xdr:row>
      <xdr:rowOff>4985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CDE332B2-9CA3-C841-BB50-1445AEEFE742}"/>
            </a:ext>
          </a:extLst>
        </xdr:cNvPr>
        <xdr:cNvSpPr txBox="1"/>
      </xdr:nvSpPr>
      <xdr:spPr>
        <a:xfrm>
          <a:off x="20904200" y="1282700"/>
          <a:ext cx="2133600" cy="309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60960</xdr:colOff>
      <xdr:row>1</xdr:row>
      <xdr:rowOff>73660</xdr:rowOff>
    </xdr:from>
    <xdr:ext cx="221547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ED0EC2-A849-7E41-A724-E69298D9E418}"/>
            </a:ext>
          </a:extLst>
        </xdr:cNvPr>
        <xdr:cNvSpPr txBox="1"/>
      </xdr:nvSpPr>
      <xdr:spPr>
        <a:xfrm>
          <a:off x="18996660" y="276860"/>
          <a:ext cx="22154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Check these revenues against</a:t>
          </a:r>
        </a:p>
        <a:p>
          <a:r>
            <a:rPr lang="en-US" sz="1100">
              <a:solidFill>
                <a:srgbClr val="FF0000"/>
              </a:solidFill>
            </a:rPr>
            <a:t>a.</a:t>
          </a:r>
          <a:r>
            <a:rPr lang="en-US" sz="1100" baseline="0">
              <a:solidFill>
                <a:srgbClr val="FF0000"/>
              </a:solidFill>
            </a:rPr>
            <a:t> Overall market size</a:t>
          </a:r>
        </a:p>
        <a:p>
          <a:r>
            <a:rPr lang="en-US" sz="1100" baseline="0">
              <a:solidFill>
                <a:srgbClr val="FF0000"/>
              </a:solidFill>
            </a:rPr>
            <a:t>b. Largest companies in this market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40640</xdr:colOff>
      <xdr:row>34</xdr:row>
      <xdr:rowOff>40640</xdr:rowOff>
    </xdr:from>
    <xdr:ext cx="4613106" cy="7805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F972F1-4EEB-3F4C-B7EA-13BAB1C04207}"/>
            </a:ext>
          </a:extLst>
        </xdr:cNvPr>
        <xdr:cNvSpPr txBox="1"/>
      </xdr:nvSpPr>
      <xdr:spPr>
        <a:xfrm>
          <a:off x="16233140" y="6784340"/>
          <a:ext cx="4613106" cy="780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Compare this return on capital</a:t>
          </a:r>
          <a:r>
            <a:rPr lang="en-US" sz="1100" baseline="0">
              <a:solidFill>
                <a:srgbClr val="FF0000"/>
              </a:solidFill>
            </a:rPr>
            <a:t> in year 10 against</a:t>
          </a:r>
        </a:p>
        <a:p>
          <a:r>
            <a:rPr lang="en-US" sz="1100" baseline="0">
              <a:solidFill>
                <a:srgbClr val="FF0000"/>
              </a:solidFill>
            </a:rPr>
            <a:t>a.  the industry average(column E of worksheet)</a:t>
          </a:r>
        </a:p>
        <a:p>
          <a:r>
            <a:rPr lang="en-US" sz="1100" baseline="0">
              <a:solidFill>
                <a:srgbClr val="FF0000"/>
              </a:solidFill>
            </a:rPr>
            <a:t>b. the return on capital after year 10</a:t>
          </a:r>
        </a:p>
        <a:p>
          <a:r>
            <a:rPr lang="en-US" sz="1100" baseline="0">
              <a:solidFill>
                <a:srgbClr val="FF0000"/>
              </a:solidFill>
            </a:rPr>
            <a:t>If it is too high (low), you may want to lower  (raise) your sales to capital ratio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30480</xdr:colOff>
      <xdr:row>6</xdr:row>
      <xdr:rowOff>144780</xdr:rowOff>
    </xdr:from>
    <xdr:ext cx="213360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AEA7D0-49B9-6348-A7CB-D1894B603046}"/>
            </a:ext>
          </a:extLst>
        </xdr:cNvPr>
        <xdr:cNvSpPr txBox="1"/>
      </xdr:nvSpPr>
      <xdr:spPr>
        <a:xfrm>
          <a:off x="20350480" y="1325880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how much capital you invested over the</a:t>
          </a:r>
          <a:r>
            <a:rPr lang="en-US" sz="1100" baseline="0">
              <a:solidFill>
                <a:srgbClr val="FF0000"/>
              </a:solidFill>
            </a:rPr>
            <a:t> ten year period.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10160</xdr:colOff>
      <xdr:row>4</xdr:row>
      <xdr:rowOff>144780</xdr:rowOff>
    </xdr:from>
    <xdr:ext cx="2895600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22E9349-86D1-2648-9E0F-B57304ACF035}"/>
            </a:ext>
          </a:extLst>
        </xdr:cNvPr>
        <xdr:cNvSpPr txBox="1"/>
      </xdr:nvSpPr>
      <xdr:spPr>
        <a:xfrm>
          <a:off x="20330160" y="944880"/>
          <a:ext cx="2895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This is is how much your</a:t>
          </a:r>
          <a:r>
            <a:rPr lang="en-US" sz="1100" baseline="0">
              <a:solidFill>
                <a:srgbClr val="FF0000"/>
              </a:solidFill>
            </a:rPr>
            <a:t> operating income grew over the ten-year period.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8562-DD66-554A-B660-23DA80EB01F4}">
  <dimension ref="A1:V9"/>
  <sheetViews>
    <sheetView tabSelected="1" topLeftCell="E1" zoomScale="142" workbookViewId="0">
      <selection activeCell="L1" sqref="L1"/>
    </sheetView>
  </sheetViews>
  <sheetFormatPr baseColWidth="10" defaultRowHeight="16"/>
  <cols>
    <col min="1" max="1" width="30.1640625" style="52" customWidth="1"/>
    <col min="2" max="2" width="9.1640625" style="52" customWidth="1"/>
    <col min="3" max="3" width="5.33203125" style="52" customWidth="1"/>
    <col min="4" max="5" width="4.6640625" style="52" customWidth="1"/>
    <col min="6" max="6" width="8.83203125" style="52" customWidth="1"/>
    <col min="7" max="7" width="6.33203125" style="52" customWidth="1"/>
    <col min="8" max="8" width="8.5" style="52" customWidth="1"/>
    <col min="9" max="9" width="6.6640625" style="52" customWidth="1"/>
    <col min="10" max="10" width="11.5" style="52" customWidth="1"/>
    <col min="11" max="11" width="7.5" style="52" customWidth="1"/>
    <col min="12" max="12" width="11" style="66" bestFit="1" customWidth="1"/>
    <col min="13" max="13" width="12.1640625" style="52" bestFit="1" customWidth="1"/>
    <col min="14" max="14" width="11" style="54" bestFit="1" customWidth="1"/>
    <col min="15" max="15" width="11" style="74" bestFit="1" customWidth="1"/>
    <col min="16" max="16" width="11" style="52" bestFit="1" customWidth="1"/>
    <col min="17" max="17" width="8.5" style="74" customWidth="1"/>
    <col min="18" max="18" width="8.6640625" style="54" customWidth="1"/>
    <col min="19" max="19" width="9.5" style="54" customWidth="1"/>
    <col min="20" max="20" width="8" style="54" customWidth="1"/>
    <col min="21" max="21" width="13" style="54" customWidth="1"/>
    <col min="22" max="22" width="11" style="54" bestFit="1" customWidth="1"/>
    <col min="23" max="16384" width="10.83203125" style="52"/>
  </cols>
  <sheetData>
    <row r="1" spans="1:22" s="51" customFormat="1">
      <c r="A1" s="51" t="s">
        <v>9</v>
      </c>
      <c r="B1" s="51" t="s">
        <v>132</v>
      </c>
      <c r="C1" s="51" t="s">
        <v>133</v>
      </c>
      <c r="D1" s="51" t="s">
        <v>10</v>
      </c>
      <c r="E1" s="51" t="s">
        <v>82</v>
      </c>
      <c r="F1" s="60" t="s">
        <v>141</v>
      </c>
      <c r="G1" s="60" t="s">
        <v>140</v>
      </c>
      <c r="H1" s="60" t="s">
        <v>142</v>
      </c>
      <c r="I1" s="60" t="s">
        <v>143</v>
      </c>
      <c r="J1" s="60" t="s">
        <v>148</v>
      </c>
      <c r="K1" s="60" t="s">
        <v>144</v>
      </c>
      <c r="L1" s="62" t="s">
        <v>150</v>
      </c>
      <c r="M1" s="51" t="s">
        <v>145</v>
      </c>
      <c r="N1" s="53" t="s">
        <v>154</v>
      </c>
      <c r="O1" s="73" t="s">
        <v>153</v>
      </c>
      <c r="P1" s="51" t="s">
        <v>149</v>
      </c>
      <c r="Q1" s="73" t="s">
        <v>67</v>
      </c>
      <c r="R1" s="53" t="s">
        <v>69</v>
      </c>
      <c r="S1" s="53" t="s">
        <v>71</v>
      </c>
      <c r="T1" s="53" t="s">
        <v>152</v>
      </c>
      <c r="U1" s="53" t="s">
        <v>151</v>
      </c>
      <c r="V1" s="53" t="s">
        <v>76</v>
      </c>
    </row>
    <row r="2" spans="1:22" ht="17">
      <c r="A2" s="64" t="s">
        <v>134</v>
      </c>
      <c r="B2" s="52">
        <v>44332</v>
      </c>
      <c r="C2" s="52">
        <v>380</v>
      </c>
      <c r="D2" s="52">
        <v>17.05076923076923</v>
      </c>
      <c r="E2" s="52">
        <v>2.8379381865669728</v>
      </c>
      <c r="F2" s="65">
        <v>1562120</v>
      </c>
      <c r="G2" s="65">
        <v>260000</v>
      </c>
      <c r="H2" s="65">
        <v>97440</v>
      </c>
      <c r="I2" s="65">
        <v>123360</v>
      </c>
      <c r="J2" s="65">
        <v>4089150</v>
      </c>
      <c r="K2" s="65">
        <v>246150</v>
      </c>
      <c r="L2" s="66">
        <v>-0.72505494505494505</v>
      </c>
      <c r="M2" s="52">
        <v>4227550</v>
      </c>
      <c r="N2" s="54">
        <v>4.3099999999999996</v>
      </c>
      <c r="O2" s="74">
        <v>16.600000000000001</v>
      </c>
      <c r="P2" s="52">
        <v>-1.6869431898230638</v>
      </c>
      <c r="Q2" s="74">
        <v>43</v>
      </c>
      <c r="R2" s="57">
        <v>5.3</v>
      </c>
      <c r="S2" s="57">
        <v>14.3</v>
      </c>
      <c r="T2" s="57">
        <v>9.8000000000000007</v>
      </c>
      <c r="U2" s="57">
        <v>26.7</v>
      </c>
      <c r="V2" s="57">
        <v>1.2744155378588073</v>
      </c>
    </row>
    <row r="3" spans="1:22" ht="17">
      <c r="A3" s="64" t="s">
        <v>146</v>
      </c>
      <c r="B3" s="52">
        <v>2712</v>
      </c>
      <c r="C3" s="52">
        <v>446</v>
      </c>
      <c r="D3" s="67">
        <v>1261.3953488372092</v>
      </c>
      <c r="E3" s="52">
        <v>4.6366900324841849</v>
      </c>
      <c r="F3" s="65">
        <v>58490</v>
      </c>
      <c r="G3" s="65">
        <v>215</v>
      </c>
      <c r="H3" s="65">
        <v>358</v>
      </c>
      <c r="I3" s="65">
        <v>4717</v>
      </c>
      <c r="J3" s="65">
        <v>75549</v>
      </c>
      <c r="K3" s="65">
        <v>7110</v>
      </c>
      <c r="L3" s="66">
        <v>5.0099667774086383</v>
      </c>
      <c r="M3" s="52">
        <v>88464</v>
      </c>
      <c r="N3" s="54">
        <v>0.17</v>
      </c>
      <c r="O3" s="74">
        <v>0.36</v>
      </c>
      <c r="P3" s="52">
        <v>-4.9393530997304582</v>
      </c>
      <c r="Q3" s="74">
        <v>10</v>
      </c>
      <c r="R3" s="57">
        <v>3.8</v>
      </c>
      <c r="S3" s="57">
        <v>12.7</v>
      </c>
      <c r="T3" s="57">
        <v>11.6</v>
      </c>
      <c r="U3" s="57">
        <v>47.1</v>
      </c>
      <c r="V3" s="57">
        <v>0.24022909899128056</v>
      </c>
    </row>
    <row r="4" spans="1:22" ht="17">
      <c r="A4" s="64" t="s">
        <v>135</v>
      </c>
      <c r="B4" s="52">
        <v>2052</v>
      </c>
      <c r="C4" s="52">
        <v>2376</v>
      </c>
      <c r="D4" s="52">
        <v>43.659574468085104</v>
      </c>
      <c r="E4" s="52">
        <v>6.5122183433830543</v>
      </c>
      <c r="F4" s="65">
        <v>31510</v>
      </c>
      <c r="G4" s="65">
        <v>4700</v>
      </c>
      <c r="H4" s="65">
        <v>1980</v>
      </c>
      <c r="I4" s="65">
        <v>1274</v>
      </c>
      <c r="J4" s="65">
        <v>44773</v>
      </c>
      <c r="K4" s="65">
        <v>2435</v>
      </c>
      <c r="L4" s="66">
        <v>0.86170212765957444</v>
      </c>
      <c r="M4" s="52">
        <v>60106</v>
      </c>
      <c r="N4" s="54">
        <v>5.47</v>
      </c>
      <c r="O4" s="74">
        <v>14.9</v>
      </c>
      <c r="P4" s="52">
        <v>3.4912461380020599</v>
      </c>
      <c r="Q4" s="74">
        <v>51</v>
      </c>
      <c r="R4" s="57">
        <v>6.4</v>
      </c>
      <c r="S4" s="57">
        <v>12.8</v>
      </c>
      <c r="T4" s="57">
        <v>8.5</v>
      </c>
      <c r="U4" s="57">
        <v>47.6</v>
      </c>
      <c r="V4" s="57">
        <v>0.75655347508727389</v>
      </c>
    </row>
    <row r="5" spans="1:22" ht="17">
      <c r="A5" s="64" t="s">
        <v>136</v>
      </c>
      <c r="B5" s="52">
        <v>427</v>
      </c>
      <c r="C5" s="52">
        <v>69</v>
      </c>
      <c r="D5" s="52">
        <v>38.330341113105924</v>
      </c>
      <c r="E5" s="52">
        <v>10.207984699976093</v>
      </c>
      <c r="F5" s="65">
        <v>4183</v>
      </c>
      <c r="G5" s="65">
        <v>1114</v>
      </c>
      <c r="H5" s="65">
        <v>0</v>
      </c>
      <c r="I5" s="65">
        <v>181</v>
      </c>
      <c r="J5" s="65">
        <v>8004</v>
      </c>
      <c r="K5" s="65">
        <v>423</v>
      </c>
      <c r="L5" s="66">
        <v>3.4021543985637344</v>
      </c>
      <c r="M5" s="52">
        <v>9087</v>
      </c>
      <c r="N5" s="54">
        <v>8.58</v>
      </c>
      <c r="O5" s="74">
        <v>26.6</v>
      </c>
      <c r="P5" s="52">
        <v>-9.4084507042253518E-2</v>
      </c>
      <c r="Q5" s="74">
        <v>2.2999999999999998</v>
      </c>
      <c r="R5" s="57">
        <v>0</v>
      </c>
      <c r="S5" s="57">
        <v>12.7</v>
      </c>
      <c r="T5" s="57">
        <v>12.4</v>
      </c>
      <c r="U5" s="57">
        <v>39.4</v>
      </c>
      <c r="V5" s="57">
        <v>0.4128615825962228</v>
      </c>
    </row>
    <row r="6" spans="1:22" ht="17">
      <c r="A6" s="64" t="s">
        <v>137</v>
      </c>
      <c r="B6" s="52">
        <v>342</v>
      </c>
      <c r="C6" s="52">
        <v>447</v>
      </c>
      <c r="D6" s="52">
        <v>31.204379562043794</v>
      </c>
      <c r="E6" s="52">
        <v>5.4002842254855512</v>
      </c>
      <c r="F6" s="65">
        <v>6333</v>
      </c>
      <c r="G6" s="65">
        <v>1096</v>
      </c>
      <c r="H6" s="65">
        <v>2</v>
      </c>
      <c r="I6" s="65">
        <v>155</v>
      </c>
      <c r="J6" s="65">
        <v>2262</v>
      </c>
      <c r="K6" s="65">
        <v>-26</v>
      </c>
      <c r="L6" s="66">
        <v>0.83029197080291983</v>
      </c>
      <c r="M6" s="52">
        <v>3640.5</v>
      </c>
      <c r="N6" s="55">
        <v>21.07</v>
      </c>
      <c r="O6" s="74">
        <v>17.3</v>
      </c>
      <c r="P6" s="52">
        <v>4.1027761370348497</v>
      </c>
      <c r="Q6" s="74">
        <v>1.7</v>
      </c>
      <c r="R6" s="57">
        <v>3.2</v>
      </c>
      <c r="S6" s="57">
        <v>13</v>
      </c>
      <c r="T6" s="57">
        <v>12.8</v>
      </c>
      <c r="U6" s="58">
        <v>143.19999999999999</v>
      </c>
      <c r="V6" s="57">
        <v>7.7293541765356072E-3</v>
      </c>
    </row>
    <row r="7" spans="1:22" ht="34">
      <c r="A7" s="64" t="s">
        <v>147</v>
      </c>
      <c r="B7" s="52">
        <v>121</v>
      </c>
      <c r="C7" s="52">
        <v>32.6</v>
      </c>
      <c r="E7" s="52">
        <v>2.5744680851063828</v>
      </c>
      <c r="F7" s="65">
        <v>0</v>
      </c>
      <c r="G7" s="65">
        <v>0</v>
      </c>
      <c r="H7" s="65">
        <v>0</v>
      </c>
      <c r="I7" s="65"/>
      <c r="J7" s="65">
        <v>11500</v>
      </c>
      <c r="K7" s="65">
        <v>0</v>
      </c>
      <c r="L7" s="66" t="e">
        <v>#DIV/0!</v>
      </c>
      <c r="M7" s="52">
        <v>0</v>
      </c>
      <c r="N7" s="56" t="s">
        <v>84</v>
      </c>
      <c r="O7" s="75" t="s">
        <v>84</v>
      </c>
      <c r="P7" s="52">
        <v>0.27504681647940077</v>
      </c>
      <c r="Q7" s="74">
        <v>49</v>
      </c>
      <c r="R7" s="57">
        <v>8.3000000000000007</v>
      </c>
      <c r="S7" s="57">
        <v>11.4</v>
      </c>
      <c r="T7" s="57">
        <v>8.6999999999999993</v>
      </c>
      <c r="U7" s="57">
        <v>30.8</v>
      </c>
      <c r="V7" s="57">
        <v>0</v>
      </c>
    </row>
    <row r="8" spans="1:22" ht="17">
      <c r="A8" s="64" t="s">
        <v>138</v>
      </c>
      <c r="B8" s="52">
        <v>46</v>
      </c>
      <c r="C8" s="52">
        <v>4.5999999999999996</v>
      </c>
      <c r="E8" s="71">
        <v>110.15325670498083</v>
      </c>
      <c r="F8" s="65">
        <v>41.76</v>
      </c>
      <c r="G8" s="65">
        <v>-52</v>
      </c>
      <c r="H8" s="65">
        <v>13</v>
      </c>
      <c r="I8" s="65">
        <v>0.11</v>
      </c>
      <c r="J8" s="65">
        <v>14122</v>
      </c>
      <c r="K8" s="65">
        <v>0</v>
      </c>
      <c r="L8" s="66">
        <v>-0.38461538461538464</v>
      </c>
      <c r="M8" s="52">
        <v>14009.89</v>
      </c>
      <c r="N8" s="54">
        <v>-0.26</v>
      </c>
      <c r="O8" s="74">
        <v>-124</v>
      </c>
      <c r="P8" s="52">
        <v>3.0177419354844019</v>
      </c>
      <c r="Q8" s="76">
        <v>92</v>
      </c>
      <c r="R8" s="57">
        <v>1.0047144292449186E-3</v>
      </c>
      <c r="S8" s="57">
        <v>9.5</v>
      </c>
      <c r="T8" s="57">
        <v>0.8</v>
      </c>
      <c r="U8" s="59">
        <v>0.3</v>
      </c>
      <c r="V8" s="57">
        <v>0.29573754789272033</v>
      </c>
    </row>
    <row r="9" spans="1:22" ht="17">
      <c r="A9" s="64" t="s">
        <v>139</v>
      </c>
      <c r="B9" s="52">
        <v>11</v>
      </c>
      <c r="C9" s="52">
        <v>10</v>
      </c>
      <c r="E9" s="52">
        <v>10.476190476190476</v>
      </c>
      <c r="F9" s="65">
        <v>105</v>
      </c>
      <c r="G9" s="65">
        <v>4.8</v>
      </c>
      <c r="H9" s="65">
        <v>0.36</v>
      </c>
      <c r="I9" s="65">
        <v>3</v>
      </c>
      <c r="J9" s="65">
        <v>239</v>
      </c>
      <c r="K9" s="65">
        <v>0</v>
      </c>
      <c r="L9" s="66">
        <v>3.9077380952380949</v>
      </c>
      <c r="M9" s="52">
        <v>332</v>
      </c>
      <c r="N9" s="54">
        <v>1.01</v>
      </c>
      <c r="O9" s="74">
        <v>4.5</v>
      </c>
      <c r="P9" s="52">
        <v>0.9285714285714286</v>
      </c>
      <c r="Q9" s="76">
        <v>76</v>
      </c>
      <c r="R9" s="57">
        <v>1.4117647058823528E-3</v>
      </c>
      <c r="S9" s="57">
        <v>8.5</v>
      </c>
      <c r="T9" s="57">
        <v>2.1</v>
      </c>
      <c r="U9" s="57">
        <v>31.5</v>
      </c>
      <c r="V9" s="57">
        <v>3.2380952380952383E-3</v>
      </c>
    </row>
  </sheetData>
  <sortState xmlns:xlrd2="http://schemas.microsoft.com/office/spreadsheetml/2017/richdata2" ref="A2:C9">
    <sortCondition descending="1" ref="B2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F9F3-4AF3-D44A-9262-C47FC7F0BF31}">
  <dimension ref="A1:CA10"/>
  <sheetViews>
    <sheetView workbookViewId="0">
      <selection activeCell="BS5" sqref="BS5"/>
    </sheetView>
  </sheetViews>
  <sheetFormatPr baseColWidth="10" defaultRowHeight="16"/>
  <cols>
    <col min="1" max="1" width="47.5" style="52" customWidth="1"/>
    <col min="2" max="2" width="19.6640625" style="52" customWidth="1"/>
    <col min="3" max="8" width="11" style="52" bestFit="1" customWidth="1"/>
    <col min="9" max="10" width="13" style="52" customWidth="1"/>
    <col min="11" max="12" width="11" style="52" bestFit="1" customWidth="1"/>
    <col min="13" max="14" width="12.83203125" style="52" bestFit="1" customWidth="1"/>
    <col min="15" max="18" width="11" style="52" bestFit="1" customWidth="1"/>
    <col min="19" max="20" width="12.1640625" style="52" bestFit="1" customWidth="1"/>
    <col min="21" max="22" width="11" style="52" bestFit="1" customWidth="1"/>
    <col min="23" max="23" width="12.1640625" style="52" bestFit="1" customWidth="1"/>
    <col min="24" max="26" width="11" style="52" bestFit="1" customWidth="1"/>
    <col min="27" max="28" width="12.1640625" style="52" bestFit="1" customWidth="1"/>
    <col min="29" max="30" width="11" style="52" bestFit="1" customWidth="1"/>
    <col min="31" max="32" width="12.1640625" style="52" bestFit="1" customWidth="1"/>
    <col min="33" max="38" width="11" style="52" bestFit="1" customWidth="1"/>
    <col min="39" max="39" width="18.6640625" style="52" customWidth="1"/>
    <col min="40" max="40" width="11" style="52" bestFit="1" customWidth="1"/>
    <col min="41" max="41" width="12.1640625" style="52" bestFit="1" customWidth="1"/>
    <col min="42" max="43" width="11" style="52" bestFit="1" customWidth="1"/>
    <col min="44" max="44" width="10.83203125" style="52"/>
    <col min="45" max="45" width="11.6640625" style="52" bestFit="1" customWidth="1"/>
    <col min="46" max="47" width="11" style="52" bestFit="1" customWidth="1"/>
    <col min="48" max="48" width="11" style="66" bestFit="1" customWidth="1"/>
    <col min="49" max="49" width="12.83203125" style="66" bestFit="1" customWidth="1"/>
    <col min="50" max="50" width="11" style="66" bestFit="1" customWidth="1"/>
    <col min="51" max="54" width="12.1640625" style="52" bestFit="1" customWidth="1"/>
    <col min="55" max="58" width="11" style="66" bestFit="1" customWidth="1"/>
    <col min="59" max="65" width="11" style="52" bestFit="1" customWidth="1"/>
    <col min="66" max="66" width="10.83203125" style="52"/>
    <col min="67" max="67" width="11" style="66" bestFit="1" customWidth="1"/>
    <col min="68" max="68" width="9.83203125" style="66" customWidth="1"/>
    <col min="69" max="69" width="11" style="66" bestFit="1" customWidth="1"/>
    <col min="70" max="70" width="11" style="52" bestFit="1" customWidth="1"/>
    <col min="71" max="71" width="11" style="66" bestFit="1" customWidth="1"/>
    <col min="72" max="72" width="10.33203125" style="52" customWidth="1"/>
    <col min="73" max="73" width="11" style="66" bestFit="1" customWidth="1"/>
    <col min="74" max="75" width="10.83203125" style="52"/>
    <col min="76" max="76" width="14.83203125" style="66" bestFit="1" customWidth="1"/>
    <col min="77" max="77" width="14.6640625" style="66" customWidth="1"/>
    <col min="78" max="78" width="14.6640625" style="52" customWidth="1"/>
    <col min="79" max="79" width="11" style="66" bestFit="1" customWidth="1"/>
    <col min="80" max="16384" width="10.83203125" style="52"/>
  </cols>
  <sheetData>
    <row r="1" spans="1:79" s="51" customFormat="1">
      <c r="A1" s="51" t="s">
        <v>9</v>
      </c>
      <c r="B1" s="51" t="s">
        <v>77</v>
      </c>
      <c r="C1" s="51" t="s">
        <v>132</v>
      </c>
      <c r="D1" s="51" t="s">
        <v>133</v>
      </c>
      <c r="E1" s="51" t="s">
        <v>80</v>
      </c>
      <c r="F1" s="51" t="s">
        <v>81</v>
      </c>
      <c r="G1" s="51" t="s">
        <v>10</v>
      </c>
      <c r="H1" s="51" t="s">
        <v>82</v>
      </c>
      <c r="I1" s="60" t="s">
        <v>11</v>
      </c>
      <c r="J1" s="60" t="s">
        <v>12</v>
      </c>
      <c r="K1" s="60" t="s">
        <v>13</v>
      </c>
      <c r="L1" s="60" t="s">
        <v>14</v>
      </c>
      <c r="M1" s="60" t="s">
        <v>15</v>
      </c>
      <c r="N1" s="60" t="s">
        <v>16</v>
      </c>
      <c r="O1" s="60" t="s">
        <v>17</v>
      </c>
      <c r="P1" s="60" t="s">
        <v>18</v>
      </c>
      <c r="Q1" s="60" t="s">
        <v>19</v>
      </c>
      <c r="R1" s="60" t="s">
        <v>20</v>
      </c>
      <c r="S1" s="60" t="s">
        <v>21</v>
      </c>
      <c r="T1" s="60" t="s">
        <v>22</v>
      </c>
      <c r="U1" s="60" t="s">
        <v>23</v>
      </c>
      <c r="V1" s="61" t="s">
        <v>24</v>
      </c>
      <c r="W1" s="60" t="s">
        <v>25</v>
      </c>
      <c r="X1" s="60" t="s">
        <v>26</v>
      </c>
      <c r="Y1" s="60" t="s">
        <v>27</v>
      </c>
      <c r="Z1" s="61" t="s">
        <v>28</v>
      </c>
      <c r="AA1" s="60" t="s">
        <v>29</v>
      </c>
      <c r="AB1" s="60" t="s">
        <v>30</v>
      </c>
      <c r="AC1" s="60" t="s">
        <v>31</v>
      </c>
      <c r="AD1" s="60" t="s">
        <v>32</v>
      </c>
      <c r="AE1" s="60" t="s">
        <v>33</v>
      </c>
      <c r="AF1" s="60" t="s">
        <v>34</v>
      </c>
      <c r="AG1" s="60" t="s">
        <v>35</v>
      </c>
      <c r="AH1" s="60" t="s">
        <v>36</v>
      </c>
      <c r="AI1" s="60" t="s">
        <v>37</v>
      </c>
      <c r="AJ1" s="60" t="s">
        <v>38</v>
      </c>
      <c r="AK1" s="60" t="s">
        <v>39</v>
      </c>
      <c r="AL1" s="60" t="s">
        <v>40</v>
      </c>
      <c r="AM1" s="60" t="s">
        <v>41</v>
      </c>
      <c r="AN1" s="60" t="s">
        <v>42</v>
      </c>
      <c r="AO1" s="60" t="s">
        <v>43</v>
      </c>
      <c r="AP1" s="60" t="s">
        <v>44</v>
      </c>
      <c r="AQ1" s="60" t="s">
        <v>45</v>
      </c>
      <c r="AS1" s="51" t="s">
        <v>46</v>
      </c>
      <c r="AT1" s="51" t="s">
        <v>47</v>
      </c>
      <c r="AU1" s="51" t="s">
        <v>48</v>
      </c>
      <c r="AV1" s="62" t="s">
        <v>49</v>
      </c>
      <c r="AW1" s="62" t="s">
        <v>50</v>
      </c>
      <c r="AX1" s="62" t="s">
        <v>51</v>
      </c>
      <c r="AY1" s="51" t="s">
        <v>52</v>
      </c>
      <c r="AZ1" s="51" t="s">
        <v>53</v>
      </c>
      <c r="BA1" s="51" t="s">
        <v>54</v>
      </c>
      <c r="BB1" s="51" t="s">
        <v>55</v>
      </c>
      <c r="BC1" s="62" t="s">
        <v>56</v>
      </c>
      <c r="BD1" s="62" t="s">
        <v>57</v>
      </c>
      <c r="BE1" s="62" t="s">
        <v>58</v>
      </c>
      <c r="BF1" s="62" t="s">
        <v>59</v>
      </c>
      <c r="BG1" s="51" t="s">
        <v>60</v>
      </c>
      <c r="BH1" s="51" t="s">
        <v>61</v>
      </c>
      <c r="BI1" s="51" t="s">
        <v>62</v>
      </c>
      <c r="BJ1" s="51" t="s">
        <v>63</v>
      </c>
      <c r="BK1" s="51" t="s">
        <v>64</v>
      </c>
      <c r="BL1" s="51" t="s">
        <v>65</v>
      </c>
      <c r="BM1" s="63" t="s">
        <v>66</v>
      </c>
      <c r="BO1" s="62" t="s">
        <v>67</v>
      </c>
      <c r="BP1" s="62" t="s">
        <v>68</v>
      </c>
      <c r="BQ1" s="62" t="s">
        <v>69</v>
      </c>
      <c r="BR1" s="51" t="s">
        <v>70</v>
      </c>
      <c r="BS1" s="62" t="s">
        <v>71</v>
      </c>
      <c r="BT1" s="51" t="s">
        <v>72</v>
      </c>
      <c r="BU1" s="62" t="s">
        <v>73</v>
      </c>
      <c r="BW1" s="51" t="s">
        <v>74</v>
      </c>
      <c r="BX1" s="62" t="s">
        <v>75</v>
      </c>
      <c r="BY1" s="62" t="s">
        <v>120</v>
      </c>
      <c r="BZ1" s="51" t="s">
        <v>119</v>
      </c>
      <c r="CA1" s="62" t="s">
        <v>76</v>
      </c>
    </row>
    <row r="2" spans="1:79" ht="17">
      <c r="A2" s="64" t="s">
        <v>1</v>
      </c>
      <c r="C2" s="52">
        <v>44332</v>
      </c>
      <c r="D2" s="52">
        <v>380</v>
      </c>
      <c r="E2" s="52">
        <f t="shared" ref="E2:E9" si="0">C2/D2</f>
        <v>116.66315789473684</v>
      </c>
      <c r="F2" s="52">
        <f t="shared" ref="F2:F9" si="1">M2/(E2*100)</f>
        <v>22.286384552918886</v>
      </c>
      <c r="G2" s="52">
        <f>D2/F2</f>
        <v>17.05076923076923</v>
      </c>
      <c r="H2" s="52">
        <f>(D2/(I2/E2))*100</f>
        <v>2.8379381865669728</v>
      </c>
      <c r="I2" s="65">
        <v>1562120</v>
      </c>
      <c r="J2" s="65">
        <v>1155010</v>
      </c>
      <c r="K2" s="65">
        <v>839670</v>
      </c>
      <c r="L2" s="65">
        <v>739760</v>
      </c>
      <c r="M2" s="65">
        <v>260000</v>
      </c>
      <c r="N2" s="65">
        <v>177000</v>
      </c>
      <c r="O2" s="65">
        <v>136780</v>
      </c>
      <c r="P2" s="65">
        <v>119220</v>
      </c>
      <c r="Q2" s="65">
        <v>97440</v>
      </c>
      <c r="R2" s="65">
        <v>41900</v>
      </c>
      <c r="S2" s="65">
        <v>1640000</v>
      </c>
      <c r="T2" s="65">
        <v>1365000</v>
      </c>
      <c r="U2" s="65">
        <v>771630</v>
      </c>
      <c r="V2" s="65">
        <v>664730</v>
      </c>
      <c r="W2" s="65">
        <v>1256160</v>
      </c>
      <c r="X2" s="65">
        <v>603050</v>
      </c>
      <c r="Y2" s="65">
        <v>292220</v>
      </c>
      <c r="Z2" s="65">
        <v>280000</v>
      </c>
      <c r="AA2" s="65">
        <v>2527480</v>
      </c>
      <c r="AB2" s="65">
        <v>2248880</v>
      </c>
      <c r="AC2" s="65">
        <v>947000</v>
      </c>
      <c r="AD2" s="65">
        <v>850760</v>
      </c>
      <c r="AE2" s="65">
        <v>1823430</v>
      </c>
      <c r="AF2" s="65">
        <v>2352350</v>
      </c>
      <c r="AG2" s="65">
        <v>800000</v>
      </c>
      <c r="AH2" s="65">
        <v>720000</v>
      </c>
      <c r="AI2" s="65">
        <v>123360</v>
      </c>
      <c r="AJ2" s="65">
        <v>132350</v>
      </c>
      <c r="AK2" s="65">
        <v>66300</v>
      </c>
      <c r="AL2" s="65">
        <v>95310</v>
      </c>
      <c r="AM2" s="65">
        <v>4089150</v>
      </c>
      <c r="AN2" s="65">
        <v>246150</v>
      </c>
      <c r="AO2" s="65">
        <v>1378700</v>
      </c>
      <c r="AP2" s="65">
        <v>192270</v>
      </c>
      <c r="AQ2" s="65">
        <v>173670</v>
      </c>
      <c r="AS2" s="52">
        <f t="shared" ref="AS2:AU9" si="2">(S2-T2) - (W2-X2)</f>
        <v>-378110</v>
      </c>
      <c r="AT2" s="52">
        <f t="shared" si="2"/>
        <v>282540</v>
      </c>
      <c r="AU2" s="52">
        <f t="shared" si="2"/>
        <v>94680</v>
      </c>
      <c r="AV2" s="66">
        <f t="shared" ref="AV2:AV9" si="3">(AS2+AN2)/(M2*0.7)</f>
        <v>-0.72505494505494505</v>
      </c>
      <c r="AW2" s="66">
        <f t="shared" ref="AW2:AX9" si="4">(AT2+AO2)/(0.7*N2)</f>
        <v>13.407909604519775</v>
      </c>
      <c r="AX2" s="66">
        <f t="shared" si="4"/>
        <v>2.9969920414429847</v>
      </c>
      <c r="AY2" s="52">
        <f t="shared" ref="AY2:AZ9" si="5">AA2+AE2-AI2</f>
        <v>4227550</v>
      </c>
      <c r="AZ2" s="52">
        <f t="shared" si="5"/>
        <v>4468880</v>
      </c>
      <c r="BA2" s="52">
        <f t="shared" ref="BA2:BA9" si="6">AC2+AG2-AI2</f>
        <v>1623640</v>
      </c>
      <c r="BB2" s="52">
        <f t="shared" ref="BB2:BB9" si="7">AD2+AH2-AL2</f>
        <v>1475450</v>
      </c>
      <c r="BC2" s="66">
        <f t="shared" ref="BC2:BF5" si="8">(0.7*M2)/AY2</f>
        <v>4.3050939669548559E-2</v>
      </c>
      <c r="BD2" s="66">
        <f t="shared" si="8"/>
        <v>2.7725067578453659E-2</v>
      </c>
      <c r="BE2" s="66">
        <f t="shared" si="8"/>
        <v>5.8969968712276118E-2</v>
      </c>
      <c r="BF2" s="66">
        <f t="shared" si="8"/>
        <v>5.6561726930766887E-2</v>
      </c>
      <c r="BG2" s="66">
        <f t="shared" ref="BG2:BJ9" si="9">M2/I2</f>
        <v>0.16644047832432848</v>
      </c>
      <c r="BH2" s="66">
        <f t="shared" si="9"/>
        <v>0.15324542644652428</v>
      </c>
      <c r="BI2" s="52">
        <f t="shared" si="9"/>
        <v>0.16289732871247037</v>
      </c>
      <c r="BJ2" s="52">
        <f t="shared" si="9"/>
        <v>0.16116037633827188</v>
      </c>
      <c r="BK2" s="52">
        <f t="shared" ref="BK2:BM9" si="10">(I2-J2)/(AY2-AZ2)</f>
        <v>-1.6869431898230638</v>
      </c>
      <c r="BL2" s="52">
        <f t="shared" si="10"/>
        <v>0.11083072078278107</v>
      </c>
      <c r="BM2" s="52">
        <f t="shared" si="10"/>
        <v>0.67420203792428635</v>
      </c>
      <c r="BO2" s="66">
        <f>AE2/AY2</f>
        <v>0.43132074132771936</v>
      </c>
      <c r="BP2" s="66">
        <f>100%-BO2</f>
        <v>0.56867925867228064</v>
      </c>
      <c r="BQ2" s="66">
        <f>Q2/AE2</f>
        <v>5.3437751929056775E-2</v>
      </c>
      <c r="BR2" s="52">
        <v>1.1399999999999999</v>
      </c>
      <c r="BS2" s="66">
        <f>7.5% + 6% * BR2</f>
        <v>0.14339999999999997</v>
      </c>
      <c r="BT2" s="52">
        <f>(BS2*BP2) + (BQ2*BO2*0.7)</f>
        <v>9.7682773237454307E-2</v>
      </c>
      <c r="BU2" s="66">
        <f>I2/(S2+AI2+AM2)</f>
        <v>0.26691453752321653</v>
      </c>
      <c r="BX2" s="66">
        <f>I2/I10</f>
        <v>0.93681328375472983</v>
      </c>
      <c r="BY2" s="66">
        <v>0.8</v>
      </c>
      <c r="BZ2" s="52" t="e">
        <f>#REF!*BY2</f>
        <v>#REF!</v>
      </c>
      <c r="CA2" s="66">
        <f>(AN2+AO2+AP2+AQ2)/I2</f>
        <v>1.2744155378588073</v>
      </c>
    </row>
    <row r="3" spans="1:79" ht="17">
      <c r="A3" s="64" t="s">
        <v>5</v>
      </c>
      <c r="B3" s="52" t="s">
        <v>78</v>
      </c>
      <c r="C3" s="52">
        <v>2712</v>
      </c>
      <c r="D3" s="52">
        <v>446</v>
      </c>
      <c r="E3" s="52">
        <f t="shared" si="0"/>
        <v>6.0807174887892375</v>
      </c>
      <c r="F3" s="52">
        <f t="shared" si="1"/>
        <v>0.35357669616519177</v>
      </c>
      <c r="G3" s="67">
        <f t="shared" ref="G3:G4" si="11">D3/F3</f>
        <v>1261.3953488372092</v>
      </c>
      <c r="H3" s="52">
        <f t="shared" ref="H3:H4" si="12">D3/(I3/E3)*100</f>
        <v>4.6366900324841849</v>
      </c>
      <c r="I3" s="65">
        <v>58490</v>
      </c>
      <c r="J3" s="65">
        <v>51160</v>
      </c>
      <c r="K3" s="65">
        <v>67220</v>
      </c>
      <c r="L3" s="65">
        <v>63478</v>
      </c>
      <c r="M3" s="65">
        <v>215</v>
      </c>
      <c r="N3" s="65">
        <v>-8542</v>
      </c>
      <c r="O3" s="65">
        <v>-4655</v>
      </c>
      <c r="P3" s="65">
        <v>4101</v>
      </c>
      <c r="Q3" s="65">
        <v>358</v>
      </c>
      <c r="R3" s="65">
        <v>443</v>
      </c>
      <c r="S3" s="65">
        <v>43800</v>
      </c>
      <c r="T3" s="65">
        <v>52246</v>
      </c>
      <c r="U3" s="65">
        <v>95000</v>
      </c>
      <c r="V3" s="65">
        <v>42200</v>
      </c>
      <c r="W3" s="65">
        <v>30880</v>
      </c>
      <c r="X3" s="65">
        <v>32970</v>
      </c>
      <c r="Y3" s="65">
        <v>80010</v>
      </c>
      <c r="Z3" s="65">
        <v>36280</v>
      </c>
      <c r="AA3" s="65">
        <v>83820</v>
      </c>
      <c r="AB3" s="65">
        <v>84011</v>
      </c>
      <c r="AC3" s="65">
        <v>84580</v>
      </c>
      <c r="AD3" s="65">
        <v>-23160</v>
      </c>
      <c r="AE3" s="65">
        <v>9361</v>
      </c>
      <c r="AF3" s="65">
        <v>9922</v>
      </c>
      <c r="AG3" s="65">
        <v>13390</v>
      </c>
      <c r="AH3" s="65">
        <v>104450</v>
      </c>
      <c r="AI3" s="65">
        <v>4717</v>
      </c>
      <c r="AJ3" s="65">
        <v>3985</v>
      </c>
      <c r="AK3" s="65">
        <v>5035</v>
      </c>
      <c r="AL3" s="65">
        <v>5207</v>
      </c>
      <c r="AM3" s="65">
        <v>75549</v>
      </c>
      <c r="AN3" s="65">
        <v>7110</v>
      </c>
      <c r="AO3" s="65">
        <v>4140</v>
      </c>
      <c r="AP3" s="65">
        <v>1051</v>
      </c>
      <c r="AQ3" s="65">
        <v>1750</v>
      </c>
      <c r="AS3" s="52">
        <f t="shared" si="2"/>
        <v>-6356</v>
      </c>
      <c r="AT3" s="52">
        <f t="shared" si="2"/>
        <v>4286</v>
      </c>
      <c r="AU3" s="52">
        <f t="shared" si="2"/>
        <v>9070</v>
      </c>
      <c r="AV3" s="66">
        <f t="shared" si="3"/>
        <v>5.0099667774086383</v>
      </c>
      <c r="AW3" s="66">
        <f t="shared" si="4"/>
        <v>-1.4091714887781384</v>
      </c>
      <c r="AX3" s="66">
        <f t="shared" si="4"/>
        <v>-3.1060303820776429</v>
      </c>
      <c r="AY3" s="52">
        <f t="shared" si="5"/>
        <v>88464</v>
      </c>
      <c r="AZ3" s="52">
        <f t="shared" si="5"/>
        <v>89948</v>
      </c>
      <c r="BA3" s="52">
        <f t="shared" si="6"/>
        <v>93253</v>
      </c>
      <c r="BB3" s="52">
        <f t="shared" si="7"/>
        <v>76083</v>
      </c>
      <c r="BC3" s="66">
        <f t="shared" si="8"/>
        <v>1.701257008500633E-3</v>
      </c>
      <c r="BD3" s="66">
        <f t="shared" si="8"/>
        <v>-6.6476186240939206E-2</v>
      </c>
      <c r="BE3" s="66">
        <f t="shared" si="8"/>
        <v>-3.4942575573976176E-2</v>
      </c>
      <c r="BF3" s="66">
        <f t="shared" si="8"/>
        <v>3.7731162020425063E-2</v>
      </c>
      <c r="BG3" s="66">
        <f t="shared" si="9"/>
        <v>3.6758420242776545E-3</v>
      </c>
      <c r="BH3" s="66">
        <f t="shared" si="9"/>
        <v>-0.16696637998436278</v>
      </c>
      <c r="BI3" s="52">
        <f t="shared" si="9"/>
        <v>-6.9250223147872658E-2</v>
      </c>
      <c r="BJ3" s="52">
        <f t="shared" si="9"/>
        <v>6.4605060020794608E-2</v>
      </c>
      <c r="BK3" s="52">
        <f t="shared" si="10"/>
        <v>-4.9393530997304582</v>
      </c>
      <c r="BL3" s="52">
        <f t="shared" si="10"/>
        <v>4.8593040847201214</v>
      </c>
      <c r="BM3" s="52">
        <f t="shared" si="10"/>
        <v>0.21793826441467676</v>
      </c>
      <c r="BO3" s="66">
        <f t="shared" ref="BO3:BO9" si="13">AE3/AY3</f>
        <v>0.10581705552541147</v>
      </c>
      <c r="BP3" s="66">
        <f t="shared" ref="BP3:BP9" si="14">100%-BO3</f>
        <v>0.89418294447458857</v>
      </c>
      <c r="BQ3" s="66">
        <f t="shared" ref="BQ3:BQ9" si="15">Q3/AE3</f>
        <v>3.8243777374212154E-2</v>
      </c>
      <c r="BR3" s="52">
        <v>0.86</v>
      </c>
      <c r="BS3" s="66">
        <f t="shared" ref="BS3:BS9" si="16">7.5% + 6% * BR3</f>
        <v>0.12659999999999999</v>
      </c>
      <c r="BT3" s="52">
        <f t="shared" ref="BT3:BT9" si="17">(BS3*BP3) + (BQ3*BO3*0.7)</f>
        <v>0.11603635151021885</v>
      </c>
      <c r="BU3" s="66">
        <f t="shared" ref="BU3:BU9" si="18">I3/(S3+AI3+AM3)</f>
        <v>0.4714426192510438</v>
      </c>
      <c r="BX3" s="66">
        <f>I3/I10</f>
        <v>3.5076824422460594E-2</v>
      </c>
      <c r="BY3" s="66">
        <v>0.08</v>
      </c>
      <c r="BZ3" s="52" t="e">
        <f>#REF!*BX3</f>
        <v>#REF!</v>
      </c>
      <c r="CA3" s="66">
        <f t="shared" ref="CA3:CA9" si="19">(AN3+AO3+AP3+AQ3)/I3</f>
        <v>0.24022909899128056</v>
      </c>
    </row>
    <row r="4" spans="1:79" ht="17">
      <c r="A4" s="64" t="s">
        <v>2</v>
      </c>
      <c r="B4" s="52" t="s">
        <v>79</v>
      </c>
      <c r="C4" s="52">
        <v>2052</v>
      </c>
      <c r="D4" s="52">
        <v>2376</v>
      </c>
      <c r="E4" s="52">
        <f t="shared" si="0"/>
        <v>0.86363636363636365</v>
      </c>
      <c r="F4" s="52">
        <f t="shared" si="1"/>
        <v>54.421052631578952</v>
      </c>
      <c r="G4" s="52">
        <f t="shared" si="11"/>
        <v>43.659574468085104</v>
      </c>
      <c r="H4" s="52">
        <f t="shared" si="12"/>
        <v>6.5122183433830543</v>
      </c>
      <c r="I4" s="65">
        <v>31510</v>
      </c>
      <c r="J4" s="65">
        <v>28120</v>
      </c>
      <c r="K4" s="65">
        <v>24874</v>
      </c>
      <c r="L4" s="65">
        <v>21901</v>
      </c>
      <c r="M4" s="65">
        <v>4700</v>
      </c>
      <c r="N4" s="65">
        <v>4500</v>
      </c>
      <c r="O4" s="65">
        <v>5710</v>
      </c>
      <c r="P4" s="65">
        <v>6000</v>
      </c>
      <c r="Q4" s="65">
        <v>1980</v>
      </c>
      <c r="R4" s="65">
        <v>932</v>
      </c>
      <c r="S4" s="65">
        <v>20200</v>
      </c>
      <c r="T4" s="65">
        <v>21500</v>
      </c>
      <c r="U4" s="65">
        <v>17000</v>
      </c>
      <c r="V4" s="65">
        <v>14000</v>
      </c>
      <c r="W4" s="65">
        <v>4800</v>
      </c>
      <c r="X4" s="65">
        <v>6500</v>
      </c>
      <c r="Y4" s="65">
        <v>3880</v>
      </c>
      <c r="Z4" s="65">
        <v>3969</v>
      </c>
      <c r="AA4" s="65">
        <v>30280</v>
      </c>
      <c r="AB4" s="65">
        <v>28850</v>
      </c>
      <c r="AC4" s="65">
        <v>26739</v>
      </c>
      <c r="AD4" s="65">
        <v>23595</v>
      </c>
      <c r="AE4" s="65">
        <v>31100</v>
      </c>
      <c r="AF4" s="65">
        <v>31600</v>
      </c>
      <c r="AG4" s="65">
        <v>25580</v>
      </c>
      <c r="AH4" s="65">
        <v>13530</v>
      </c>
      <c r="AI4" s="65">
        <v>1274</v>
      </c>
      <c r="AJ4" s="65">
        <v>1315</v>
      </c>
      <c r="AK4" s="65">
        <v>2475</v>
      </c>
      <c r="AL4" s="65">
        <v>2126</v>
      </c>
      <c r="AM4" s="65">
        <v>44773</v>
      </c>
      <c r="AN4" s="65">
        <v>2435</v>
      </c>
      <c r="AO4" s="65">
        <v>7774</v>
      </c>
      <c r="AP4" s="65">
        <v>9560</v>
      </c>
      <c r="AQ4" s="65">
        <v>4070</v>
      </c>
      <c r="AS4" s="52">
        <f t="shared" si="2"/>
        <v>400</v>
      </c>
      <c r="AT4" s="52">
        <f t="shared" si="2"/>
        <v>1880</v>
      </c>
      <c r="AU4" s="52">
        <f t="shared" si="2"/>
        <v>3089</v>
      </c>
      <c r="AV4" s="66">
        <f t="shared" si="3"/>
        <v>0.86170212765957444</v>
      </c>
      <c r="AW4" s="66">
        <f t="shared" si="4"/>
        <v>3.0647619047619048</v>
      </c>
      <c r="AX4" s="66">
        <f t="shared" si="4"/>
        <v>3.164623467600701</v>
      </c>
      <c r="AY4" s="52">
        <f t="shared" si="5"/>
        <v>60106</v>
      </c>
      <c r="AZ4" s="52">
        <f t="shared" si="5"/>
        <v>59135</v>
      </c>
      <c r="BA4" s="52">
        <f t="shared" si="6"/>
        <v>51045</v>
      </c>
      <c r="BB4" s="52">
        <f t="shared" si="7"/>
        <v>34999</v>
      </c>
      <c r="BC4" s="66">
        <f t="shared" si="8"/>
        <v>5.4736631950221278E-2</v>
      </c>
      <c r="BD4" s="66">
        <f t="shared" si="8"/>
        <v>5.3267946224740001E-2</v>
      </c>
      <c r="BE4" s="66">
        <f t="shared" si="8"/>
        <v>7.8303457733372508E-2</v>
      </c>
      <c r="BF4" s="66">
        <f t="shared" si="8"/>
        <v>0.12000342866939055</v>
      </c>
      <c r="BG4" s="66">
        <f t="shared" si="9"/>
        <v>0.14915899714376388</v>
      </c>
      <c r="BH4" s="66">
        <f t="shared" si="9"/>
        <v>0.16002844950213371</v>
      </c>
      <c r="BI4" s="52">
        <f t="shared" si="9"/>
        <v>0.22955696711425586</v>
      </c>
      <c r="BJ4" s="52">
        <f t="shared" si="9"/>
        <v>0.27396009314643166</v>
      </c>
      <c r="BK4" s="52">
        <f t="shared" si="10"/>
        <v>3.4912461380020599</v>
      </c>
      <c r="BL4" s="52">
        <f t="shared" si="10"/>
        <v>0.40123609394313969</v>
      </c>
      <c r="BM4" s="52">
        <f t="shared" si="10"/>
        <v>0.18527982051601646</v>
      </c>
      <c r="BO4" s="66">
        <f t="shared" si="13"/>
        <v>0.51741922603400659</v>
      </c>
      <c r="BP4" s="66">
        <f t="shared" si="14"/>
        <v>0.48258077396599341</v>
      </c>
      <c r="BQ4" s="66">
        <f t="shared" si="15"/>
        <v>6.3665594855305471E-2</v>
      </c>
      <c r="BR4" s="52">
        <v>0.88</v>
      </c>
      <c r="BS4" s="66">
        <f>7.5% + 6% * BR4</f>
        <v>0.1278</v>
      </c>
      <c r="BT4" s="52">
        <f t="shared" si="17"/>
        <v>8.4733084883372708E-2</v>
      </c>
      <c r="BU4" s="66">
        <f t="shared" si="18"/>
        <v>0.47564418011381648</v>
      </c>
      <c r="BX4" s="66">
        <f>I4/I10</f>
        <v>1.8896747094404743E-2</v>
      </c>
      <c r="BY4" s="66">
        <v>0.05</v>
      </c>
      <c r="BZ4" s="52" t="e">
        <f>#REF!*BY4</f>
        <v>#REF!</v>
      </c>
      <c r="CA4" s="66">
        <f t="shared" si="19"/>
        <v>0.75655347508727389</v>
      </c>
    </row>
    <row r="5" spans="1:79" ht="17">
      <c r="A5" s="64" t="s">
        <v>7</v>
      </c>
      <c r="C5" s="52">
        <v>427</v>
      </c>
      <c r="D5" s="52">
        <v>69</v>
      </c>
      <c r="E5" s="52">
        <f t="shared" si="0"/>
        <v>6.1884057971014492</v>
      </c>
      <c r="F5" s="52">
        <f t="shared" si="1"/>
        <v>1.8001405152224825</v>
      </c>
      <c r="G5" s="52">
        <f>D5/F5</f>
        <v>38.330341113105924</v>
      </c>
      <c r="H5" s="52">
        <f>D5/(I5/E5)*100</f>
        <v>10.207984699976093</v>
      </c>
      <c r="I5" s="65">
        <v>4183</v>
      </c>
      <c r="J5" s="65">
        <v>4350</v>
      </c>
      <c r="K5" s="65">
        <v>3719</v>
      </c>
      <c r="L5" s="65">
        <v>2285</v>
      </c>
      <c r="M5" s="65">
        <v>1114</v>
      </c>
      <c r="N5" s="65">
        <v>1450</v>
      </c>
      <c r="O5" s="65">
        <v>1111</v>
      </c>
      <c r="P5" s="65">
        <v>33.24</v>
      </c>
      <c r="Q5" s="65">
        <v>0</v>
      </c>
      <c r="R5" s="65">
        <v>11</v>
      </c>
      <c r="S5" s="65">
        <v>2434</v>
      </c>
      <c r="T5" s="65">
        <v>512</v>
      </c>
      <c r="U5" s="65">
        <v>495</v>
      </c>
      <c r="V5" s="65">
        <v>488</v>
      </c>
      <c r="W5" s="65">
        <v>1352</v>
      </c>
      <c r="X5" s="65">
        <v>1660</v>
      </c>
      <c r="Y5" s="65">
        <v>1557</v>
      </c>
      <c r="Z5" s="65">
        <v>1494</v>
      </c>
      <c r="AA5" s="65">
        <v>9054</v>
      </c>
      <c r="AB5" s="65">
        <v>8227</v>
      </c>
      <c r="AC5" s="65">
        <v>7064</v>
      </c>
      <c r="AD5" s="65">
        <v>4840</v>
      </c>
      <c r="AE5" s="65">
        <v>214</v>
      </c>
      <c r="AF5" s="65">
        <v>199</v>
      </c>
      <c r="AG5" s="65">
        <v>786</v>
      </c>
      <c r="AH5" s="65">
        <v>2248</v>
      </c>
      <c r="AI5" s="65">
        <v>181</v>
      </c>
      <c r="AJ5" s="65">
        <v>1114</v>
      </c>
      <c r="AK5" s="65">
        <v>241</v>
      </c>
      <c r="AL5" s="65">
        <v>245</v>
      </c>
      <c r="AM5" s="65">
        <v>8004</v>
      </c>
      <c r="AN5" s="65">
        <v>423</v>
      </c>
      <c r="AO5" s="65">
        <v>620</v>
      </c>
      <c r="AP5" s="65">
        <v>193</v>
      </c>
      <c r="AQ5" s="65">
        <v>491</v>
      </c>
      <c r="AS5" s="52">
        <f t="shared" si="2"/>
        <v>2230</v>
      </c>
      <c r="AT5" s="52">
        <f t="shared" si="2"/>
        <v>-86</v>
      </c>
      <c r="AU5" s="52">
        <f t="shared" si="2"/>
        <v>-56</v>
      </c>
      <c r="AV5" s="66">
        <f t="shared" si="3"/>
        <v>3.4021543985637344</v>
      </c>
      <c r="AW5" s="66">
        <f t="shared" si="4"/>
        <v>0.52610837438423652</v>
      </c>
      <c r="AX5" s="66">
        <f t="shared" si="4"/>
        <v>0.17616047319017616</v>
      </c>
      <c r="AY5" s="52">
        <f t="shared" si="5"/>
        <v>9087</v>
      </c>
      <c r="AZ5" s="52">
        <f t="shared" si="5"/>
        <v>7312</v>
      </c>
      <c r="BA5" s="52">
        <f t="shared" si="6"/>
        <v>7669</v>
      </c>
      <c r="BB5" s="52">
        <f t="shared" si="7"/>
        <v>6843</v>
      </c>
      <c r="BC5" s="66">
        <f t="shared" si="8"/>
        <v>8.5814900407175085E-2</v>
      </c>
      <c r="BD5" s="66">
        <f t="shared" si="8"/>
        <v>0.13881291028446388</v>
      </c>
      <c r="BE5" s="66">
        <f t="shared" si="8"/>
        <v>0.10140826704915894</v>
      </c>
      <c r="BF5" s="66">
        <f t="shared" si="8"/>
        <v>3.4002630425252083E-3</v>
      </c>
      <c r="BG5" s="66">
        <f t="shared" si="9"/>
        <v>0.26631604111881424</v>
      </c>
      <c r="BH5" s="66">
        <f t="shared" si="9"/>
        <v>0.33333333333333331</v>
      </c>
      <c r="BI5" s="52">
        <f t="shared" si="9"/>
        <v>0.29873621941382095</v>
      </c>
      <c r="BJ5" s="52">
        <f t="shared" si="9"/>
        <v>1.4547045951859957E-2</v>
      </c>
      <c r="BK5" s="52">
        <f t="shared" si="10"/>
        <v>-9.4084507042253518E-2</v>
      </c>
      <c r="BL5" s="52">
        <f t="shared" si="10"/>
        <v>-1.7675070028011204</v>
      </c>
      <c r="BM5" s="52">
        <f t="shared" si="10"/>
        <v>1.7360774818401936</v>
      </c>
      <c r="BO5" s="66">
        <f t="shared" si="13"/>
        <v>2.3550126554418401E-2</v>
      </c>
      <c r="BP5" s="66">
        <f t="shared" si="14"/>
        <v>0.97644987344558165</v>
      </c>
      <c r="BQ5" s="66">
        <f t="shared" si="15"/>
        <v>0</v>
      </c>
      <c r="BR5" s="52">
        <v>0.87</v>
      </c>
      <c r="BS5" s="66">
        <f t="shared" si="16"/>
        <v>0.12719999999999998</v>
      </c>
      <c r="BT5" s="52">
        <f t="shared" si="17"/>
        <v>0.12420442390227797</v>
      </c>
      <c r="BU5" s="66">
        <f t="shared" si="18"/>
        <v>0.39391656464827196</v>
      </c>
      <c r="BX5" s="66">
        <f>I5/I10</f>
        <v>2.5085716628338636E-3</v>
      </c>
      <c r="BY5" s="66">
        <v>0.01</v>
      </c>
      <c r="BZ5" s="52" t="e">
        <f>#REF!*BY5</f>
        <v>#REF!</v>
      </c>
      <c r="CA5" s="66">
        <f t="shared" si="19"/>
        <v>0.4128615825962228</v>
      </c>
    </row>
    <row r="6" spans="1:79" ht="17">
      <c r="A6" s="64" t="s">
        <v>4</v>
      </c>
      <c r="B6" s="52" t="s">
        <v>83</v>
      </c>
      <c r="C6" s="52">
        <v>342</v>
      </c>
      <c r="D6" s="52">
        <v>447</v>
      </c>
      <c r="E6" s="52">
        <f t="shared" si="0"/>
        <v>0.7651006711409396</v>
      </c>
      <c r="F6" s="52">
        <f t="shared" si="1"/>
        <v>14.324912280701755</v>
      </c>
      <c r="G6" s="52">
        <f>D6/F6</f>
        <v>31.204379562043794</v>
      </c>
      <c r="H6" s="52">
        <f>D6/(I6/E6)*100</f>
        <v>5.4002842254855512</v>
      </c>
      <c r="I6" s="65">
        <v>6333</v>
      </c>
      <c r="J6" s="65">
        <v>2860</v>
      </c>
      <c r="K6" s="65">
        <v>1348</v>
      </c>
      <c r="L6" s="68">
        <v>0</v>
      </c>
      <c r="M6" s="65">
        <v>1096</v>
      </c>
      <c r="N6" s="65">
        <v>427</v>
      </c>
      <c r="O6" s="65">
        <v>342</v>
      </c>
      <c r="P6" s="68">
        <v>0</v>
      </c>
      <c r="Q6" s="65">
        <v>2</v>
      </c>
      <c r="R6" s="65">
        <v>1.44</v>
      </c>
      <c r="S6" s="65">
        <v>2004</v>
      </c>
      <c r="T6" s="65">
        <v>896</v>
      </c>
      <c r="U6" s="65">
        <v>489</v>
      </c>
      <c r="V6" s="65">
        <v>0</v>
      </c>
      <c r="W6" s="65">
        <v>625</v>
      </c>
      <c r="X6" s="65">
        <v>180</v>
      </c>
      <c r="Y6" s="65">
        <v>187.91</v>
      </c>
      <c r="Z6" s="65">
        <v>0</v>
      </c>
      <c r="AA6" s="65">
        <v>3733</v>
      </c>
      <c r="AB6" s="65">
        <v>2695</v>
      </c>
      <c r="AC6" s="65">
        <v>264</v>
      </c>
      <c r="AD6" s="65">
        <v>0</v>
      </c>
      <c r="AE6" s="65">
        <v>62.5</v>
      </c>
      <c r="AF6" s="65">
        <v>110</v>
      </c>
      <c r="AG6" s="65">
        <v>143</v>
      </c>
      <c r="AH6" s="65">
        <v>0</v>
      </c>
      <c r="AI6" s="65">
        <v>155</v>
      </c>
      <c r="AJ6" s="65">
        <v>11</v>
      </c>
      <c r="AK6" s="65">
        <v>93</v>
      </c>
      <c r="AL6" s="65">
        <v>0</v>
      </c>
      <c r="AM6" s="65">
        <v>2262</v>
      </c>
      <c r="AN6" s="65">
        <v>-26</v>
      </c>
      <c r="AO6" s="65">
        <v>74.25</v>
      </c>
      <c r="AP6" s="65">
        <v>0.7</v>
      </c>
      <c r="AQ6" s="65">
        <v>0</v>
      </c>
      <c r="AS6" s="52">
        <f t="shared" si="2"/>
        <v>663</v>
      </c>
      <c r="AT6" s="52">
        <f t="shared" si="2"/>
        <v>414.90999999999997</v>
      </c>
      <c r="AU6" s="52">
        <f t="shared" si="2"/>
        <v>301.09000000000003</v>
      </c>
      <c r="AV6" s="66">
        <f t="shared" si="3"/>
        <v>0.83029197080291983</v>
      </c>
      <c r="AW6" s="66">
        <f t="shared" si="4"/>
        <v>1.6365339578454332</v>
      </c>
      <c r="AX6" s="66">
        <f t="shared" si="4"/>
        <v>1.2606098579782792</v>
      </c>
      <c r="AY6" s="52">
        <f t="shared" si="5"/>
        <v>3640.5</v>
      </c>
      <c r="AZ6" s="52">
        <f t="shared" si="5"/>
        <v>2794</v>
      </c>
      <c r="BA6" s="52">
        <f t="shared" si="6"/>
        <v>252</v>
      </c>
      <c r="BB6" s="52">
        <f t="shared" si="7"/>
        <v>0</v>
      </c>
      <c r="BC6" s="69">
        <f>(0.7*M6)/AY6</f>
        <v>0.21074028292816918</v>
      </c>
      <c r="BD6" s="69">
        <f>(0.7*N6)/AZ6</f>
        <v>0.10697924123120972</v>
      </c>
      <c r="BE6" s="70" t="s">
        <v>84</v>
      </c>
      <c r="BF6" s="70" t="s">
        <v>84</v>
      </c>
      <c r="BG6" s="66">
        <f t="shared" si="9"/>
        <v>0.17306174009158376</v>
      </c>
      <c r="BH6" s="66">
        <f t="shared" si="9"/>
        <v>0.14930069930069931</v>
      </c>
      <c r="BI6" s="52">
        <f t="shared" si="9"/>
        <v>0.25370919881305637</v>
      </c>
      <c r="BJ6" s="52" t="e">
        <f t="shared" si="9"/>
        <v>#DIV/0!</v>
      </c>
      <c r="BK6" s="52">
        <f t="shared" si="10"/>
        <v>4.1027761370348497</v>
      </c>
      <c r="BL6" s="52">
        <f t="shared" si="10"/>
        <v>0.59480723839496463</v>
      </c>
      <c r="BM6" s="52">
        <f t="shared" si="10"/>
        <v>5.3492063492063489</v>
      </c>
      <c r="BO6" s="66">
        <f t="shared" si="13"/>
        <v>1.7167971432495537E-2</v>
      </c>
      <c r="BP6" s="66">
        <f t="shared" si="14"/>
        <v>0.98283202856750451</v>
      </c>
      <c r="BQ6" s="66">
        <f t="shared" si="15"/>
        <v>3.2000000000000001E-2</v>
      </c>
      <c r="BR6" s="52">
        <v>0.92</v>
      </c>
      <c r="BS6" s="66">
        <f t="shared" si="16"/>
        <v>0.13019999999999998</v>
      </c>
      <c r="BT6" s="52">
        <f t="shared" si="17"/>
        <v>0.12834929267957698</v>
      </c>
      <c r="BU6" s="69">
        <f t="shared" si="18"/>
        <v>1.4324813390635602</v>
      </c>
      <c r="BX6" s="66">
        <f>I6/I10</f>
        <v>3.7979403157367576E-3</v>
      </c>
      <c r="BY6" s="66">
        <v>0.01</v>
      </c>
      <c r="BZ6" s="52" t="e">
        <f>#REF!*BY6</f>
        <v>#REF!</v>
      </c>
      <c r="CA6" s="66">
        <f t="shared" si="19"/>
        <v>7.7293541765356072E-3</v>
      </c>
    </row>
    <row r="7" spans="1:79" ht="34">
      <c r="A7" s="64" t="s">
        <v>0</v>
      </c>
      <c r="B7" s="52" t="s">
        <v>131</v>
      </c>
      <c r="C7" s="52">
        <v>121</v>
      </c>
      <c r="D7" s="52">
        <v>32.6</v>
      </c>
      <c r="E7" s="52">
        <f t="shared" si="0"/>
        <v>3.7116564417177913</v>
      </c>
      <c r="F7" s="52">
        <f t="shared" si="1"/>
        <v>0</v>
      </c>
      <c r="H7" s="52">
        <f>D7/(J7/E7)*100</f>
        <v>2.5744680851063828</v>
      </c>
      <c r="I7" s="65">
        <v>0</v>
      </c>
      <c r="J7" s="65">
        <v>4700</v>
      </c>
      <c r="K7" s="65">
        <v>7949</v>
      </c>
      <c r="L7" s="65">
        <v>8701</v>
      </c>
      <c r="M7" s="65">
        <v>0</v>
      </c>
      <c r="N7" s="65">
        <v>-1500</v>
      </c>
      <c r="O7" s="65">
        <v>-409</v>
      </c>
      <c r="P7" s="65">
        <v>-1943</v>
      </c>
      <c r="Q7" s="65">
        <v>0</v>
      </c>
      <c r="R7" s="65">
        <v>700</v>
      </c>
      <c r="S7" s="65">
        <v>0</v>
      </c>
      <c r="T7" s="65">
        <v>3300</v>
      </c>
      <c r="U7" s="65">
        <v>6078</v>
      </c>
      <c r="V7" s="65">
        <v>3273</v>
      </c>
      <c r="W7" s="65">
        <v>0</v>
      </c>
      <c r="X7" s="65">
        <v>1912</v>
      </c>
      <c r="Y7" s="65">
        <v>2338</v>
      </c>
      <c r="Z7" s="65">
        <v>3680</v>
      </c>
      <c r="AA7" s="65">
        <v>0</v>
      </c>
      <c r="AB7" s="65">
        <v>8700</v>
      </c>
      <c r="AC7" s="65">
        <v>10535</v>
      </c>
      <c r="AD7" s="65">
        <v>3404</v>
      </c>
      <c r="AE7" s="65">
        <v>0</v>
      </c>
      <c r="AF7" s="65">
        <v>8388</v>
      </c>
      <c r="AG7" s="65">
        <v>8399</v>
      </c>
      <c r="AH7" s="65">
        <v>3314</v>
      </c>
      <c r="AI7" s="65"/>
      <c r="AJ7" s="65"/>
      <c r="AK7" s="65">
        <v>464</v>
      </c>
      <c r="AL7" s="65">
        <v>122</v>
      </c>
      <c r="AM7" s="65">
        <v>11500</v>
      </c>
      <c r="AN7" s="65">
        <v>0</v>
      </c>
      <c r="AO7" s="65">
        <v>0</v>
      </c>
      <c r="AP7" s="65">
        <v>0</v>
      </c>
      <c r="AQ7" s="65">
        <v>0</v>
      </c>
      <c r="AS7" s="52">
        <f t="shared" si="2"/>
        <v>-1388</v>
      </c>
      <c r="AT7" s="52">
        <f t="shared" si="2"/>
        <v>-2352</v>
      </c>
      <c r="AU7" s="52">
        <f t="shared" si="2"/>
        <v>4147</v>
      </c>
      <c r="AV7" s="66" t="e">
        <f t="shared" si="3"/>
        <v>#DIV/0!</v>
      </c>
      <c r="AW7" s="66">
        <f t="shared" si="4"/>
        <v>2.2400000000000002</v>
      </c>
      <c r="AX7" s="66">
        <f t="shared" si="4"/>
        <v>-14.484806147397837</v>
      </c>
      <c r="AY7" s="52">
        <f t="shared" si="5"/>
        <v>0</v>
      </c>
      <c r="AZ7" s="52">
        <f t="shared" si="5"/>
        <v>17088</v>
      </c>
      <c r="BA7" s="52">
        <f t="shared" si="6"/>
        <v>18934</v>
      </c>
      <c r="BB7" s="52">
        <f t="shared" si="7"/>
        <v>6596</v>
      </c>
      <c r="BC7" s="70" t="s">
        <v>84</v>
      </c>
      <c r="BD7" s="66">
        <f>(0.7*N7)/AZ7</f>
        <v>-6.1446629213483143E-2</v>
      </c>
      <c r="BE7" s="66">
        <f>(0.7*O7)/BA7</f>
        <v>-1.5120946445547689E-2</v>
      </c>
      <c r="BF7" s="66">
        <f>(0.7*P7)/BB7</f>
        <v>-0.20620072771376591</v>
      </c>
      <c r="BG7" s="66" t="e">
        <f t="shared" si="9"/>
        <v>#DIV/0!</v>
      </c>
      <c r="BH7" s="66">
        <f t="shared" si="9"/>
        <v>-0.31914893617021278</v>
      </c>
      <c r="BI7" s="52">
        <f t="shared" si="9"/>
        <v>-5.1453012957604731E-2</v>
      </c>
      <c r="BJ7" s="52">
        <f t="shared" si="9"/>
        <v>-0.2233076657855419</v>
      </c>
      <c r="BK7" s="52">
        <f t="shared" si="10"/>
        <v>0.27504681647940077</v>
      </c>
      <c r="BL7" s="52">
        <f t="shared" si="10"/>
        <v>1.7600216684723726</v>
      </c>
      <c r="BM7" s="52">
        <f t="shared" si="10"/>
        <v>-6.0949910844545305E-2</v>
      </c>
      <c r="BO7" s="66">
        <f>AF7/AZ7</f>
        <v>0.49087078651685395</v>
      </c>
      <c r="BP7" s="66">
        <f t="shared" si="14"/>
        <v>0.50912921348314599</v>
      </c>
      <c r="BQ7" s="66">
        <f>R7/AF7</f>
        <v>8.3452551263710067E-2</v>
      </c>
      <c r="BR7" s="52">
        <v>0.65</v>
      </c>
      <c r="BS7" s="66">
        <f t="shared" si="16"/>
        <v>0.11399999999999999</v>
      </c>
      <c r="BT7" s="52">
        <f t="shared" si="17"/>
        <v>8.6715823970037437E-2</v>
      </c>
      <c r="BU7" s="66">
        <f>J7/(T7+AK7+AM7)</f>
        <v>0.30791404612159329</v>
      </c>
      <c r="BX7" s="66">
        <f>J7/I10</f>
        <v>2.8186198458807453E-3</v>
      </c>
      <c r="BY7" s="66">
        <v>0.01</v>
      </c>
      <c r="BZ7" s="52" t="e">
        <f>#REF!*BX7</f>
        <v>#REF!</v>
      </c>
      <c r="CA7" s="66">
        <v>0</v>
      </c>
    </row>
    <row r="8" spans="1:79" ht="17">
      <c r="A8" s="64" t="s">
        <v>6</v>
      </c>
      <c r="B8" s="52" t="s">
        <v>85</v>
      </c>
      <c r="C8" s="52">
        <v>46</v>
      </c>
      <c r="D8" s="52">
        <v>4.5999999999999996</v>
      </c>
      <c r="E8" s="52">
        <f t="shared" si="0"/>
        <v>10</v>
      </c>
      <c r="F8" s="52">
        <f t="shared" si="1"/>
        <v>-5.1999999999999998E-2</v>
      </c>
      <c r="H8" s="71">
        <f>D8/(I8/E8)*100</f>
        <v>110.15325670498083</v>
      </c>
      <c r="I8" s="65">
        <v>41.76</v>
      </c>
      <c r="J8" s="65">
        <v>23.05</v>
      </c>
      <c r="K8" s="65">
        <v>30</v>
      </c>
      <c r="L8" s="65">
        <v>43.64</v>
      </c>
      <c r="M8" s="65">
        <v>-52</v>
      </c>
      <c r="N8" s="65">
        <v>-582</v>
      </c>
      <c r="O8" s="65">
        <v>-1018</v>
      </c>
      <c r="P8" s="65">
        <v>-1017</v>
      </c>
      <c r="Q8" s="65">
        <v>13</v>
      </c>
      <c r="R8" s="65">
        <v>18</v>
      </c>
      <c r="S8" s="65">
        <v>110</v>
      </c>
      <c r="T8" s="65">
        <v>104</v>
      </c>
      <c r="U8" s="65">
        <v>70</v>
      </c>
      <c r="V8" s="65">
        <v>65</v>
      </c>
      <c r="W8" s="65">
        <v>222</v>
      </c>
      <c r="X8" s="65">
        <v>230</v>
      </c>
      <c r="Y8" s="65">
        <v>197</v>
      </c>
      <c r="Z8" s="65">
        <v>739</v>
      </c>
      <c r="AA8" s="65">
        <v>1071</v>
      </c>
      <c r="AB8" s="65">
        <v>1136</v>
      </c>
      <c r="AC8" s="65">
        <v>1737</v>
      </c>
      <c r="AD8" s="65">
        <v>2223</v>
      </c>
      <c r="AE8" s="65">
        <v>12939</v>
      </c>
      <c r="AF8" s="65">
        <v>12868</v>
      </c>
      <c r="AG8" s="65">
        <v>12774</v>
      </c>
      <c r="AH8" s="65">
        <v>12724</v>
      </c>
      <c r="AI8" s="65">
        <v>0.11</v>
      </c>
      <c r="AJ8" s="65">
        <v>0.31</v>
      </c>
      <c r="AK8" s="65">
        <v>0.5</v>
      </c>
      <c r="AL8" s="65">
        <v>0.5</v>
      </c>
      <c r="AM8" s="65">
        <v>14122</v>
      </c>
      <c r="AN8" s="65">
        <v>0</v>
      </c>
      <c r="AO8" s="65">
        <v>0.15</v>
      </c>
      <c r="AP8" s="65">
        <v>9.5</v>
      </c>
      <c r="AQ8" s="65">
        <v>2.7</v>
      </c>
      <c r="AS8" s="52">
        <f t="shared" si="2"/>
        <v>14</v>
      </c>
      <c r="AT8" s="52">
        <f t="shared" si="2"/>
        <v>1</v>
      </c>
      <c r="AU8" s="52">
        <f t="shared" si="2"/>
        <v>547</v>
      </c>
      <c r="AV8" s="66">
        <f t="shared" si="3"/>
        <v>-0.38461538461538464</v>
      </c>
      <c r="AW8" s="66">
        <f t="shared" si="4"/>
        <v>-2.8227785959744722E-3</v>
      </c>
      <c r="AX8" s="66">
        <f t="shared" si="4"/>
        <v>-0.78094302554027517</v>
      </c>
      <c r="AY8" s="52">
        <f t="shared" si="5"/>
        <v>14009.89</v>
      </c>
      <c r="AZ8" s="52">
        <f t="shared" si="5"/>
        <v>14003.69</v>
      </c>
      <c r="BA8" s="52">
        <f t="shared" si="6"/>
        <v>14510.89</v>
      </c>
      <c r="BB8" s="52">
        <f t="shared" si="7"/>
        <v>14946.5</v>
      </c>
      <c r="BC8" s="66">
        <f>(0.7*M8)/AY8</f>
        <v>-2.5981645823057852E-3</v>
      </c>
      <c r="BD8" s="66">
        <f>(0.7*N8)/AZ8</f>
        <v>-2.9092332092469912E-2</v>
      </c>
      <c r="BE8" s="66">
        <f t="shared" ref="BE8:BE9" si="20">(0.7*O8)/BA8</f>
        <v>-4.910794582551449E-2</v>
      </c>
      <c r="BF8" s="66">
        <f>(0.7*P8)/BB8</f>
        <v>-4.7629879904994482E-2</v>
      </c>
      <c r="BG8" s="52">
        <f t="shared" si="9"/>
        <v>-1.2452107279693487</v>
      </c>
      <c r="BH8" s="52">
        <f t="shared" si="9"/>
        <v>-25.249457700650758</v>
      </c>
      <c r="BI8" s="52">
        <f t="shared" si="9"/>
        <v>-33.93333333333333</v>
      </c>
      <c r="BJ8" s="52">
        <f t="shared" si="9"/>
        <v>-23.304307974335472</v>
      </c>
      <c r="BK8" s="52">
        <f>(I8-J8)/(AY8-AZ8)</f>
        <v>3.0177419354844019</v>
      </c>
      <c r="BL8" s="52">
        <f t="shared" si="10"/>
        <v>1.3702681388012646E-2</v>
      </c>
      <c r="BM8" s="52">
        <f t="shared" si="10"/>
        <v>3.1312412479052323E-2</v>
      </c>
      <c r="BO8" s="72">
        <f t="shared" si="13"/>
        <v>0.92356185523226808</v>
      </c>
      <c r="BP8" s="66">
        <f t="shared" si="14"/>
        <v>7.6438144767731919E-2</v>
      </c>
      <c r="BQ8" s="66">
        <f t="shared" si="15"/>
        <v>1.0047144292449186E-3</v>
      </c>
      <c r="BR8" s="52">
        <v>0.33</v>
      </c>
      <c r="BS8" s="66">
        <f t="shared" si="16"/>
        <v>9.4799999999999995E-2</v>
      </c>
      <c r="BT8" s="52">
        <f t="shared" si="17"/>
        <v>7.8958772695574327E-3</v>
      </c>
      <c r="BU8" s="72">
        <f t="shared" si="18"/>
        <v>2.9342100363192805E-3</v>
      </c>
      <c r="BX8" s="66">
        <f>I8/I10</f>
        <v>2.5043737183825516E-5</v>
      </c>
      <c r="CA8" s="66">
        <f t="shared" si="19"/>
        <v>0.29573754789272033</v>
      </c>
    </row>
    <row r="9" spans="1:79" ht="17">
      <c r="A9" s="64" t="s">
        <v>3</v>
      </c>
      <c r="C9" s="52">
        <v>11</v>
      </c>
      <c r="D9" s="52">
        <v>10</v>
      </c>
      <c r="E9" s="52">
        <f t="shared" si="0"/>
        <v>1.1000000000000001</v>
      </c>
      <c r="F9" s="52">
        <f t="shared" si="1"/>
        <v>4.3636363636363626E-2</v>
      </c>
      <c r="H9" s="52">
        <f>D9/(I9/E9)*100</f>
        <v>10.476190476190476</v>
      </c>
      <c r="I9" s="65">
        <v>105</v>
      </c>
      <c r="J9" s="65">
        <v>92</v>
      </c>
      <c r="K9" s="65">
        <v>43</v>
      </c>
      <c r="L9" s="65">
        <v>103</v>
      </c>
      <c r="M9" s="65">
        <v>4.8</v>
      </c>
      <c r="N9" s="65">
        <v>-3.2</v>
      </c>
      <c r="O9" s="65">
        <v>-51</v>
      </c>
      <c r="P9" s="65">
        <v>-95</v>
      </c>
      <c r="Q9" s="65">
        <v>0.36</v>
      </c>
      <c r="R9" s="65">
        <v>0.4</v>
      </c>
      <c r="S9" s="65">
        <v>91.5</v>
      </c>
      <c r="T9" s="65">
        <v>85</v>
      </c>
      <c r="U9" s="65">
        <v>53.2</v>
      </c>
      <c r="V9" s="65">
        <v>103</v>
      </c>
      <c r="W9" s="65">
        <v>1.37</v>
      </c>
      <c r="X9" s="65">
        <v>8</v>
      </c>
      <c r="Y9" s="65">
        <v>2.2000000000000002</v>
      </c>
      <c r="Z9" s="65">
        <v>32.299999999999997</v>
      </c>
      <c r="AA9" s="65">
        <v>80</v>
      </c>
      <c r="AB9" s="65">
        <v>74</v>
      </c>
      <c r="AC9" s="65">
        <v>78</v>
      </c>
      <c r="AD9" s="65">
        <v>130</v>
      </c>
      <c r="AE9" s="65">
        <v>255</v>
      </c>
      <c r="AF9" s="65">
        <v>245</v>
      </c>
      <c r="AG9" s="65">
        <v>216</v>
      </c>
      <c r="AH9" s="65">
        <v>185</v>
      </c>
      <c r="AI9" s="65">
        <v>3</v>
      </c>
      <c r="AJ9" s="65">
        <v>1</v>
      </c>
      <c r="AK9" s="65">
        <v>0.9</v>
      </c>
      <c r="AL9" s="65">
        <v>1.6</v>
      </c>
      <c r="AM9" s="65">
        <v>239</v>
      </c>
      <c r="AN9" s="65">
        <v>0</v>
      </c>
      <c r="AO9" s="65">
        <v>0</v>
      </c>
      <c r="AP9" s="65">
        <v>0.34</v>
      </c>
      <c r="AQ9" s="65">
        <v>0</v>
      </c>
      <c r="AS9" s="52">
        <f t="shared" si="2"/>
        <v>13.129999999999999</v>
      </c>
      <c r="AT9" s="52">
        <f t="shared" si="2"/>
        <v>25.999999999999996</v>
      </c>
      <c r="AU9" s="52">
        <f t="shared" si="2"/>
        <v>-19.7</v>
      </c>
      <c r="AV9" s="66">
        <f t="shared" si="3"/>
        <v>3.9077380952380949</v>
      </c>
      <c r="AW9" s="66">
        <f t="shared" si="4"/>
        <v>-11.607142857142856</v>
      </c>
      <c r="AX9" s="66">
        <f t="shared" si="4"/>
        <v>0.54229691876750707</v>
      </c>
      <c r="AY9" s="52">
        <f t="shared" si="5"/>
        <v>332</v>
      </c>
      <c r="AZ9" s="52">
        <f t="shared" si="5"/>
        <v>318</v>
      </c>
      <c r="BA9" s="52">
        <f t="shared" si="6"/>
        <v>291</v>
      </c>
      <c r="BB9" s="52">
        <f t="shared" si="7"/>
        <v>313.39999999999998</v>
      </c>
      <c r="BC9" s="66">
        <f>(0.7*M9)/AY9</f>
        <v>1.0120481927710843E-2</v>
      </c>
      <c r="BD9" s="66">
        <f>(0.7*N9)/AZ9</f>
        <v>-7.0440251572327041E-3</v>
      </c>
      <c r="BE9" s="66">
        <f t="shared" si="20"/>
        <v>-0.122680412371134</v>
      </c>
      <c r="BF9" s="66">
        <f>(0.7*P9)/BB9</f>
        <v>-0.21218889597957882</v>
      </c>
      <c r="BG9" s="52">
        <f t="shared" si="9"/>
        <v>4.5714285714285714E-2</v>
      </c>
      <c r="BH9" s="52">
        <f t="shared" si="9"/>
        <v>-3.4782608695652174E-2</v>
      </c>
      <c r="BI9" s="52">
        <f t="shared" si="9"/>
        <v>-1.1860465116279071</v>
      </c>
      <c r="BJ9" s="52">
        <f t="shared" si="9"/>
        <v>-0.92233009708737868</v>
      </c>
      <c r="BK9" s="52">
        <f>(I9-J9)/(AY9-AZ9)</f>
        <v>0.9285714285714286</v>
      </c>
      <c r="BL9" s="52">
        <f t="shared" si="10"/>
        <v>1.8148148148148149</v>
      </c>
      <c r="BM9" s="52">
        <f t="shared" si="10"/>
        <v>2.6785714285714315</v>
      </c>
      <c r="BO9" s="72">
        <f t="shared" si="13"/>
        <v>0.76807228915662651</v>
      </c>
      <c r="BP9" s="66">
        <f t="shared" si="14"/>
        <v>0.23192771084337349</v>
      </c>
      <c r="BQ9" s="66">
        <f t="shared" si="15"/>
        <v>1.4117647058823528E-3</v>
      </c>
      <c r="BR9" s="52">
        <v>0.17</v>
      </c>
      <c r="BS9" s="66">
        <f t="shared" si="16"/>
        <v>8.5199999999999998E-2</v>
      </c>
      <c r="BT9" s="52">
        <f t="shared" si="17"/>
        <v>2.0519277108433733E-2</v>
      </c>
      <c r="BU9" s="66">
        <f t="shared" si="18"/>
        <v>0.31484257871064469</v>
      </c>
      <c r="BX9" s="66">
        <f>I9/I10</f>
        <v>6.296916676967622E-5</v>
      </c>
      <c r="BY9" s="66">
        <v>1E-4</v>
      </c>
      <c r="BZ9" s="52" t="e">
        <f>#REF!*BY9</f>
        <v>#REF!</v>
      </c>
      <c r="CA9" s="66">
        <f t="shared" si="19"/>
        <v>3.2380952380952383E-3</v>
      </c>
    </row>
    <row r="10" spans="1:79">
      <c r="I10" s="52">
        <f>I2+I3+I4+I5+I6+J7+I8+I9</f>
        <v>1667482.76</v>
      </c>
      <c r="BG10" s="66"/>
      <c r="BH10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41E5-5C18-9942-86F1-ADE6078A8A1A}">
  <sheetPr>
    <tabColor rgb="FFFF0000"/>
  </sheetPr>
  <dimension ref="A1:O34"/>
  <sheetViews>
    <sheetView zoomScale="117" workbookViewId="0">
      <selection activeCell="J3" sqref="J3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0.6</v>
      </c>
      <c r="D3" s="5">
        <v>0.5</v>
      </c>
      <c r="E3" s="5">
        <v>0.4</v>
      </c>
      <c r="F3" s="5">
        <v>0.3</v>
      </c>
      <c r="G3" s="5">
        <v>0.25</v>
      </c>
      <c r="H3" s="5">
        <v>0.2</v>
      </c>
      <c r="I3" s="5">
        <v>0.15</v>
      </c>
      <c r="J3" s="5">
        <v>7.0000000000000007E-2</v>
      </c>
      <c r="K3" s="5">
        <v>0.06</v>
      </c>
      <c r="L3" s="5">
        <v>0.05</v>
      </c>
      <c r="M3" s="5">
        <v>0.05</v>
      </c>
    </row>
    <row r="4" spans="1:14" ht="15" customHeight="1">
      <c r="A4" s="6" t="s">
        <v>89</v>
      </c>
      <c r="B4" s="7" t="e">
        <f>Biotech!#REF!</f>
        <v>#REF!</v>
      </c>
      <c r="C4" s="8" t="e">
        <f>B4*(1+C3)</f>
        <v>#REF!</v>
      </c>
      <c r="D4" s="8" t="e">
        <f>C4*(1+D3)</f>
        <v>#REF!</v>
      </c>
      <c r="E4" s="8" t="e">
        <f t="shared" ref="E4:M4" si="0">D4*(1+E3)</f>
        <v>#REF!</v>
      </c>
      <c r="F4" s="8" t="e">
        <f t="shared" si="0"/>
        <v>#REF!</v>
      </c>
      <c r="G4" s="8" t="e">
        <f t="shared" si="0"/>
        <v>#REF!</v>
      </c>
      <c r="H4" s="8" t="e">
        <f t="shared" si="0"/>
        <v>#REF!</v>
      </c>
      <c r="I4" s="8" t="e">
        <f t="shared" si="0"/>
        <v>#REF!</v>
      </c>
      <c r="J4" s="8" t="e">
        <f t="shared" si="0"/>
        <v>#REF!</v>
      </c>
      <c r="K4" s="8" t="e">
        <f t="shared" si="0"/>
        <v>#REF!</v>
      </c>
      <c r="L4" s="8" t="e">
        <f t="shared" si="0"/>
        <v>#REF!</v>
      </c>
      <c r="M4" s="8" t="e">
        <f t="shared" si="0"/>
        <v>#REF!</v>
      </c>
    </row>
    <row r="5" spans="1:14" ht="15" customHeight="1">
      <c r="A5" s="6" t="s">
        <v>90</v>
      </c>
      <c r="B5" s="9" t="e">
        <f>Biotech!#REF!</f>
        <v>#REF!</v>
      </c>
      <c r="C5" s="10">
        <v>0.6</v>
      </c>
      <c r="D5" s="10">
        <v>0.5</v>
      </c>
      <c r="E5" s="10">
        <v>0.4</v>
      </c>
      <c r="F5" s="10">
        <v>0.3</v>
      </c>
      <c r="G5" s="10">
        <v>0.2</v>
      </c>
      <c r="H5" s="10">
        <v>0.16</v>
      </c>
      <c r="I5" s="10">
        <v>0.16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 t="e">
        <f>B4*B5</f>
        <v>#REF!</v>
      </c>
      <c r="C6" s="8" t="e">
        <f>C5*C4</f>
        <v>#REF!</v>
      </c>
      <c r="D6" s="8" t="e">
        <f t="shared" ref="D6:M6" si="1">D5*D4</f>
        <v>#REF!</v>
      </c>
      <c r="E6" s="8" t="e">
        <f t="shared" si="1"/>
        <v>#REF!</v>
      </c>
      <c r="F6" s="8" t="e">
        <f t="shared" si="1"/>
        <v>#REF!</v>
      </c>
      <c r="G6" s="8" t="e">
        <f t="shared" si="1"/>
        <v>#REF!</v>
      </c>
      <c r="H6" s="8" t="e">
        <f t="shared" si="1"/>
        <v>#REF!</v>
      </c>
      <c r="I6" s="8" t="e">
        <f t="shared" si="1"/>
        <v>#REF!</v>
      </c>
      <c r="J6" s="8" t="e">
        <f t="shared" si="1"/>
        <v>#REF!</v>
      </c>
      <c r="K6" s="8" t="e">
        <f t="shared" si="1"/>
        <v>#REF!</v>
      </c>
      <c r="L6" s="8" t="e">
        <f t="shared" si="1"/>
        <v>#REF!</v>
      </c>
      <c r="M6" s="11" t="e">
        <f t="shared" si="1"/>
        <v>#REF!</v>
      </c>
      <c r="N6" s="12" t="e">
        <f>M6-B6</f>
        <v>#REF!</v>
      </c>
    </row>
    <row r="7" spans="1:14" ht="15" customHeight="1">
      <c r="A7" s="6" t="s">
        <v>92</v>
      </c>
      <c r="B7" s="13" t="e">
        <f>B6*0.7</f>
        <v>#REF!</v>
      </c>
      <c r="C7" s="14" t="e">
        <f>C6*0.7</f>
        <v>#REF!</v>
      </c>
      <c r="D7" s="15" t="e">
        <f>D6*0.7</f>
        <v>#REF!</v>
      </c>
      <c r="E7" s="14" t="e">
        <f t="shared" ref="E7:L7" si="2">E6*0.7</f>
        <v>#REF!</v>
      </c>
      <c r="F7" s="15" t="e">
        <f t="shared" si="2"/>
        <v>#REF!</v>
      </c>
      <c r="G7" s="14" t="e">
        <f t="shared" si="2"/>
        <v>#REF!</v>
      </c>
      <c r="H7" s="15" t="e">
        <f t="shared" si="2"/>
        <v>#REF!</v>
      </c>
      <c r="I7" s="14" t="e">
        <f t="shared" si="2"/>
        <v>#REF!</v>
      </c>
      <c r="J7" s="15" t="e">
        <f t="shared" si="2"/>
        <v>#REF!</v>
      </c>
      <c r="K7" s="14" t="e">
        <f t="shared" si="2"/>
        <v>#REF!</v>
      </c>
      <c r="L7" s="15" t="e">
        <f t="shared" si="2"/>
        <v>#REF!</v>
      </c>
      <c r="M7" s="14" t="e">
        <f>M6*0.7</f>
        <v>#REF!</v>
      </c>
      <c r="N7" s="16"/>
    </row>
    <row r="8" spans="1:14" ht="15" customHeight="1">
      <c r="A8" s="6" t="s">
        <v>93</v>
      </c>
      <c r="B8" s="17"/>
      <c r="C8" s="14" t="e">
        <f>IF(C4&gt;B4,(C4-B4)/C31,0)</f>
        <v>#REF!</v>
      </c>
      <c r="D8" s="14" t="e">
        <f t="shared" ref="D8:L8" si="3">(D4-C4)/D31</f>
        <v>#REF!</v>
      </c>
      <c r="E8" s="14" t="e">
        <f t="shared" si="3"/>
        <v>#REF!</v>
      </c>
      <c r="F8" s="14" t="e">
        <f t="shared" si="3"/>
        <v>#REF!</v>
      </c>
      <c r="G8" s="14" t="e">
        <f t="shared" si="3"/>
        <v>#REF!</v>
      </c>
      <c r="H8" s="14" t="e">
        <f t="shared" si="3"/>
        <v>#REF!</v>
      </c>
      <c r="I8" s="14" t="e">
        <f t="shared" si="3"/>
        <v>#REF!</v>
      </c>
      <c r="J8" s="14" t="e">
        <f t="shared" si="3"/>
        <v>#REF!</v>
      </c>
      <c r="K8" s="14" t="e">
        <f t="shared" si="3"/>
        <v>#REF!</v>
      </c>
      <c r="L8" s="14" t="e">
        <f t="shared" si="3"/>
        <v>#REF!</v>
      </c>
      <c r="M8" s="18" t="e">
        <f>IF(M3&gt;0,(M3/M33)*M7,0)</f>
        <v>#REF!</v>
      </c>
      <c r="N8" s="19" t="e">
        <f>SUM(C8:M8)</f>
        <v>#REF!</v>
      </c>
    </row>
    <row r="9" spans="1:14" ht="15" customHeight="1">
      <c r="A9" s="6" t="s">
        <v>94</v>
      </c>
      <c r="B9" s="17"/>
      <c r="C9" s="14" t="e">
        <f t="shared" ref="C9:L9" si="4">C7-C8</f>
        <v>#REF!</v>
      </c>
      <c r="D9" s="14" t="e">
        <f t="shared" si="4"/>
        <v>#REF!</v>
      </c>
      <c r="E9" s="14" t="e">
        <f t="shared" si="4"/>
        <v>#REF!</v>
      </c>
      <c r="F9" s="14" t="e">
        <f t="shared" si="4"/>
        <v>#REF!</v>
      </c>
      <c r="G9" s="14" t="e">
        <f t="shared" si="4"/>
        <v>#REF!</v>
      </c>
      <c r="H9" s="14" t="e">
        <f t="shared" si="4"/>
        <v>#REF!</v>
      </c>
      <c r="I9" s="14" t="e">
        <f t="shared" si="4"/>
        <v>#REF!</v>
      </c>
      <c r="J9" s="14" t="e">
        <f t="shared" si="4"/>
        <v>#REF!</v>
      </c>
      <c r="K9" s="14" t="e">
        <f t="shared" si="4"/>
        <v>#REF!</v>
      </c>
      <c r="L9" s="14" t="e">
        <f t="shared" si="4"/>
        <v>#REF!</v>
      </c>
      <c r="M9" s="18" t="e">
        <f>M7-M8</f>
        <v>#REF!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v>0.14000000000000001</v>
      </c>
      <c r="C11" s="10">
        <v>0.14000000000000001</v>
      </c>
      <c r="D11" s="10">
        <v>0.14000000000000001</v>
      </c>
      <c r="E11" s="10">
        <v>0.14000000000000001</v>
      </c>
      <c r="F11" s="10">
        <v>0.14000000000000001</v>
      </c>
      <c r="G11" s="10">
        <v>0.14000000000000001</v>
      </c>
      <c r="H11" s="10">
        <v>0.14000000000000001</v>
      </c>
      <c r="I11" s="10">
        <v>0.12</v>
      </c>
      <c r="J11" s="10">
        <v>0.11</v>
      </c>
      <c r="K11" s="10">
        <v>9.7000000000000003E-2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0.8771929824561403</v>
      </c>
      <c r="D12" s="22">
        <f>C12*(1/(1+D11))</f>
        <v>0.76946752847029842</v>
      </c>
      <c r="E12" s="22">
        <f t="shared" ref="E12:L12" si="5">D12*(1/(1+E11))</f>
        <v>0.67497151620201612</v>
      </c>
      <c r="F12" s="22">
        <f t="shared" si="5"/>
        <v>0.59208027737018953</v>
      </c>
      <c r="G12" s="22">
        <f t="shared" si="5"/>
        <v>0.51936866435981532</v>
      </c>
      <c r="H12" s="22">
        <f t="shared" si="5"/>
        <v>0.45558654768404849</v>
      </c>
      <c r="I12" s="22">
        <f t="shared" si="5"/>
        <v>0.40677370328932899</v>
      </c>
      <c r="J12" s="22">
        <f t="shared" si="5"/>
        <v>0.3664627957561522</v>
      </c>
      <c r="K12" s="22">
        <f t="shared" si="5"/>
        <v>0.33405906632283699</v>
      </c>
      <c r="L12" s="22">
        <f t="shared" si="5"/>
        <v>0.30452057094151047</v>
      </c>
      <c r="M12" s="21"/>
    </row>
    <row r="13" spans="1:14" ht="15" customHeight="1">
      <c r="A13" s="6" t="s">
        <v>97</v>
      </c>
      <c r="B13" s="20"/>
      <c r="C13" s="23" t="e">
        <f t="shared" ref="C13:L13" si="6">C9*C12</f>
        <v>#REF!</v>
      </c>
      <c r="D13" s="23" t="e">
        <f t="shared" si="6"/>
        <v>#REF!</v>
      </c>
      <c r="E13" s="23" t="e">
        <f t="shared" si="6"/>
        <v>#REF!</v>
      </c>
      <c r="F13" s="23" t="e">
        <f t="shared" si="6"/>
        <v>#REF!</v>
      </c>
      <c r="G13" s="23" t="e">
        <f t="shared" si="6"/>
        <v>#REF!</v>
      </c>
      <c r="H13" s="23" t="e">
        <f t="shared" si="6"/>
        <v>#REF!</v>
      </c>
      <c r="I13" s="23" t="e">
        <f t="shared" si="6"/>
        <v>#REF!</v>
      </c>
      <c r="J13" s="23" t="e">
        <f t="shared" si="6"/>
        <v>#REF!</v>
      </c>
      <c r="K13" s="23" t="e">
        <f t="shared" si="6"/>
        <v>#REF!</v>
      </c>
      <c r="L13" s="23" t="e">
        <f t="shared" si="6"/>
        <v>#REF!</v>
      </c>
      <c r="M13" s="21"/>
    </row>
    <row r="14" spans="1:14" ht="15" customHeight="1"/>
    <row r="15" spans="1:14" ht="15" customHeight="1">
      <c r="A15" s="24" t="s">
        <v>98</v>
      </c>
      <c r="B15" s="17" t="e">
        <f>M9</f>
        <v>#REF!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 t="e">
        <f>B15/(B16-M3)</f>
        <v>#REF!</v>
      </c>
      <c r="D17" s="27"/>
    </row>
    <row r="18" spans="1:15">
      <c r="A18" s="24" t="s">
        <v>101</v>
      </c>
      <c r="B18" s="28" t="e">
        <f>B17*L12</f>
        <v>#REF!</v>
      </c>
      <c r="N18" s="29"/>
    </row>
    <row r="19" spans="1:15">
      <c r="A19" s="24" t="s">
        <v>102</v>
      </c>
      <c r="B19" s="28" t="e">
        <f>SUM(C13:L13)</f>
        <v>#REF!</v>
      </c>
      <c r="M19" s="30"/>
      <c r="O19" s="29"/>
    </row>
    <row r="20" spans="1:15">
      <c r="A20" s="24" t="s">
        <v>103</v>
      </c>
      <c r="B20" s="28" t="e">
        <f>B18+B19</f>
        <v>#REF!</v>
      </c>
    </row>
    <row r="21" spans="1:15">
      <c r="A21" s="24" t="s">
        <v>104</v>
      </c>
      <c r="B21" s="13">
        <v>0</v>
      </c>
      <c r="J21" s="31"/>
    </row>
    <row r="22" spans="1:15">
      <c r="A22" s="24" t="s">
        <v>105</v>
      </c>
      <c r="B22" s="13" t="e">
        <f>Biotech!#REF!</f>
        <v>#REF!</v>
      </c>
    </row>
    <row r="23" spans="1:15">
      <c r="A23" s="24" t="s">
        <v>106</v>
      </c>
      <c r="B23" s="13">
        <v>747</v>
      </c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37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100</v>
      </c>
      <c r="D31" s="37">
        <v>100</v>
      </c>
      <c r="E31" s="37">
        <v>100</v>
      </c>
      <c r="F31" s="37">
        <v>100</v>
      </c>
      <c r="G31" s="37">
        <v>100</v>
      </c>
      <c r="H31" s="37">
        <v>100</v>
      </c>
      <c r="I31" s="37">
        <v>100</v>
      </c>
      <c r="J31" s="37">
        <v>100</v>
      </c>
      <c r="K31" s="37">
        <v>10</v>
      </c>
      <c r="L31" s="37">
        <v>100</v>
      </c>
      <c r="M31" s="21"/>
    </row>
    <row r="32" spans="1:15" s="16" customFormat="1">
      <c r="A32" s="38" t="s">
        <v>116</v>
      </c>
      <c r="B32" s="39" t="e">
        <f>Biotech!#REF!</f>
        <v>#REF!</v>
      </c>
      <c r="C32" s="18" t="e">
        <f t="shared" ref="C32:L32" si="7">B32+C8</f>
        <v>#REF!</v>
      </c>
      <c r="D32" s="18" t="e">
        <f t="shared" si="7"/>
        <v>#REF!</v>
      </c>
      <c r="E32" s="18" t="e">
        <f t="shared" si="7"/>
        <v>#REF!</v>
      </c>
      <c r="F32" s="18" t="e">
        <f t="shared" si="7"/>
        <v>#REF!</v>
      </c>
      <c r="G32" s="18" t="e">
        <f t="shared" si="7"/>
        <v>#REF!</v>
      </c>
      <c r="H32" s="18" t="e">
        <f t="shared" si="7"/>
        <v>#REF!</v>
      </c>
      <c r="I32" s="18" t="e">
        <f t="shared" si="7"/>
        <v>#REF!</v>
      </c>
      <c r="J32" s="18" t="e">
        <f t="shared" si="7"/>
        <v>#REF!</v>
      </c>
      <c r="K32" s="18" t="e">
        <f t="shared" si="7"/>
        <v>#REF!</v>
      </c>
      <c r="L32" s="18" t="e">
        <f t="shared" si="7"/>
        <v>#REF!</v>
      </c>
      <c r="M32" s="18"/>
    </row>
    <row r="33" spans="1:13">
      <c r="A33" s="24" t="s">
        <v>117</v>
      </c>
      <c r="B33" s="9" t="e">
        <f>Biotech!#REF!</f>
        <v>#REF!</v>
      </c>
      <c r="C33" s="40" t="e">
        <f t="shared" ref="C33:L33" si="8">C7/C32</f>
        <v>#REF!</v>
      </c>
      <c r="D33" s="40" t="e">
        <f t="shared" si="8"/>
        <v>#REF!</v>
      </c>
      <c r="E33" s="40" t="e">
        <f t="shared" si="8"/>
        <v>#REF!</v>
      </c>
      <c r="F33" s="40" t="e">
        <f t="shared" si="8"/>
        <v>#REF!</v>
      </c>
      <c r="G33" s="40" t="e">
        <f t="shared" si="8"/>
        <v>#REF!</v>
      </c>
      <c r="H33" s="40" t="e">
        <f t="shared" si="8"/>
        <v>#REF!</v>
      </c>
      <c r="I33" s="40" t="e">
        <f t="shared" si="8"/>
        <v>#REF!</v>
      </c>
      <c r="J33" s="40" t="e">
        <f t="shared" si="8"/>
        <v>#REF!</v>
      </c>
      <c r="K33" s="40" t="e">
        <f t="shared" si="8"/>
        <v>#REF!</v>
      </c>
      <c r="L33" s="41" t="e">
        <f t="shared" si="8"/>
        <v>#REF!</v>
      </c>
      <c r="M33" s="40">
        <v>0.11</v>
      </c>
    </row>
    <row r="34" spans="1:13">
      <c r="A34" s="6" t="s">
        <v>118</v>
      </c>
      <c r="C34" s="42" t="e">
        <f>C8/C7</f>
        <v>#REF!</v>
      </c>
      <c r="D34" s="42" t="e">
        <f t="shared" ref="D34:L34" si="9">D8/D7</f>
        <v>#REF!</v>
      </c>
      <c r="E34" s="42" t="e">
        <f t="shared" si="9"/>
        <v>#REF!</v>
      </c>
      <c r="F34" s="42" t="e">
        <f t="shared" si="9"/>
        <v>#REF!</v>
      </c>
      <c r="G34" s="42" t="e">
        <f t="shared" si="9"/>
        <v>#REF!</v>
      </c>
      <c r="H34" s="42" t="e">
        <f t="shared" si="9"/>
        <v>#REF!</v>
      </c>
      <c r="I34" s="42" t="e">
        <f t="shared" si="9"/>
        <v>#REF!</v>
      </c>
      <c r="J34" s="42" t="e">
        <f t="shared" si="9"/>
        <v>#REF!</v>
      </c>
      <c r="K34" s="42" t="e">
        <f t="shared" si="9"/>
        <v>#REF!</v>
      </c>
      <c r="L34" s="42" t="e">
        <f t="shared" si="9"/>
        <v>#REF!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7A9C-FBAA-C242-8C00-431EBFA5A30A}">
  <sheetPr>
    <tabColor rgb="FFFF0000"/>
  </sheetPr>
  <dimension ref="A1:O34"/>
  <sheetViews>
    <sheetView zoomScale="125" workbookViewId="0">
      <selection activeCell="B5" sqref="B5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0.31</v>
      </c>
      <c r="D3" s="5">
        <v>0.26</v>
      </c>
      <c r="E3" s="5">
        <v>0.22</v>
      </c>
      <c r="F3" s="5">
        <v>0.18</v>
      </c>
      <c r="G3" s="5">
        <v>0.15</v>
      </c>
      <c r="H3" s="5">
        <v>0.12</v>
      </c>
      <c r="I3" s="5">
        <v>9.5000000000000001E-2</v>
      </c>
      <c r="J3" s="5">
        <v>0.09</v>
      </c>
      <c r="K3" s="5">
        <v>8.5000000000000006E-2</v>
      </c>
      <c r="L3" s="5">
        <v>0.08</v>
      </c>
      <c r="M3" s="5">
        <v>0.05</v>
      </c>
    </row>
    <row r="4" spans="1:14" ht="15" customHeight="1">
      <c r="A4" s="6" t="s">
        <v>89</v>
      </c>
      <c r="B4" s="7">
        <f>Biotech!F9</f>
        <v>105</v>
      </c>
      <c r="C4" s="8">
        <f>B4*(1+C3)</f>
        <v>137.55000000000001</v>
      </c>
      <c r="D4" s="8">
        <f>C4*(1+D3)</f>
        <v>173.31300000000002</v>
      </c>
      <c r="E4" s="8">
        <f t="shared" ref="E4:M4" si="0">D4*(1+E3)</f>
        <v>211.44186000000002</v>
      </c>
      <c r="F4" s="8">
        <f t="shared" si="0"/>
        <v>249.50139480000001</v>
      </c>
      <c r="G4" s="8">
        <f t="shared" si="0"/>
        <v>286.92660402000001</v>
      </c>
      <c r="H4" s="8">
        <f t="shared" si="0"/>
        <v>321.35779650240005</v>
      </c>
      <c r="I4" s="8">
        <f t="shared" si="0"/>
        <v>351.88678717012806</v>
      </c>
      <c r="J4" s="8">
        <f t="shared" si="0"/>
        <v>383.55659801543959</v>
      </c>
      <c r="K4" s="8">
        <f t="shared" si="0"/>
        <v>416.15890884675196</v>
      </c>
      <c r="L4" s="8">
        <f t="shared" si="0"/>
        <v>449.45162155449214</v>
      </c>
      <c r="M4" s="8">
        <f t="shared" si="0"/>
        <v>471.92420263221675</v>
      </c>
    </row>
    <row r="5" spans="1:14" ht="15" customHeight="1">
      <c r="A5" s="6" t="s">
        <v>90</v>
      </c>
      <c r="B5" s="9">
        <f>Biotech!O9</f>
        <v>4.5</v>
      </c>
      <c r="C5" s="10">
        <v>4.4999999999999998E-2</v>
      </c>
      <c r="D5" s="10">
        <v>0.05</v>
      </c>
      <c r="E5" s="10">
        <v>5.5E-2</v>
      </c>
      <c r="F5" s="10">
        <v>0.06</v>
      </c>
      <c r="G5" s="10">
        <v>6.5000000000000002E-2</v>
      </c>
      <c r="H5" s="10">
        <v>7.0000000000000007E-2</v>
      </c>
      <c r="I5" s="10">
        <v>7.4999999999999997E-2</v>
      </c>
      <c r="J5" s="10">
        <v>0.08</v>
      </c>
      <c r="K5" s="10">
        <v>8.5000000000000006E-2</v>
      </c>
      <c r="L5" s="10">
        <v>0.09</v>
      </c>
      <c r="M5" s="5">
        <v>9.5000000000000001E-2</v>
      </c>
    </row>
    <row r="6" spans="1:14" ht="15" customHeight="1">
      <c r="A6" s="6" t="s">
        <v>91</v>
      </c>
      <c r="B6" s="7">
        <f>B4*B5</f>
        <v>472.5</v>
      </c>
      <c r="C6" s="8">
        <f>C5*C4</f>
        <v>6.1897500000000001</v>
      </c>
      <c r="D6" s="8">
        <f t="shared" ref="D6:M6" si="1">D5*D4</f>
        <v>8.6656500000000012</v>
      </c>
      <c r="E6" s="8">
        <f t="shared" si="1"/>
        <v>11.629302300000001</v>
      </c>
      <c r="F6" s="8">
        <f t="shared" si="1"/>
        <v>14.970083688000001</v>
      </c>
      <c r="G6" s="8">
        <f t="shared" si="1"/>
        <v>18.650229261300002</v>
      </c>
      <c r="H6" s="8">
        <f t="shared" si="1"/>
        <v>22.495045755168004</v>
      </c>
      <c r="I6" s="8">
        <f t="shared" si="1"/>
        <v>26.391509037759604</v>
      </c>
      <c r="J6" s="8">
        <f t="shared" si="1"/>
        <v>30.684527841235166</v>
      </c>
      <c r="K6" s="8">
        <f t="shared" si="1"/>
        <v>35.373507251973919</v>
      </c>
      <c r="L6" s="8">
        <f t="shared" si="1"/>
        <v>40.450645939904291</v>
      </c>
      <c r="M6" s="11">
        <f t="shared" si="1"/>
        <v>44.832799250060589</v>
      </c>
      <c r="N6" s="12">
        <f>M6-B6</f>
        <v>-427.66720074993941</v>
      </c>
    </row>
    <row r="7" spans="1:14" ht="15" customHeight="1">
      <c r="A7" s="6" t="s">
        <v>92</v>
      </c>
      <c r="B7" s="13">
        <f>B6*0.7</f>
        <v>330.75</v>
      </c>
      <c r="C7" s="14">
        <f>C6*0.7</f>
        <v>4.3328249999999997</v>
      </c>
      <c r="D7" s="15">
        <f>D6*0.7</f>
        <v>6.0659550000000007</v>
      </c>
      <c r="E7" s="14">
        <f t="shared" ref="E7:L7" si="2">E6*0.7</f>
        <v>8.1405116100000008</v>
      </c>
      <c r="F7" s="15">
        <f t="shared" si="2"/>
        <v>10.4790585816</v>
      </c>
      <c r="G7" s="14">
        <f t="shared" si="2"/>
        <v>13.055160482910001</v>
      </c>
      <c r="H7" s="15">
        <f t="shared" si="2"/>
        <v>15.746532028617601</v>
      </c>
      <c r="I7" s="14">
        <f t="shared" si="2"/>
        <v>18.474056326431722</v>
      </c>
      <c r="J7" s="15">
        <f t="shared" si="2"/>
        <v>21.479169488864613</v>
      </c>
      <c r="K7" s="14">
        <f t="shared" si="2"/>
        <v>24.761455076381743</v>
      </c>
      <c r="L7" s="15">
        <f t="shared" si="2"/>
        <v>28.315452157933002</v>
      </c>
      <c r="M7" s="14">
        <f>M6*0.7</f>
        <v>31.382959475042409</v>
      </c>
      <c r="N7" s="16"/>
    </row>
    <row r="8" spans="1:14" ht="15" customHeight="1">
      <c r="A8" s="6" t="s">
        <v>93</v>
      </c>
      <c r="B8" s="17"/>
      <c r="C8" s="14">
        <f>IF(C4&gt;B4,(C4-B4)/C31,0)</f>
        <v>3.2550000000000012</v>
      </c>
      <c r="D8" s="14">
        <f t="shared" ref="D8:L8" si="3">(D4-C4)/D31</f>
        <v>3.5763000000000007</v>
      </c>
      <c r="E8" s="14">
        <f t="shared" si="3"/>
        <v>3.8128860000000002</v>
      </c>
      <c r="F8" s="14">
        <f t="shared" si="3"/>
        <v>3.8059534799999994</v>
      </c>
      <c r="G8" s="14">
        <f t="shared" si="3"/>
        <v>3.7425209219999998</v>
      </c>
      <c r="H8" s="14">
        <f t="shared" si="3"/>
        <v>3.4431192482400035</v>
      </c>
      <c r="I8" s="14">
        <f t="shared" si="3"/>
        <v>3.0528990667728011</v>
      </c>
      <c r="J8" s="14">
        <f t="shared" si="3"/>
        <v>3.166981084531153</v>
      </c>
      <c r="K8" s="14">
        <f t="shared" si="3"/>
        <v>3.2602310831312367</v>
      </c>
      <c r="L8" s="14">
        <f t="shared" si="3"/>
        <v>3.3292712707740177</v>
      </c>
      <c r="M8" s="18">
        <f>IF(M3&gt;0,(M3/M33)*M7,0)</f>
        <v>14.264981579564733</v>
      </c>
      <c r="N8" s="19">
        <f>SUM(C8:M8)</f>
        <v>48.710143735013943</v>
      </c>
    </row>
    <row r="9" spans="1:14" ht="15" customHeight="1">
      <c r="A9" s="6" t="s">
        <v>94</v>
      </c>
      <c r="B9" s="17"/>
      <c r="C9" s="14">
        <f t="shared" ref="C9:L9" si="4">C7-C8</f>
        <v>1.0778249999999985</v>
      </c>
      <c r="D9" s="14">
        <f t="shared" si="4"/>
        <v>2.489655</v>
      </c>
      <c r="E9" s="14">
        <f t="shared" si="4"/>
        <v>4.3276256100000001</v>
      </c>
      <c r="F9" s="14">
        <f t="shared" si="4"/>
        <v>6.6731051016000009</v>
      </c>
      <c r="G9" s="14">
        <f t="shared" si="4"/>
        <v>9.3126395609100001</v>
      </c>
      <c r="H9" s="14">
        <f t="shared" si="4"/>
        <v>12.303412780377597</v>
      </c>
      <c r="I9" s="14">
        <f t="shared" si="4"/>
        <v>15.421157259658921</v>
      </c>
      <c r="J9" s="14">
        <f t="shared" si="4"/>
        <v>18.312188404333462</v>
      </c>
      <c r="K9" s="14">
        <f t="shared" si="4"/>
        <v>21.501223993250505</v>
      </c>
      <c r="L9" s="14">
        <f t="shared" si="4"/>
        <v>24.986180887158984</v>
      </c>
      <c r="M9" s="18">
        <f>M7-M8</f>
        <v>17.117977895477676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50">
        <f>Biotech!T9</f>
        <v>2.1</v>
      </c>
      <c r="C11" s="10">
        <v>0.13</v>
      </c>
      <c r="D11" s="10">
        <v>0.13</v>
      </c>
      <c r="E11" s="10">
        <v>0.13</v>
      </c>
      <c r="F11" s="10">
        <v>0.13</v>
      </c>
      <c r="G11" s="10">
        <v>0.13</v>
      </c>
      <c r="H11" s="10">
        <v>0.13</v>
      </c>
      <c r="I11" s="10">
        <v>0.13</v>
      </c>
      <c r="J11" s="10">
        <v>0.13</v>
      </c>
      <c r="K11" s="10">
        <v>0.13</v>
      </c>
      <c r="L11" s="10">
        <v>0.13</v>
      </c>
      <c r="M11" s="5">
        <v>0.13</v>
      </c>
    </row>
    <row r="12" spans="1:14" ht="15" customHeight="1">
      <c r="A12" s="6" t="s">
        <v>96</v>
      </c>
      <c r="B12" s="20"/>
      <c r="C12" s="22">
        <f>1/(1+C11)</f>
        <v>0.88495575221238942</v>
      </c>
      <c r="D12" s="22">
        <f>C12*(1/(1+D11))</f>
        <v>0.783146683373796</v>
      </c>
      <c r="E12" s="22">
        <f t="shared" ref="E12:L12" si="5">D12*(1/(1+E11))</f>
        <v>0.69305016227769556</v>
      </c>
      <c r="F12" s="22">
        <f t="shared" si="5"/>
        <v>0.61331872767937667</v>
      </c>
      <c r="G12" s="22">
        <f t="shared" si="5"/>
        <v>0.54275993599944838</v>
      </c>
      <c r="H12" s="22">
        <f t="shared" si="5"/>
        <v>0.48031852743314019</v>
      </c>
      <c r="I12" s="22">
        <f t="shared" si="5"/>
        <v>0.42506064374614178</v>
      </c>
      <c r="J12" s="22">
        <f t="shared" si="5"/>
        <v>0.37615986172224936</v>
      </c>
      <c r="K12" s="22">
        <f t="shared" si="5"/>
        <v>0.33288483338252156</v>
      </c>
      <c r="L12" s="22">
        <f t="shared" si="5"/>
        <v>0.29458834812612528</v>
      </c>
      <c r="M12" s="21"/>
    </row>
    <row r="13" spans="1:14" ht="15" customHeight="1">
      <c r="A13" s="6" t="s">
        <v>97</v>
      </c>
      <c r="B13" s="20"/>
      <c r="C13" s="23">
        <f t="shared" ref="C13:L13" si="6">C9*C12</f>
        <v>0.95382743362831723</v>
      </c>
      <c r="D13" s="23">
        <f t="shared" si="6"/>
        <v>1.949765055994988</v>
      </c>
      <c r="E13" s="23">
        <f t="shared" si="6"/>
        <v>2.9992616312876113</v>
      </c>
      <c r="F13" s="23">
        <f t="shared" si="6"/>
        <v>4.0927403305840704</v>
      </c>
      <c r="G13" s="23">
        <f t="shared" si="6"/>
        <v>5.0545276520654427</v>
      </c>
      <c r="H13" s="23">
        <f t="shared" si="6"/>
        <v>5.9095571090730443</v>
      </c>
      <c r="I13" s="23">
        <f t="shared" si="6"/>
        <v>6.5549270321011086</v>
      </c>
      <c r="J13" s="23">
        <f t="shared" si="6"/>
        <v>6.8883102580058528</v>
      </c>
      <c r="K13" s="23">
        <f t="shared" si="6"/>
        <v>7.1574313665134692</v>
      </c>
      <c r="L13" s="23">
        <f t="shared" si="6"/>
        <v>7.360637753528728</v>
      </c>
      <c r="M13" s="21"/>
    </row>
    <row r="14" spans="1:14" ht="15" customHeight="1"/>
    <row r="15" spans="1:14" ht="15" customHeight="1">
      <c r="A15" s="24" t="s">
        <v>98</v>
      </c>
      <c r="B15" s="17">
        <f>M9</f>
        <v>17.117977895477676</v>
      </c>
    </row>
    <row r="16" spans="1:14" ht="15" customHeight="1">
      <c r="A16" s="24" t="s">
        <v>99</v>
      </c>
      <c r="B16" s="25">
        <f>M11</f>
        <v>0.13</v>
      </c>
    </row>
    <row r="17" spans="1:15">
      <c r="A17" s="24" t="s">
        <v>100</v>
      </c>
      <c r="B17" s="26">
        <f>B15/(B16-M3)</f>
        <v>213.97472369347093</v>
      </c>
      <c r="D17" s="27"/>
    </row>
    <row r="18" spans="1:15">
      <c r="A18" s="24" t="s">
        <v>101</v>
      </c>
      <c r="B18" s="28">
        <f>B17*L12</f>
        <v>63.03446039360368</v>
      </c>
      <c r="E18" s="46" t="s">
        <v>121</v>
      </c>
      <c r="F18" s="46"/>
      <c r="N18" s="29"/>
    </row>
    <row r="19" spans="1:15">
      <c r="A19" s="24" t="s">
        <v>102</v>
      </c>
      <c r="B19" s="28">
        <f>SUM(C13:L13)</f>
        <v>48.920985622782638</v>
      </c>
      <c r="E19" s="43" t="s">
        <v>122</v>
      </c>
      <c r="F19" s="43" t="s">
        <v>123</v>
      </c>
      <c r="M19" s="30"/>
      <c r="O19" s="29"/>
    </row>
    <row r="20" spans="1:15">
      <c r="A20" s="24" t="s">
        <v>103</v>
      </c>
      <c r="B20" s="28">
        <f>B18+B19</f>
        <v>111.95544601638632</v>
      </c>
      <c r="E20" s="43" t="s">
        <v>130</v>
      </c>
      <c r="F20" s="45" t="s">
        <v>129</v>
      </c>
    </row>
    <row r="21" spans="1:15">
      <c r="A21" s="24" t="s">
        <v>104</v>
      </c>
      <c r="B21" s="13" t="e">
        <f>Biotech!#REF!</f>
        <v>#REF!</v>
      </c>
      <c r="E21" s="49">
        <v>0.01</v>
      </c>
      <c r="F21" s="45">
        <v>102</v>
      </c>
      <c r="J21" s="31"/>
    </row>
    <row r="22" spans="1:15">
      <c r="A22" s="24" t="s">
        <v>105</v>
      </c>
      <c r="B22" s="13">
        <f>Biotech!I9</f>
        <v>3</v>
      </c>
      <c r="E22" s="49"/>
      <c r="F22" s="45"/>
    </row>
    <row r="23" spans="1:15">
      <c r="A23" s="24" t="s">
        <v>106</v>
      </c>
      <c r="B23" s="13">
        <f>Biotech!J9</f>
        <v>239</v>
      </c>
      <c r="E23" s="43"/>
      <c r="F23" s="45"/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10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10</v>
      </c>
      <c r="D31" s="37">
        <v>10</v>
      </c>
      <c r="E31" s="37">
        <v>10</v>
      </c>
      <c r="F31" s="37">
        <v>10</v>
      </c>
      <c r="G31" s="37">
        <v>10</v>
      </c>
      <c r="H31" s="37">
        <v>10</v>
      </c>
      <c r="I31" s="37">
        <v>10</v>
      </c>
      <c r="J31" s="37">
        <v>10</v>
      </c>
      <c r="K31" s="37">
        <v>10</v>
      </c>
      <c r="L31" s="37">
        <v>10</v>
      </c>
      <c r="M31" s="21"/>
    </row>
    <row r="32" spans="1:15" s="16" customFormat="1">
      <c r="A32" s="38" t="s">
        <v>116</v>
      </c>
      <c r="B32" s="39">
        <f>Biotech!M9</f>
        <v>332</v>
      </c>
      <c r="C32" s="18">
        <f t="shared" ref="C32:L32" si="7">B32+C8</f>
        <v>335.255</v>
      </c>
      <c r="D32" s="18">
        <f t="shared" si="7"/>
        <v>338.8313</v>
      </c>
      <c r="E32" s="18">
        <f t="shared" si="7"/>
        <v>342.64418599999999</v>
      </c>
      <c r="F32" s="18">
        <f t="shared" si="7"/>
        <v>346.45013947999996</v>
      </c>
      <c r="G32" s="18">
        <f t="shared" si="7"/>
        <v>350.19266040199994</v>
      </c>
      <c r="H32" s="18">
        <f t="shared" si="7"/>
        <v>353.63577965023995</v>
      </c>
      <c r="I32" s="18">
        <f t="shared" si="7"/>
        <v>356.68867871701275</v>
      </c>
      <c r="J32" s="18">
        <f t="shared" si="7"/>
        <v>359.85565980154388</v>
      </c>
      <c r="K32" s="18">
        <f t="shared" si="7"/>
        <v>363.11589088467514</v>
      </c>
      <c r="L32" s="18">
        <f t="shared" si="7"/>
        <v>366.44516215544917</v>
      </c>
      <c r="M32" s="18"/>
    </row>
    <row r="33" spans="1:13">
      <c r="A33" s="24" t="s">
        <v>117</v>
      </c>
      <c r="B33" s="9">
        <f>Biotech!N9</f>
        <v>1.01</v>
      </c>
      <c r="C33" s="40">
        <f t="shared" ref="C33:L33" si="8">C7/C32</f>
        <v>1.2923968322620095E-2</v>
      </c>
      <c r="D33" s="40">
        <f t="shared" si="8"/>
        <v>1.7902581609196083E-2</v>
      </c>
      <c r="E33" s="40">
        <f t="shared" si="8"/>
        <v>2.3757915477952984E-2</v>
      </c>
      <c r="F33" s="40">
        <f t="shared" si="8"/>
        <v>3.0246945772134524E-2</v>
      </c>
      <c r="G33" s="40">
        <f t="shared" si="8"/>
        <v>3.7279937471914652E-2</v>
      </c>
      <c r="H33" s="40">
        <f t="shared" si="8"/>
        <v>4.4527541993040286E-2</v>
      </c>
      <c r="I33" s="40">
        <f t="shared" si="8"/>
        <v>5.1793223134756525E-2</v>
      </c>
      <c r="J33" s="40">
        <f t="shared" si="8"/>
        <v>5.9688291413035215E-2</v>
      </c>
      <c r="K33" s="40">
        <f t="shared" si="8"/>
        <v>6.8191604107587594E-2</v>
      </c>
      <c r="L33" s="41">
        <f t="shared" si="8"/>
        <v>7.7270639872498423E-2</v>
      </c>
      <c r="M33" s="40">
        <v>0.11</v>
      </c>
    </row>
    <row r="34" spans="1:13">
      <c r="A34" s="6" t="s">
        <v>118</v>
      </c>
      <c r="C34" s="42">
        <f>C8/C7</f>
        <v>0.75124197261601877</v>
      </c>
      <c r="D34" s="42">
        <f t="shared" ref="D34:L34" si="9">D8/D7</f>
        <v>0.58956916099773249</v>
      </c>
      <c r="E34" s="42">
        <f t="shared" si="9"/>
        <v>0.46838407494145196</v>
      </c>
      <c r="F34" s="42">
        <f t="shared" si="9"/>
        <v>0.36319612590799027</v>
      </c>
      <c r="G34" s="42">
        <f t="shared" si="9"/>
        <v>0.28666985188724314</v>
      </c>
      <c r="H34" s="42">
        <f t="shared" si="9"/>
        <v>0.2186588921282801</v>
      </c>
      <c r="I34" s="42">
        <f t="shared" si="9"/>
        <v>0.16525331593824749</v>
      </c>
      <c r="J34" s="42">
        <f t="shared" si="9"/>
        <v>0.14744429882044566</v>
      </c>
      <c r="K34" s="42">
        <f t="shared" si="9"/>
        <v>0.13166556945358787</v>
      </c>
      <c r="L34" s="42">
        <f t="shared" si="9"/>
        <v>0.11757789535567321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D1FF-0619-FA44-964C-6A0360651940}">
  <sheetPr>
    <tabColor theme="9"/>
  </sheetPr>
  <dimension ref="A1:O34"/>
  <sheetViews>
    <sheetView zoomScale="106" workbookViewId="0">
      <selection activeCell="B28" sqref="B28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0.2</v>
      </c>
      <c r="D3" s="5">
        <v>0.2</v>
      </c>
      <c r="E3" s="5">
        <v>0.2</v>
      </c>
      <c r="F3" s="5">
        <v>0.15</v>
      </c>
      <c r="G3" s="5">
        <v>0.15</v>
      </c>
      <c r="H3" s="5">
        <v>0.1</v>
      </c>
      <c r="I3" s="5">
        <v>0.09</v>
      </c>
      <c r="J3" s="5">
        <v>0.08</v>
      </c>
      <c r="K3" s="5">
        <v>7.0000000000000007E-2</v>
      </c>
      <c r="L3" s="5">
        <v>0.06</v>
      </c>
      <c r="M3" s="5">
        <v>0.05</v>
      </c>
    </row>
    <row r="4" spans="1:14" ht="15" customHeight="1">
      <c r="A4" s="6" t="s">
        <v>89</v>
      </c>
      <c r="B4" s="7" t="e">
        <f>Biotech!#REF!</f>
        <v>#REF!</v>
      </c>
      <c r="C4" s="8" t="e">
        <f>B4*(1+C3)</f>
        <v>#REF!</v>
      </c>
      <c r="D4" s="8" t="e">
        <f>C4*(1+D3)</f>
        <v>#REF!</v>
      </c>
      <c r="E4" s="8" t="e">
        <f t="shared" ref="E4:M4" si="0">D4*(1+E3)</f>
        <v>#REF!</v>
      </c>
      <c r="F4" s="8" t="e">
        <f t="shared" si="0"/>
        <v>#REF!</v>
      </c>
      <c r="G4" s="8" t="e">
        <f t="shared" si="0"/>
        <v>#REF!</v>
      </c>
      <c r="H4" s="8" t="e">
        <f t="shared" si="0"/>
        <v>#REF!</v>
      </c>
      <c r="I4" s="8" t="e">
        <f t="shared" si="0"/>
        <v>#REF!</v>
      </c>
      <c r="J4" s="8" t="e">
        <f t="shared" si="0"/>
        <v>#REF!</v>
      </c>
      <c r="K4" s="8" t="e">
        <f t="shared" si="0"/>
        <v>#REF!</v>
      </c>
      <c r="L4" s="8" t="e">
        <f t="shared" si="0"/>
        <v>#REF!</v>
      </c>
      <c r="M4" s="8" t="e">
        <f t="shared" si="0"/>
        <v>#REF!</v>
      </c>
    </row>
    <row r="5" spans="1:14" ht="15" customHeight="1">
      <c r="A5" s="6" t="s">
        <v>90</v>
      </c>
      <c r="B5" s="9" t="e">
        <f>Biotech!#REF!</f>
        <v>#REF!</v>
      </c>
      <c r="C5" s="10">
        <v>-0.15</v>
      </c>
      <c r="D5" s="10">
        <v>-0.05</v>
      </c>
      <c r="E5" s="10">
        <v>0.05</v>
      </c>
      <c r="F5" s="10">
        <v>0.1</v>
      </c>
      <c r="G5" s="10">
        <v>0.12</v>
      </c>
      <c r="H5" s="10">
        <v>0.16</v>
      </c>
      <c r="I5" s="10">
        <v>0.16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 t="e">
        <f>B4*B5</f>
        <v>#REF!</v>
      </c>
      <c r="C6" s="8" t="e">
        <f>C5*C4</f>
        <v>#REF!</v>
      </c>
      <c r="D6" s="8" t="e">
        <f t="shared" ref="D6:M6" si="1">D5*D4</f>
        <v>#REF!</v>
      </c>
      <c r="E6" s="8" t="e">
        <f t="shared" si="1"/>
        <v>#REF!</v>
      </c>
      <c r="F6" s="8" t="e">
        <f t="shared" si="1"/>
        <v>#REF!</v>
      </c>
      <c r="G6" s="8" t="e">
        <f t="shared" si="1"/>
        <v>#REF!</v>
      </c>
      <c r="H6" s="8" t="e">
        <f t="shared" si="1"/>
        <v>#REF!</v>
      </c>
      <c r="I6" s="8" t="e">
        <f t="shared" si="1"/>
        <v>#REF!</v>
      </c>
      <c r="J6" s="8" t="e">
        <f t="shared" si="1"/>
        <v>#REF!</v>
      </c>
      <c r="K6" s="8" t="e">
        <f t="shared" si="1"/>
        <v>#REF!</v>
      </c>
      <c r="L6" s="8" t="e">
        <f t="shared" si="1"/>
        <v>#REF!</v>
      </c>
      <c r="M6" s="11" t="e">
        <f t="shared" si="1"/>
        <v>#REF!</v>
      </c>
      <c r="N6" s="12" t="e">
        <f>M6-B6</f>
        <v>#REF!</v>
      </c>
    </row>
    <row r="7" spans="1:14" ht="15" customHeight="1">
      <c r="A7" s="6" t="s">
        <v>92</v>
      </c>
      <c r="B7" s="13" t="e">
        <f>B6*0.7</f>
        <v>#REF!</v>
      </c>
      <c r="C7" s="14" t="e">
        <f>C6*0.7</f>
        <v>#REF!</v>
      </c>
      <c r="D7" s="15" t="e">
        <f>D6*0.7</f>
        <v>#REF!</v>
      </c>
      <c r="E7" s="14" t="e">
        <f t="shared" ref="E7:L7" si="2">E6*0.7</f>
        <v>#REF!</v>
      </c>
      <c r="F7" s="15" t="e">
        <f t="shared" si="2"/>
        <v>#REF!</v>
      </c>
      <c r="G7" s="14" t="e">
        <f t="shared" si="2"/>
        <v>#REF!</v>
      </c>
      <c r="H7" s="15" t="e">
        <f t="shared" si="2"/>
        <v>#REF!</v>
      </c>
      <c r="I7" s="14" t="e">
        <f t="shared" si="2"/>
        <v>#REF!</v>
      </c>
      <c r="J7" s="15" t="e">
        <f t="shared" si="2"/>
        <v>#REF!</v>
      </c>
      <c r="K7" s="14" t="e">
        <f t="shared" si="2"/>
        <v>#REF!</v>
      </c>
      <c r="L7" s="15" t="e">
        <f t="shared" si="2"/>
        <v>#REF!</v>
      </c>
      <c r="M7" s="14" t="e">
        <f>M6*0.7</f>
        <v>#REF!</v>
      </c>
      <c r="N7" s="16"/>
    </row>
    <row r="8" spans="1:14" ht="15" customHeight="1">
      <c r="A8" s="6" t="s">
        <v>93</v>
      </c>
      <c r="B8" s="17"/>
      <c r="C8" s="14" t="e">
        <f>IF(C4&gt;B4,(C4-B4)/C31,0)</f>
        <v>#REF!</v>
      </c>
      <c r="D8" s="14" t="e">
        <f t="shared" ref="D8:L8" si="3">(D4-C4)/D31</f>
        <v>#REF!</v>
      </c>
      <c r="E8" s="14" t="e">
        <f t="shared" si="3"/>
        <v>#REF!</v>
      </c>
      <c r="F8" s="14" t="e">
        <f t="shared" si="3"/>
        <v>#REF!</v>
      </c>
      <c r="G8" s="14" t="e">
        <f t="shared" si="3"/>
        <v>#REF!</v>
      </c>
      <c r="H8" s="14" t="e">
        <f t="shared" si="3"/>
        <v>#REF!</v>
      </c>
      <c r="I8" s="14" t="e">
        <f t="shared" si="3"/>
        <v>#REF!</v>
      </c>
      <c r="J8" s="14" t="e">
        <f t="shared" si="3"/>
        <v>#REF!</v>
      </c>
      <c r="K8" s="14" t="e">
        <f t="shared" si="3"/>
        <v>#REF!</v>
      </c>
      <c r="L8" s="14" t="e">
        <f t="shared" si="3"/>
        <v>#REF!</v>
      </c>
      <c r="M8" s="18" t="e">
        <f>IF(M3&gt;0,(M3/M33)*M7,0)</f>
        <v>#REF!</v>
      </c>
      <c r="N8" s="19" t="e">
        <f>SUM(C8:M8)</f>
        <v>#REF!</v>
      </c>
    </row>
    <row r="9" spans="1:14" ht="15" customHeight="1">
      <c r="A9" s="6" t="s">
        <v>94</v>
      </c>
      <c r="B9" s="17"/>
      <c r="C9" s="14" t="e">
        <f t="shared" ref="C9:L9" si="4">C7-C8</f>
        <v>#REF!</v>
      </c>
      <c r="D9" s="14" t="e">
        <f t="shared" si="4"/>
        <v>#REF!</v>
      </c>
      <c r="E9" s="14" t="e">
        <f t="shared" si="4"/>
        <v>#REF!</v>
      </c>
      <c r="F9" s="14" t="e">
        <f t="shared" si="4"/>
        <v>#REF!</v>
      </c>
      <c r="G9" s="14" t="e">
        <f t="shared" si="4"/>
        <v>#REF!</v>
      </c>
      <c r="H9" s="14" t="e">
        <f t="shared" si="4"/>
        <v>#REF!</v>
      </c>
      <c r="I9" s="14" t="e">
        <f t="shared" si="4"/>
        <v>#REF!</v>
      </c>
      <c r="J9" s="14" t="e">
        <f t="shared" si="4"/>
        <v>#REF!</v>
      </c>
      <c r="K9" s="14" t="e">
        <f t="shared" si="4"/>
        <v>#REF!</v>
      </c>
      <c r="L9" s="14" t="e">
        <f t="shared" si="4"/>
        <v>#REF!</v>
      </c>
      <c r="M9" s="18" t="e">
        <f>M7-M8</f>
        <v>#REF!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f>Biotech!T7</f>
        <v>8.6999999999999993</v>
      </c>
      <c r="C11" s="10">
        <v>0.09</v>
      </c>
      <c r="D11" s="10">
        <v>0.09</v>
      </c>
      <c r="E11" s="10">
        <v>0.09</v>
      </c>
      <c r="F11" s="10">
        <v>0.09</v>
      </c>
      <c r="G11" s="10">
        <v>0.09</v>
      </c>
      <c r="H11" s="10">
        <v>0.09</v>
      </c>
      <c r="I11" s="10">
        <v>0.09</v>
      </c>
      <c r="J11" s="10">
        <v>0.09</v>
      </c>
      <c r="K11" s="10">
        <v>0.09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0.9174311926605504</v>
      </c>
      <c r="D12" s="22">
        <f>C12*(1/(1+D11))</f>
        <v>0.84167999326655996</v>
      </c>
      <c r="E12" s="22">
        <f t="shared" ref="E12:L12" si="5">D12*(1/(1+E11))</f>
        <v>0.77218348006106408</v>
      </c>
      <c r="F12" s="22">
        <f t="shared" si="5"/>
        <v>0.7084252110651964</v>
      </c>
      <c r="G12" s="22">
        <f t="shared" si="5"/>
        <v>0.64993138629834524</v>
      </c>
      <c r="H12" s="22">
        <f t="shared" si="5"/>
        <v>0.5962673268792158</v>
      </c>
      <c r="I12" s="22">
        <f t="shared" si="5"/>
        <v>0.5470342448433172</v>
      </c>
      <c r="J12" s="22">
        <f t="shared" si="5"/>
        <v>0.50186627967276809</v>
      </c>
      <c r="K12" s="22">
        <f t="shared" si="5"/>
        <v>0.46042777951630098</v>
      </c>
      <c r="L12" s="22">
        <f t="shared" si="5"/>
        <v>0.4197153869793081</v>
      </c>
      <c r="M12" s="21"/>
    </row>
    <row r="13" spans="1:14" ht="15" customHeight="1">
      <c r="A13" s="6" t="s">
        <v>97</v>
      </c>
      <c r="B13" s="20"/>
      <c r="C13" s="23" t="e">
        <f t="shared" ref="C13:L13" si="6">C9*C12</f>
        <v>#REF!</v>
      </c>
      <c r="D13" s="23" t="e">
        <f t="shared" si="6"/>
        <v>#REF!</v>
      </c>
      <c r="E13" s="23" t="e">
        <f t="shared" si="6"/>
        <v>#REF!</v>
      </c>
      <c r="F13" s="23" t="e">
        <f t="shared" si="6"/>
        <v>#REF!</v>
      </c>
      <c r="G13" s="23" t="e">
        <f t="shared" si="6"/>
        <v>#REF!</v>
      </c>
      <c r="H13" s="23" t="e">
        <f t="shared" si="6"/>
        <v>#REF!</v>
      </c>
      <c r="I13" s="23" t="e">
        <f t="shared" si="6"/>
        <v>#REF!</v>
      </c>
      <c r="J13" s="23" t="e">
        <f t="shared" si="6"/>
        <v>#REF!</v>
      </c>
      <c r="K13" s="23" t="e">
        <f t="shared" si="6"/>
        <v>#REF!</v>
      </c>
      <c r="L13" s="23" t="e">
        <f t="shared" si="6"/>
        <v>#REF!</v>
      </c>
      <c r="M13" s="21"/>
    </row>
    <row r="14" spans="1:14" ht="15" customHeight="1"/>
    <row r="15" spans="1:14" ht="15" customHeight="1">
      <c r="A15" s="24" t="s">
        <v>98</v>
      </c>
      <c r="B15" s="17" t="e">
        <f>M9</f>
        <v>#REF!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 t="e">
        <f>B15/(B16-M3)</f>
        <v>#REF!</v>
      </c>
      <c r="D17" s="27"/>
    </row>
    <row r="18" spans="1:15">
      <c r="A18" s="24" t="s">
        <v>101</v>
      </c>
      <c r="B18" s="28" t="e">
        <f>B17*L12</f>
        <v>#REF!</v>
      </c>
      <c r="E18" s="46" t="s">
        <v>121</v>
      </c>
      <c r="F18" s="46"/>
      <c r="N18" s="29"/>
    </row>
    <row r="19" spans="1:15">
      <c r="A19" s="24" t="s">
        <v>102</v>
      </c>
      <c r="B19" s="28" t="e">
        <f>SUM(C13:L13)</f>
        <v>#REF!</v>
      </c>
      <c r="E19" s="43" t="s">
        <v>122</v>
      </c>
      <c r="F19" s="43" t="s">
        <v>123</v>
      </c>
      <c r="M19" s="30"/>
      <c r="O19" s="29"/>
    </row>
    <row r="20" spans="1:15">
      <c r="A20" s="24" t="s">
        <v>103</v>
      </c>
      <c r="B20" s="28" t="e">
        <f>B18+B19</f>
        <v>#REF!</v>
      </c>
      <c r="E20" s="43" t="s">
        <v>130</v>
      </c>
      <c r="F20" s="45" t="s">
        <v>129</v>
      </c>
    </row>
    <row r="21" spans="1:15">
      <c r="A21" s="24" t="s">
        <v>104</v>
      </c>
      <c r="B21" s="13" t="e">
        <f>Biotech!#REF!</f>
        <v>#REF!</v>
      </c>
      <c r="E21" s="49">
        <v>0.01</v>
      </c>
      <c r="F21" s="45">
        <v>102</v>
      </c>
      <c r="J21" s="31"/>
    </row>
    <row r="22" spans="1:15">
      <c r="A22" s="24" t="s">
        <v>105</v>
      </c>
      <c r="B22" s="13" t="e">
        <f>Biotech!#REF!</f>
        <v>#REF!</v>
      </c>
      <c r="E22" s="49"/>
      <c r="F22" s="45"/>
    </row>
    <row r="23" spans="1:15">
      <c r="A23" s="24" t="s">
        <v>106</v>
      </c>
      <c r="B23" s="13">
        <f>Biotech!J7</f>
        <v>11500</v>
      </c>
      <c r="E23" s="43"/>
      <c r="F23" s="45"/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26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5</v>
      </c>
      <c r="D31" s="37">
        <v>5</v>
      </c>
      <c r="E31" s="37">
        <v>5</v>
      </c>
      <c r="F31" s="37">
        <v>5</v>
      </c>
      <c r="G31" s="37">
        <v>10</v>
      </c>
      <c r="H31" s="37">
        <v>10</v>
      </c>
      <c r="I31" s="37">
        <v>10</v>
      </c>
      <c r="J31" s="37">
        <v>10</v>
      </c>
      <c r="K31" s="37">
        <v>10</v>
      </c>
      <c r="L31" s="37">
        <v>10</v>
      </c>
      <c r="M31" s="21"/>
    </row>
    <row r="32" spans="1:15" s="16" customFormat="1">
      <c r="A32" s="38" t="s">
        <v>116</v>
      </c>
      <c r="B32" s="39" t="e">
        <f>Biotech!#REF!</f>
        <v>#REF!</v>
      </c>
      <c r="C32" s="18" t="e">
        <f t="shared" ref="C32:L32" si="7">B32+C8</f>
        <v>#REF!</v>
      </c>
      <c r="D32" s="18" t="e">
        <f t="shared" si="7"/>
        <v>#REF!</v>
      </c>
      <c r="E32" s="18" t="e">
        <f t="shared" si="7"/>
        <v>#REF!</v>
      </c>
      <c r="F32" s="18" t="e">
        <f t="shared" si="7"/>
        <v>#REF!</v>
      </c>
      <c r="G32" s="18" t="e">
        <f t="shared" si="7"/>
        <v>#REF!</v>
      </c>
      <c r="H32" s="18" t="e">
        <f t="shared" si="7"/>
        <v>#REF!</v>
      </c>
      <c r="I32" s="18" t="e">
        <f t="shared" si="7"/>
        <v>#REF!</v>
      </c>
      <c r="J32" s="18" t="e">
        <f t="shared" si="7"/>
        <v>#REF!</v>
      </c>
      <c r="K32" s="18" t="e">
        <f t="shared" si="7"/>
        <v>#REF!</v>
      </c>
      <c r="L32" s="18" t="e">
        <f t="shared" si="7"/>
        <v>#REF!</v>
      </c>
      <c r="M32" s="18"/>
    </row>
    <row r="33" spans="1:13">
      <c r="A33" s="24" t="s">
        <v>117</v>
      </c>
      <c r="B33" s="9" t="e">
        <f>Biotech!#REF!</f>
        <v>#REF!</v>
      </c>
      <c r="C33" s="40" t="e">
        <f t="shared" ref="C33:L33" si="8">C7/C32</f>
        <v>#REF!</v>
      </c>
      <c r="D33" s="40" t="e">
        <f t="shared" si="8"/>
        <v>#REF!</v>
      </c>
      <c r="E33" s="40" t="e">
        <f t="shared" si="8"/>
        <v>#REF!</v>
      </c>
      <c r="F33" s="40" t="e">
        <f t="shared" si="8"/>
        <v>#REF!</v>
      </c>
      <c r="G33" s="40" t="e">
        <f t="shared" si="8"/>
        <v>#REF!</v>
      </c>
      <c r="H33" s="40" t="e">
        <f t="shared" si="8"/>
        <v>#REF!</v>
      </c>
      <c r="I33" s="40" t="e">
        <f t="shared" si="8"/>
        <v>#REF!</v>
      </c>
      <c r="J33" s="40" t="e">
        <f t="shared" si="8"/>
        <v>#REF!</v>
      </c>
      <c r="K33" s="40" t="e">
        <f t="shared" si="8"/>
        <v>#REF!</v>
      </c>
      <c r="L33" s="41" t="e">
        <f t="shared" si="8"/>
        <v>#REF!</v>
      </c>
      <c r="M33" s="40">
        <v>0.11</v>
      </c>
    </row>
    <row r="34" spans="1:13">
      <c r="A34" s="6" t="s">
        <v>118</v>
      </c>
      <c r="C34" s="42" t="e">
        <f>C8/C7</f>
        <v>#REF!</v>
      </c>
      <c r="D34" s="42" t="e">
        <f t="shared" ref="D34:L34" si="9">D8/D7</f>
        <v>#REF!</v>
      </c>
      <c r="E34" s="42" t="e">
        <f t="shared" si="9"/>
        <v>#REF!</v>
      </c>
      <c r="F34" s="42" t="e">
        <f t="shared" si="9"/>
        <v>#REF!</v>
      </c>
      <c r="G34" s="42" t="e">
        <f t="shared" si="9"/>
        <v>#REF!</v>
      </c>
      <c r="H34" s="42" t="e">
        <f t="shared" si="9"/>
        <v>#REF!</v>
      </c>
      <c r="I34" s="42" t="e">
        <f t="shared" si="9"/>
        <v>#REF!</v>
      </c>
      <c r="J34" s="42" t="e">
        <f t="shared" si="9"/>
        <v>#REF!</v>
      </c>
      <c r="K34" s="42" t="e">
        <f t="shared" si="9"/>
        <v>#REF!</v>
      </c>
      <c r="L34" s="42" t="e">
        <f t="shared" si="9"/>
        <v>#REF!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B249-24AE-CF4E-A1BD-33C417CFEC02}">
  <sheetPr>
    <tabColor rgb="FFFF0000"/>
  </sheetPr>
  <dimension ref="A1:O34"/>
  <sheetViews>
    <sheetView zoomScale="125" workbookViewId="0">
      <selection activeCell="B22" sqref="B22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0.5</v>
      </c>
      <c r="D3" s="5">
        <v>0.45</v>
      </c>
      <c r="E3" s="5">
        <v>0.4</v>
      </c>
      <c r="F3" s="5">
        <v>0.35</v>
      </c>
      <c r="G3" s="5">
        <v>0.3</v>
      </c>
      <c r="H3" s="5">
        <v>0.25</v>
      </c>
      <c r="I3" s="5">
        <v>0.2</v>
      </c>
      <c r="J3" s="5">
        <v>0.15</v>
      </c>
      <c r="K3" s="5">
        <v>0.1</v>
      </c>
      <c r="L3" s="5">
        <v>7.0000000000000007E-2</v>
      </c>
      <c r="M3" s="5">
        <v>0.05</v>
      </c>
    </row>
    <row r="4" spans="1:14" ht="15" customHeight="1">
      <c r="A4" s="6" t="s">
        <v>89</v>
      </c>
      <c r="B4" s="7">
        <f>Biotech!F5</f>
        <v>4183</v>
      </c>
      <c r="C4" s="8">
        <f>B4*(1+C3)</f>
        <v>6274.5</v>
      </c>
      <c r="D4" s="8">
        <f>C4*(1+D3)</f>
        <v>9098.0249999999996</v>
      </c>
      <c r="E4" s="8">
        <f t="shared" ref="E4:M4" si="0">D4*(1+E3)</f>
        <v>12737.234999999999</v>
      </c>
      <c r="F4" s="8">
        <f t="shared" si="0"/>
        <v>17195.267250000001</v>
      </c>
      <c r="G4" s="8">
        <f t="shared" si="0"/>
        <v>22353.847425000004</v>
      </c>
      <c r="H4" s="8">
        <f t="shared" si="0"/>
        <v>27942.309281250004</v>
      </c>
      <c r="I4" s="8">
        <f t="shared" si="0"/>
        <v>33530.7711375</v>
      </c>
      <c r="J4" s="8">
        <f t="shared" si="0"/>
        <v>38560.386808124997</v>
      </c>
      <c r="K4" s="8">
        <f t="shared" si="0"/>
        <v>42416.425488937501</v>
      </c>
      <c r="L4" s="8">
        <f t="shared" si="0"/>
        <v>45385.575273163129</v>
      </c>
      <c r="M4" s="8">
        <f t="shared" si="0"/>
        <v>47654.854036821285</v>
      </c>
    </row>
    <row r="5" spans="1:14" ht="15" customHeight="1">
      <c r="A5" s="6" t="s">
        <v>90</v>
      </c>
      <c r="B5" s="9">
        <f>Biotech!O5</f>
        <v>26.6</v>
      </c>
      <c r="C5" s="10">
        <v>0.27</v>
      </c>
      <c r="D5" s="10">
        <v>0.27</v>
      </c>
      <c r="E5" s="10">
        <v>0.25</v>
      </c>
      <c r="F5" s="10">
        <v>0.22</v>
      </c>
      <c r="G5" s="10">
        <v>0.2</v>
      </c>
      <c r="H5" s="10">
        <v>0.2</v>
      </c>
      <c r="I5" s="10">
        <v>0.2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>
        <f>B4*B5</f>
        <v>111267.8</v>
      </c>
      <c r="C6" s="8">
        <f>C5*C4</f>
        <v>1694.115</v>
      </c>
      <c r="D6" s="8">
        <f t="shared" ref="D6:M6" si="1">D5*D4</f>
        <v>2456.46675</v>
      </c>
      <c r="E6" s="8">
        <f t="shared" si="1"/>
        <v>3184.3087499999997</v>
      </c>
      <c r="F6" s="8">
        <f t="shared" si="1"/>
        <v>3782.958795</v>
      </c>
      <c r="G6" s="8">
        <f t="shared" si="1"/>
        <v>4470.7694850000007</v>
      </c>
      <c r="H6" s="8">
        <f t="shared" si="1"/>
        <v>5588.4618562500009</v>
      </c>
      <c r="I6" s="8">
        <f t="shared" si="1"/>
        <v>6706.1542275000002</v>
      </c>
      <c r="J6" s="8">
        <f t="shared" si="1"/>
        <v>6169.6618892999995</v>
      </c>
      <c r="K6" s="8">
        <f t="shared" si="1"/>
        <v>6786.62807823</v>
      </c>
      <c r="L6" s="8">
        <f t="shared" si="1"/>
        <v>7261.6920437061008</v>
      </c>
      <c r="M6" s="11">
        <f t="shared" si="1"/>
        <v>7624.7766458914057</v>
      </c>
      <c r="N6" s="12">
        <f>M6-B6</f>
        <v>-103643.02335410859</v>
      </c>
    </row>
    <row r="7" spans="1:14" ht="15" customHeight="1">
      <c r="A7" s="6" t="s">
        <v>92</v>
      </c>
      <c r="B7" s="13">
        <f>B6*0.7</f>
        <v>77887.459999999992</v>
      </c>
      <c r="C7" s="14">
        <f>C6*0.7</f>
        <v>1185.8805</v>
      </c>
      <c r="D7" s="15">
        <f>D6*0.7</f>
        <v>1719.5267249999999</v>
      </c>
      <c r="E7" s="14">
        <f t="shared" ref="E7:L7" si="2">E6*0.7</f>
        <v>2229.0161249999996</v>
      </c>
      <c r="F7" s="15">
        <f t="shared" si="2"/>
        <v>2648.0711564999997</v>
      </c>
      <c r="G7" s="14">
        <f t="shared" si="2"/>
        <v>3129.5386395000005</v>
      </c>
      <c r="H7" s="15">
        <f t="shared" si="2"/>
        <v>3911.9232993750002</v>
      </c>
      <c r="I7" s="14">
        <f t="shared" si="2"/>
        <v>4694.3079592499998</v>
      </c>
      <c r="J7" s="15">
        <f t="shared" si="2"/>
        <v>4318.7633225099989</v>
      </c>
      <c r="K7" s="14">
        <f t="shared" si="2"/>
        <v>4750.6396547609993</v>
      </c>
      <c r="L7" s="15">
        <f t="shared" si="2"/>
        <v>5083.1844305942705</v>
      </c>
      <c r="M7" s="14">
        <f>M6*0.7</f>
        <v>5337.3436521239837</v>
      </c>
      <c r="N7" s="16"/>
    </row>
    <row r="8" spans="1:14" ht="15" customHeight="1">
      <c r="A8" s="6" t="s">
        <v>93</v>
      </c>
      <c r="B8" s="17"/>
      <c r="C8" s="14">
        <f>IF(C4&gt;B4,(C4-B4)/C31,0)</f>
        <v>4647.7777777777774</v>
      </c>
      <c r="D8" s="14">
        <f t="shared" ref="D8:L8" si="3">(D4-C4)/D31</f>
        <v>4705.875</v>
      </c>
      <c r="E8" s="14">
        <f t="shared" si="3"/>
        <v>5198.8714285714277</v>
      </c>
      <c r="F8" s="14">
        <f t="shared" si="3"/>
        <v>2229.016125000001</v>
      </c>
      <c r="G8" s="14">
        <f t="shared" si="3"/>
        <v>1719.5267250000009</v>
      </c>
      <c r="H8" s="14">
        <f t="shared" si="3"/>
        <v>1397.1154640625</v>
      </c>
      <c r="I8" s="14">
        <f t="shared" si="3"/>
        <v>1117.6923712499993</v>
      </c>
      <c r="J8" s="14">
        <f t="shared" si="3"/>
        <v>502.96156706249968</v>
      </c>
      <c r="K8" s="14">
        <f t="shared" si="3"/>
        <v>385.60386808125043</v>
      </c>
      <c r="L8" s="14">
        <f t="shared" si="3"/>
        <v>296.91497842256285</v>
      </c>
      <c r="M8" s="18">
        <f>IF(M3&gt;0,(M3/M33)*M7,0)</f>
        <v>2426.0652964199926</v>
      </c>
      <c r="N8" s="19">
        <f>SUM(C8:M8)</f>
        <v>24627.420601648009</v>
      </c>
    </row>
    <row r="9" spans="1:14" ht="15" customHeight="1">
      <c r="A9" s="6" t="s">
        <v>94</v>
      </c>
      <c r="B9" s="17"/>
      <c r="C9" s="14">
        <f t="shared" ref="C9:L9" si="4">C7-C8</f>
        <v>-3461.8972777777772</v>
      </c>
      <c r="D9" s="14">
        <f t="shared" si="4"/>
        <v>-2986.3482750000003</v>
      </c>
      <c r="E9" s="14">
        <f t="shared" si="4"/>
        <v>-2969.8553035714281</v>
      </c>
      <c r="F9" s="14">
        <f t="shared" si="4"/>
        <v>419.05503149999868</v>
      </c>
      <c r="G9" s="14">
        <f t="shared" si="4"/>
        <v>1410.0119144999996</v>
      </c>
      <c r="H9" s="14">
        <f t="shared" si="4"/>
        <v>2514.8078353125002</v>
      </c>
      <c r="I9" s="14">
        <f t="shared" si="4"/>
        <v>3576.6155880000006</v>
      </c>
      <c r="J9" s="14">
        <f t="shared" si="4"/>
        <v>3815.8017554474991</v>
      </c>
      <c r="K9" s="14">
        <f t="shared" si="4"/>
        <v>4365.0357866797485</v>
      </c>
      <c r="L9" s="14">
        <f t="shared" si="4"/>
        <v>4786.2694521717076</v>
      </c>
      <c r="M9" s="18">
        <f>M7-M8</f>
        <v>2911.2783557039911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f>Biotech!T5</f>
        <v>12.4</v>
      </c>
      <c r="C11" s="10">
        <v>0.12</v>
      </c>
      <c r="D11" s="10">
        <v>0.12</v>
      </c>
      <c r="E11" s="10">
        <v>0.12</v>
      </c>
      <c r="F11" s="10">
        <v>0.12</v>
      </c>
      <c r="G11" s="10">
        <v>0.12</v>
      </c>
      <c r="H11" s="10">
        <v>0.11</v>
      </c>
      <c r="I11" s="10">
        <v>0.11</v>
      </c>
      <c r="J11" s="10">
        <v>0.11</v>
      </c>
      <c r="K11" s="10">
        <v>0.1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0.89285714285714279</v>
      </c>
      <c r="D12" s="22">
        <f>C12*(1/(1+D11))</f>
        <v>0.79719387755102034</v>
      </c>
      <c r="E12" s="22">
        <f t="shared" ref="E12:L12" si="5">D12*(1/(1+E11))</f>
        <v>0.71178024781341098</v>
      </c>
      <c r="F12" s="22">
        <f t="shared" si="5"/>
        <v>0.63551807840483121</v>
      </c>
      <c r="G12" s="22">
        <f t="shared" si="5"/>
        <v>0.5674268557185993</v>
      </c>
      <c r="H12" s="22">
        <f t="shared" si="5"/>
        <v>0.51119536551225153</v>
      </c>
      <c r="I12" s="22">
        <f t="shared" si="5"/>
        <v>0.46053636532635267</v>
      </c>
      <c r="J12" s="22">
        <f t="shared" si="5"/>
        <v>0.4148976264201375</v>
      </c>
      <c r="K12" s="22">
        <f t="shared" si="5"/>
        <v>0.37717966038194317</v>
      </c>
      <c r="L12" s="22">
        <f t="shared" si="5"/>
        <v>0.34382831393066832</v>
      </c>
      <c r="M12" s="21"/>
    </row>
    <row r="13" spans="1:14" ht="15" customHeight="1">
      <c r="A13" s="6" t="s">
        <v>97</v>
      </c>
      <c r="B13" s="20"/>
      <c r="C13" s="23">
        <f t="shared" ref="C13:L13" si="6">C9*C12</f>
        <v>-3090.9797123015865</v>
      </c>
      <c r="D13" s="23">
        <f t="shared" si="6"/>
        <v>-2380.6985610650509</v>
      </c>
      <c r="E13" s="23">
        <f t="shared" si="6"/>
        <v>-2113.8843439460438</v>
      </c>
      <c r="F13" s="23">
        <f t="shared" si="6"/>
        <v>266.31704836475518</v>
      </c>
      <c r="G13" s="23">
        <f t="shared" si="6"/>
        <v>800.07862717049727</v>
      </c>
      <c r="H13" s="23">
        <f t="shared" si="6"/>
        <v>1285.5581105656477</v>
      </c>
      <c r="I13" s="23">
        <f t="shared" si="6"/>
        <v>1647.1615430670959</v>
      </c>
      <c r="J13" s="23">
        <f t="shared" si="6"/>
        <v>1583.1670912249613</v>
      </c>
      <c r="K13" s="23">
        <f t="shared" si="6"/>
        <v>1646.4027155748956</v>
      </c>
      <c r="L13" s="23">
        <f t="shared" si="6"/>
        <v>1645.6549557580618</v>
      </c>
      <c r="M13" s="21"/>
    </row>
    <row r="14" spans="1:14" ht="15" customHeight="1"/>
    <row r="15" spans="1:14" ht="15" customHeight="1">
      <c r="A15" s="24" t="s">
        <v>98</v>
      </c>
      <c r="B15" s="17">
        <f>M9</f>
        <v>2911.2783557039911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>
        <f>B15/(B16-M3)</f>
        <v>61942.092674553001</v>
      </c>
      <c r="D17" s="27"/>
    </row>
    <row r="18" spans="1:15">
      <c r="A18" s="24" t="s">
        <v>101</v>
      </c>
      <c r="B18" s="28">
        <f>B17*L12</f>
        <v>21297.445285628761</v>
      </c>
      <c r="E18" s="46" t="s">
        <v>121</v>
      </c>
      <c r="F18" s="46"/>
      <c r="N18" s="29"/>
    </row>
    <row r="19" spans="1:15">
      <c r="A19" s="24" t="s">
        <v>102</v>
      </c>
      <c r="B19" s="28">
        <f>SUM(C13:L13)</f>
        <v>1288.7774744132346</v>
      </c>
      <c r="E19" s="43" t="s">
        <v>122</v>
      </c>
      <c r="F19" s="43" t="s">
        <v>123</v>
      </c>
      <c r="M19" s="30"/>
      <c r="O19" s="29"/>
    </row>
    <row r="20" spans="1:15">
      <c r="A20" s="24" t="s">
        <v>103</v>
      </c>
      <c r="B20" s="28">
        <f>B18+B19</f>
        <v>22586.222760041994</v>
      </c>
      <c r="E20" s="43" t="s">
        <v>128</v>
      </c>
      <c r="F20" s="45">
        <v>30</v>
      </c>
    </row>
    <row r="21" spans="1:15">
      <c r="A21" s="24" t="s">
        <v>104</v>
      </c>
      <c r="B21" s="13" t="e">
        <f>Biotech!#REF!</f>
        <v>#REF!</v>
      </c>
      <c r="E21" s="49">
        <v>5.0000000000000001E-3</v>
      </c>
      <c r="F21" s="45">
        <v>40</v>
      </c>
      <c r="J21" s="31"/>
    </row>
    <row r="22" spans="1:15">
      <c r="A22" s="24" t="s">
        <v>105</v>
      </c>
      <c r="B22" s="13">
        <f>Biotech!I5</f>
        <v>181</v>
      </c>
      <c r="E22" s="49">
        <v>8.0000000000000002E-3</v>
      </c>
      <c r="F22" s="45" t="s">
        <v>129</v>
      </c>
    </row>
    <row r="23" spans="1:15">
      <c r="A23" s="24" t="s">
        <v>106</v>
      </c>
      <c r="B23" s="13">
        <f>Biotech!J5</f>
        <v>8004</v>
      </c>
      <c r="E23" s="43"/>
      <c r="F23" s="45"/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69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0.45</v>
      </c>
      <c r="D31" s="37">
        <v>0.6</v>
      </c>
      <c r="E31" s="37">
        <v>0.7</v>
      </c>
      <c r="F31" s="37">
        <v>2</v>
      </c>
      <c r="G31" s="37">
        <v>3</v>
      </c>
      <c r="H31" s="37">
        <v>4</v>
      </c>
      <c r="I31" s="37">
        <v>5</v>
      </c>
      <c r="J31" s="37">
        <v>10</v>
      </c>
      <c r="K31" s="37">
        <v>10</v>
      </c>
      <c r="L31" s="37">
        <v>10</v>
      </c>
      <c r="M31" s="21"/>
    </row>
    <row r="32" spans="1:15" s="16" customFormat="1">
      <c r="A32" s="38" t="s">
        <v>116</v>
      </c>
      <c r="B32" s="39">
        <f>Biotech!M5</f>
        <v>9087</v>
      </c>
      <c r="C32" s="18">
        <f t="shared" ref="C32:L32" si="7">B32+C8</f>
        <v>13734.777777777777</v>
      </c>
      <c r="D32" s="18">
        <f t="shared" si="7"/>
        <v>18440.652777777777</v>
      </c>
      <c r="E32" s="18">
        <f t="shared" si="7"/>
        <v>23639.524206349204</v>
      </c>
      <c r="F32" s="18">
        <f t="shared" si="7"/>
        <v>25868.540331349206</v>
      </c>
      <c r="G32" s="18">
        <f t="shared" si="7"/>
        <v>27588.067056349206</v>
      </c>
      <c r="H32" s="18">
        <f t="shared" si="7"/>
        <v>28985.182520411705</v>
      </c>
      <c r="I32" s="18">
        <f t="shared" si="7"/>
        <v>30102.874891661704</v>
      </c>
      <c r="J32" s="18">
        <f t="shared" si="7"/>
        <v>30605.836458724203</v>
      </c>
      <c r="K32" s="18">
        <f t="shared" si="7"/>
        <v>30991.440326805452</v>
      </c>
      <c r="L32" s="18">
        <f t="shared" si="7"/>
        <v>31288.355305228015</v>
      </c>
      <c r="M32" s="18"/>
    </row>
    <row r="33" spans="1:13">
      <c r="A33" s="24" t="s">
        <v>117</v>
      </c>
      <c r="B33" s="9">
        <f>Biotech!N5</f>
        <v>8.58</v>
      </c>
      <c r="C33" s="40">
        <f t="shared" ref="C33:L33" si="8">C7/C32</f>
        <v>8.6341440625176971E-2</v>
      </c>
      <c r="D33" s="40">
        <f t="shared" si="8"/>
        <v>9.3246521461113618E-2</v>
      </c>
      <c r="E33" s="40">
        <f t="shared" si="8"/>
        <v>9.429191998717644E-2</v>
      </c>
      <c r="F33" s="40">
        <f t="shared" si="8"/>
        <v>0.10236646995079549</v>
      </c>
      <c r="G33" s="40">
        <f t="shared" si="8"/>
        <v>0.11343812645909017</v>
      </c>
      <c r="H33" s="40">
        <f t="shared" si="8"/>
        <v>0.13496286582360412</v>
      </c>
      <c r="I33" s="40">
        <f t="shared" si="8"/>
        <v>0.15594218080979008</v>
      </c>
      <c r="J33" s="40">
        <f t="shared" si="8"/>
        <v>0.14110914198781632</v>
      </c>
      <c r="K33" s="40">
        <f t="shared" si="8"/>
        <v>0.15328876633887922</v>
      </c>
      <c r="L33" s="41">
        <f t="shared" si="8"/>
        <v>0.16246250021792977</v>
      </c>
      <c r="M33" s="40">
        <v>0.11</v>
      </c>
    </row>
    <row r="34" spans="1:13">
      <c r="A34" s="6" t="s">
        <v>118</v>
      </c>
      <c r="C34" s="42">
        <f>C8/C7</f>
        <v>3.9192631785224377</v>
      </c>
      <c r="D34" s="42">
        <f t="shared" ref="D34:L34" si="9">D8/D7</f>
        <v>2.7367268746579092</v>
      </c>
      <c r="E34" s="42">
        <f t="shared" si="9"/>
        <v>2.3323615160349855</v>
      </c>
      <c r="F34" s="42">
        <f t="shared" si="9"/>
        <v>0.84175084175084225</v>
      </c>
      <c r="G34" s="42">
        <f t="shared" si="9"/>
        <v>0.54945054945054961</v>
      </c>
      <c r="H34" s="42">
        <f t="shared" si="9"/>
        <v>0.35714285714285715</v>
      </c>
      <c r="I34" s="42">
        <f t="shared" si="9"/>
        <v>0.23809523809523794</v>
      </c>
      <c r="J34" s="42">
        <f t="shared" si="9"/>
        <v>0.1164596273291925</v>
      </c>
      <c r="K34" s="42">
        <f t="shared" si="9"/>
        <v>8.1168831168831265E-2</v>
      </c>
      <c r="L34" s="42">
        <f t="shared" si="9"/>
        <v>5.841121495327109E-2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47AC-9694-B84A-B454-99CBB769AF79}">
  <sheetPr>
    <tabColor rgb="FFFF0000"/>
  </sheetPr>
  <dimension ref="A1:O34"/>
  <sheetViews>
    <sheetView zoomScale="108" workbookViewId="0">
      <selection sqref="A1:XFD1048576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0.35</v>
      </c>
      <c r="D3" s="5">
        <v>0.33</v>
      </c>
      <c r="E3" s="5">
        <v>0.3</v>
      </c>
      <c r="F3" s="5">
        <v>0.27</v>
      </c>
      <c r="G3" s="5">
        <v>0.24</v>
      </c>
      <c r="H3" s="5">
        <v>0.2</v>
      </c>
      <c r="I3" s="5">
        <v>0.15</v>
      </c>
      <c r="J3" s="5">
        <v>0.1</v>
      </c>
      <c r="K3" s="5">
        <v>0.08</v>
      </c>
      <c r="L3" s="5">
        <v>7.0000000000000007E-2</v>
      </c>
      <c r="M3" s="5">
        <v>0.05</v>
      </c>
    </row>
    <row r="4" spans="1:14" ht="15" customHeight="1">
      <c r="A4" s="6" t="s">
        <v>89</v>
      </c>
      <c r="B4" s="7">
        <f>Biotech!F6</f>
        <v>6333</v>
      </c>
      <c r="C4" s="8">
        <f>B4*(1+C3)</f>
        <v>8549.5500000000011</v>
      </c>
      <c r="D4" s="8">
        <f>C4*(1+D3)</f>
        <v>11370.901500000002</v>
      </c>
      <c r="E4" s="8">
        <f t="shared" ref="E4:M4" si="0">D4*(1+E3)</f>
        <v>14782.171950000004</v>
      </c>
      <c r="F4" s="8">
        <f t="shared" si="0"/>
        <v>18773.358376500004</v>
      </c>
      <c r="G4" s="8">
        <f t="shared" si="0"/>
        <v>23278.964386860003</v>
      </c>
      <c r="H4" s="8">
        <f t="shared" si="0"/>
        <v>27934.757264232005</v>
      </c>
      <c r="I4" s="8">
        <f t="shared" si="0"/>
        <v>32124.970853866802</v>
      </c>
      <c r="J4" s="8">
        <f t="shared" si="0"/>
        <v>35337.467939253482</v>
      </c>
      <c r="K4" s="8">
        <f t="shared" si="0"/>
        <v>38164.46537439376</v>
      </c>
      <c r="L4" s="8">
        <f t="shared" si="0"/>
        <v>40835.977950601322</v>
      </c>
      <c r="M4" s="8">
        <f t="shared" si="0"/>
        <v>42877.776848131391</v>
      </c>
    </row>
    <row r="5" spans="1:14" ht="15" customHeight="1">
      <c r="A5" s="6" t="s">
        <v>90</v>
      </c>
      <c r="B5" s="9">
        <f>Biotech!O6</f>
        <v>17.3</v>
      </c>
      <c r="C5" s="10">
        <v>0.16</v>
      </c>
      <c r="D5" s="10">
        <v>0.16</v>
      </c>
      <c r="E5" s="10">
        <v>0.16</v>
      </c>
      <c r="F5" s="10">
        <v>0.16</v>
      </c>
      <c r="G5" s="10">
        <v>0.16</v>
      </c>
      <c r="H5" s="10">
        <v>0.16</v>
      </c>
      <c r="I5" s="10">
        <v>0.16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>
        <f>B4*B5</f>
        <v>109560.90000000001</v>
      </c>
      <c r="C6" s="8">
        <f>C5*C4</f>
        <v>1367.9280000000001</v>
      </c>
      <c r="D6" s="8">
        <f t="shared" ref="D6:M6" si="1">D5*D4</f>
        <v>1819.3442400000004</v>
      </c>
      <c r="E6" s="8">
        <f t="shared" si="1"/>
        <v>2365.1475120000005</v>
      </c>
      <c r="F6" s="8">
        <f t="shared" si="1"/>
        <v>3003.7373402400008</v>
      </c>
      <c r="G6" s="8">
        <f t="shared" si="1"/>
        <v>3724.6343018976004</v>
      </c>
      <c r="H6" s="8">
        <f t="shared" si="1"/>
        <v>4469.5611622771212</v>
      </c>
      <c r="I6" s="8">
        <f t="shared" si="1"/>
        <v>5139.9953366186883</v>
      </c>
      <c r="J6" s="8">
        <f t="shared" si="1"/>
        <v>5653.9948702805568</v>
      </c>
      <c r="K6" s="8">
        <f t="shared" si="1"/>
        <v>6106.314459903002</v>
      </c>
      <c r="L6" s="8">
        <f t="shared" si="1"/>
        <v>6533.7564720962118</v>
      </c>
      <c r="M6" s="11">
        <f t="shared" si="1"/>
        <v>6860.4442957010224</v>
      </c>
      <c r="N6" s="12">
        <f>M6-B6</f>
        <v>-102700.45570429899</v>
      </c>
    </row>
    <row r="7" spans="1:14" ht="15" customHeight="1">
      <c r="A7" s="6" t="s">
        <v>92</v>
      </c>
      <c r="B7" s="13">
        <f>B6*0.7</f>
        <v>76692.63</v>
      </c>
      <c r="C7" s="14">
        <f>C6*0.7</f>
        <v>957.54960000000005</v>
      </c>
      <c r="D7" s="15">
        <f>D6*0.7</f>
        <v>1273.5409680000002</v>
      </c>
      <c r="E7" s="14">
        <f t="shared" ref="E7:L7" si="2">E6*0.7</f>
        <v>1655.6032584000002</v>
      </c>
      <c r="F7" s="15">
        <f t="shared" si="2"/>
        <v>2102.6161381680004</v>
      </c>
      <c r="G7" s="14">
        <f t="shared" si="2"/>
        <v>2607.2440113283201</v>
      </c>
      <c r="H7" s="15">
        <f t="shared" si="2"/>
        <v>3128.6928135939847</v>
      </c>
      <c r="I7" s="14">
        <f t="shared" si="2"/>
        <v>3597.9967356330817</v>
      </c>
      <c r="J7" s="15">
        <f t="shared" si="2"/>
        <v>3957.7964091963895</v>
      </c>
      <c r="K7" s="14">
        <f t="shared" si="2"/>
        <v>4274.4201219321012</v>
      </c>
      <c r="L7" s="15">
        <f t="shared" si="2"/>
        <v>4573.6295304673476</v>
      </c>
      <c r="M7" s="14">
        <f>M6*0.7</f>
        <v>4802.3110069907152</v>
      </c>
      <c r="N7" s="16"/>
    </row>
    <row r="8" spans="1:14" ht="15" customHeight="1">
      <c r="A8" s="6" t="s">
        <v>93</v>
      </c>
      <c r="B8" s="17"/>
      <c r="C8" s="14">
        <f>IF(C4&gt;B4,(C4-B4)/C31,0)</f>
        <v>221.65500000000011</v>
      </c>
      <c r="D8" s="14">
        <f t="shared" ref="D8:L8" si="3">(D4-C4)/D31</f>
        <v>282.13515000000007</v>
      </c>
      <c r="E8" s="14">
        <f t="shared" si="3"/>
        <v>341.12704500000018</v>
      </c>
      <c r="F8" s="14">
        <f t="shared" si="3"/>
        <v>399.11864265000003</v>
      </c>
      <c r="G8" s="14">
        <f t="shared" si="3"/>
        <v>901.12120207199985</v>
      </c>
      <c r="H8" s="14">
        <f t="shared" si="3"/>
        <v>931.15857547440032</v>
      </c>
      <c r="I8" s="14">
        <f t="shared" si="3"/>
        <v>838.04271792695943</v>
      </c>
      <c r="J8" s="14">
        <f t="shared" si="3"/>
        <v>642.49941707733592</v>
      </c>
      <c r="K8" s="14">
        <f t="shared" si="3"/>
        <v>565.39948702805555</v>
      </c>
      <c r="L8" s="14">
        <f t="shared" si="3"/>
        <v>534.30251524151242</v>
      </c>
      <c r="M8" s="18">
        <f>IF(M3&gt;0,(M3/M33)*M7,0)</f>
        <v>2182.8686395412342</v>
      </c>
      <c r="N8" s="19">
        <f>SUM(C8:M8)</f>
        <v>7839.4283920114976</v>
      </c>
    </row>
    <row r="9" spans="1:14" ht="15" customHeight="1">
      <c r="A9" s="6" t="s">
        <v>94</v>
      </c>
      <c r="B9" s="17"/>
      <c r="C9" s="14">
        <f t="shared" ref="C9:L9" si="4">C7-C8</f>
        <v>735.89459999999997</v>
      </c>
      <c r="D9" s="14">
        <f t="shared" si="4"/>
        <v>991.40581800000018</v>
      </c>
      <c r="E9" s="14">
        <f t="shared" si="4"/>
        <v>1314.4762134</v>
      </c>
      <c r="F9" s="14">
        <f t="shared" si="4"/>
        <v>1703.4974955180003</v>
      </c>
      <c r="G9" s="14">
        <f t="shared" si="4"/>
        <v>1706.1228092563201</v>
      </c>
      <c r="H9" s="14">
        <f t="shared" si="4"/>
        <v>2197.5342381195842</v>
      </c>
      <c r="I9" s="14">
        <f t="shared" si="4"/>
        <v>2759.9540177061222</v>
      </c>
      <c r="J9" s="14">
        <f t="shared" si="4"/>
        <v>3315.2969921190534</v>
      </c>
      <c r="K9" s="14">
        <f t="shared" si="4"/>
        <v>3709.0206349040454</v>
      </c>
      <c r="L9" s="14">
        <f t="shared" si="4"/>
        <v>4039.3270152258351</v>
      </c>
      <c r="M9" s="18">
        <f>M7-M8</f>
        <v>2619.442367449481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f>Biotech!T6</f>
        <v>12.8</v>
      </c>
      <c r="C11" s="10">
        <v>0.13</v>
      </c>
      <c r="D11" s="10">
        <v>0.13</v>
      </c>
      <c r="E11" s="10">
        <v>0.13</v>
      </c>
      <c r="F11" s="10">
        <v>0.13</v>
      </c>
      <c r="G11" s="10">
        <v>0.13</v>
      </c>
      <c r="H11" s="10">
        <v>0.12</v>
      </c>
      <c r="I11" s="10">
        <v>0.12</v>
      </c>
      <c r="J11" s="10">
        <v>0.11</v>
      </c>
      <c r="K11" s="10">
        <v>0.1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0.88495575221238942</v>
      </c>
      <c r="D12" s="22">
        <f>C12*(1/(1+D11))</f>
        <v>0.783146683373796</v>
      </c>
      <c r="E12" s="22">
        <f t="shared" ref="E12:L12" si="5">D12*(1/(1+E11))</f>
        <v>0.69305016227769556</v>
      </c>
      <c r="F12" s="22">
        <f t="shared" si="5"/>
        <v>0.61331872767937667</v>
      </c>
      <c r="G12" s="22">
        <f t="shared" si="5"/>
        <v>0.54275993599944838</v>
      </c>
      <c r="H12" s="22">
        <f t="shared" si="5"/>
        <v>0.48460708571379318</v>
      </c>
      <c r="I12" s="22">
        <f t="shared" si="5"/>
        <v>0.43268489795874387</v>
      </c>
      <c r="J12" s="22">
        <f t="shared" si="5"/>
        <v>0.38980621437724672</v>
      </c>
      <c r="K12" s="22">
        <f t="shared" si="5"/>
        <v>0.35436928579749699</v>
      </c>
      <c r="L12" s="22">
        <f t="shared" si="5"/>
        <v>0.3230349004535068</v>
      </c>
      <c r="M12" s="21"/>
    </row>
    <row r="13" spans="1:14" ht="15" customHeight="1">
      <c r="A13" s="6" t="s">
        <v>97</v>
      </c>
      <c r="B13" s="20"/>
      <c r="C13" s="23">
        <f t="shared" ref="C13:L13" si="6">C9*C12</f>
        <v>651.23415929203543</v>
      </c>
      <c r="D13" s="23">
        <f t="shared" si="6"/>
        <v>776.4161782441854</v>
      </c>
      <c r="E13" s="23">
        <f t="shared" si="6"/>
        <v>910.99795300704079</v>
      </c>
      <c r="F13" s="23">
        <f t="shared" si="6"/>
        <v>1044.7869165561046</v>
      </c>
      <c r="G13" s="23">
        <f t="shared" si="6"/>
        <v>926.01510675915938</v>
      </c>
      <c r="H13" s="23">
        <f t="shared" si="6"/>
        <v>1064.9406628914126</v>
      </c>
      <c r="I13" s="23">
        <f t="shared" si="6"/>
        <v>1194.1904225219987</v>
      </c>
      <c r="J13" s="23">
        <f t="shared" si="6"/>
        <v>1292.3233700342009</v>
      </c>
      <c r="K13" s="23">
        <f t="shared" si="6"/>
        <v>1314.3629933991253</v>
      </c>
      <c r="L13" s="23">
        <f t="shared" si="6"/>
        <v>1304.8436002626383</v>
      </c>
      <c r="M13" s="21"/>
    </row>
    <row r="14" spans="1:14" ht="15" customHeight="1"/>
    <row r="15" spans="1:14" ht="15" customHeight="1">
      <c r="A15" s="24" t="s">
        <v>98</v>
      </c>
      <c r="B15" s="17">
        <f>M9</f>
        <v>2619.442367449481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>
        <f>B15/(B16-M3)</f>
        <v>55732.816328712361</v>
      </c>
      <c r="D17" s="27"/>
    </row>
    <row r="18" spans="1:15">
      <c r="A18" s="24" t="s">
        <v>101</v>
      </c>
      <c r="B18" s="28">
        <f>B17*L12</f>
        <v>18003.644774739176</v>
      </c>
      <c r="E18" s="46" t="s">
        <v>121</v>
      </c>
      <c r="F18" s="46"/>
      <c r="N18" s="29"/>
    </row>
    <row r="19" spans="1:15">
      <c r="A19" s="24" t="s">
        <v>102</v>
      </c>
      <c r="B19" s="28">
        <f>SUM(C13:L13)</f>
        <v>10480.111362967902</v>
      </c>
      <c r="E19" s="43" t="s">
        <v>122</v>
      </c>
      <c r="F19" s="43" t="s">
        <v>123</v>
      </c>
      <c r="M19" s="30"/>
      <c r="O19" s="29"/>
    </row>
    <row r="20" spans="1:15">
      <c r="A20" s="24" t="s">
        <v>103</v>
      </c>
      <c r="B20" s="28">
        <f>B18+B19</f>
        <v>28483.756137707078</v>
      </c>
      <c r="E20" s="43" t="s">
        <v>130</v>
      </c>
      <c r="F20" s="45">
        <v>234</v>
      </c>
    </row>
    <row r="21" spans="1:15">
      <c r="A21" s="24" t="s">
        <v>104</v>
      </c>
      <c r="B21" s="13" t="e">
        <f>Biotech!#REF!</f>
        <v>#REF!</v>
      </c>
      <c r="E21" s="49">
        <v>0.01</v>
      </c>
      <c r="F21" s="45" t="s">
        <v>129</v>
      </c>
      <c r="J21" s="31"/>
    </row>
    <row r="22" spans="1:15">
      <c r="A22" s="24" t="s">
        <v>105</v>
      </c>
      <c r="B22" s="13">
        <f>Biotech!I6</f>
        <v>155</v>
      </c>
      <c r="E22" s="49"/>
      <c r="F22" s="45"/>
    </row>
    <row r="23" spans="1:15">
      <c r="A23" s="24" t="s">
        <v>106</v>
      </c>
      <c r="B23" s="13">
        <f>Biotech!J6</f>
        <v>2262</v>
      </c>
      <c r="E23" s="43"/>
      <c r="F23" s="45"/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447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10</v>
      </c>
      <c r="D31" s="37">
        <v>10</v>
      </c>
      <c r="E31" s="37">
        <v>10</v>
      </c>
      <c r="F31" s="37">
        <v>10</v>
      </c>
      <c r="G31" s="37">
        <v>5</v>
      </c>
      <c r="H31" s="37">
        <v>5</v>
      </c>
      <c r="I31" s="37">
        <v>5</v>
      </c>
      <c r="J31" s="37">
        <v>5</v>
      </c>
      <c r="K31" s="37">
        <v>5</v>
      </c>
      <c r="L31" s="37">
        <v>5</v>
      </c>
      <c r="M31" s="21"/>
    </row>
    <row r="32" spans="1:15" s="16" customFormat="1">
      <c r="A32" s="38" t="s">
        <v>116</v>
      </c>
      <c r="B32" s="39">
        <f>Biotech!M6</f>
        <v>3640.5</v>
      </c>
      <c r="C32" s="18">
        <f t="shared" ref="C32:L32" si="7">B32+C8</f>
        <v>3862.1550000000002</v>
      </c>
      <c r="D32" s="18">
        <f t="shared" si="7"/>
        <v>4144.2901500000007</v>
      </c>
      <c r="E32" s="18">
        <f t="shared" si="7"/>
        <v>4485.4171950000009</v>
      </c>
      <c r="F32" s="18">
        <f t="shared" si="7"/>
        <v>4884.5358376500008</v>
      </c>
      <c r="G32" s="18">
        <f t="shared" si="7"/>
        <v>5785.6570397220003</v>
      </c>
      <c r="H32" s="18">
        <f t="shared" si="7"/>
        <v>6716.8156151964004</v>
      </c>
      <c r="I32" s="18">
        <f t="shared" si="7"/>
        <v>7554.8583331233594</v>
      </c>
      <c r="J32" s="18">
        <f t="shared" si="7"/>
        <v>8197.3577502006956</v>
      </c>
      <c r="K32" s="18">
        <f t="shared" si="7"/>
        <v>8762.7572372287505</v>
      </c>
      <c r="L32" s="18">
        <f t="shared" si="7"/>
        <v>9297.0597524702625</v>
      </c>
      <c r="M32" s="18"/>
    </row>
    <row r="33" spans="1:13">
      <c r="A33" s="24" t="s">
        <v>117</v>
      </c>
      <c r="B33" s="9">
        <f>Biotech!N6</f>
        <v>21.07</v>
      </c>
      <c r="C33" s="40">
        <f t="shared" ref="C33:L33" si="8">C7/C32</f>
        <v>0.24793142688473147</v>
      </c>
      <c r="D33" s="40">
        <f t="shared" si="8"/>
        <v>0.30730014596106403</v>
      </c>
      <c r="E33" s="40">
        <f t="shared" si="8"/>
        <v>0.36910797511668253</v>
      </c>
      <c r="F33" s="40">
        <f t="shared" si="8"/>
        <v>0.43046385737638276</v>
      </c>
      <c r="G33" s="40">
        <f t="shared" si="8"/>
        <v>0.45063922618088637</v>
      </c>
      <c r="H33" s="40">
        <f t="shared" si="8"/>
        <v>0.46580001489329276</v>
      </c>
      <c r="I33" s="40">
        <f t="shared" si="8"/>
        <v>0.47624939833194513</v>
      </c>
      <c r="J33" s="40">
        <f t="shared" si="8"/>
        <v>0.48281367360104432</v>
      </c>
      <c r="K33" s="40">
        <f t="shared" si="8"/>
        <v>0.48779396783607576</v>
      </c>
      <c r="L33" s="41">
        <f t="shared" si="8"/>
        <v>0.49194365231998405</v>
      </c>
      <c r="M33" s="40">
        <v>0.11</v>
      </c>
    </row>
    <row r="34" spans="1:13">
      <c r="A34" s="6" t="s">
        <v>118</v>
      </c>
      <c r="C34" s="42">
        <f>C8/C7</f>
        <v>0.23148148148148159</v>
      </c>
      <c r="D34" s="42">
        <f t="shared" ref="D34:L34" si="9">D8/D7</f>
        <v>0.2215359828141783</v>
      </c>
      <c r="E34" s="42">
        <f t="shared" si="9"/>
        <v>0.20604395604395612</v>
      </c>
      <c r="F34" s="42">
        <f t="shared" si="9"/>
        <v>0.18982002249718782</v>
      </c>
      <c r="G34" s="42">
        <f t="shared" si="9"/>
        <v>0.34562211981566815</v>
      </c>
      <c r="H34" s="42">
        <f t="shared" si="9"/>
        <v>0.29761904761904767</v>
      </c>
      <c r="I34" s="42">
        <f t="shared" si="9"/>
        <v>0.23291925465838492</v>
      </c>
      <c r="J34" s="42">
        <f t="shared" si="9"/>
        <v>0.16233766233766234</v>
      </c>
      <c r="K34" s="42">
        <f t="shared" si="9"/>
        <v>0.13227513227513224</v>
      </c>
      <c r="L34" s="42">
        <f t="shared" si="9"/>
        <v>0.11682242990654203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D45-524C-7B45-97D5-95787AC54ECB}">
  <sheetPr>
    <tabColor rgb="FF00B050"/>
  </sheetPr>
  <dimension ref="A1:O34"/>
  <sheetViews>
    <sheetView zoomScale="140" workbookViewId="0">
      <selection activeCell="B21" sqref="B21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0.18</v>
      </c>
      <c r="D3" s="5">
        <v>0.16</v>
      </c>
      <c r="E3" s="5">
        <v>0.14000000000000001</v>
      </c>
      <c r="F3" s="5">
        <v>0.12</v>
      </c>
      <c r="G3" s="5">
        <v>0.1</v>
      </c>
      <c r="H3" s="5">
        <v>0.09</v>
      </c>
      <c r="I3" s="5">
        <v>0.08</v>
      </c>
      <c r="J3" s="5">
        <v>7.0000000000000007E-2</v>
      </c>
      <c r="K3" s="5">
        <v>0.06</v>
      </c>
      <c r="L3" s="5">
        <v>0.05</v>
      </c>
      <c r="M3" s="5">
        <v>0.05</v>
      </c>
    </row>
    <row r="4" spans="1:14" ht="15" customHeight="1">
      <c r="A4" s="6" t="s">
        <v>89</v>
      </c>
      <c r="B4" s="7">
        <f>Biotech!F2</f>
        <v>1562120</v>
      </c>
      <c r="C4" s="8">
        <f>B4*(1+C3)</f>
        <v>1843301.5999999999</v>
      </c>
      <c r="D4" s="8">
        <f>C4*(1+D3)</f>
        <v>2138229.8559999997</v>
      </c>
      <c r="E4" s="8">
        <f t="shared" ref="E4:M4" si="0">D4*(1+E3)</f>
        <v>2437582.03584</v>
      </c>
      <c r="F4" s="8">
        <f t="shared" si="0"/>
        <v>2730091.8801408005</v>
      </c>
      <c r="G4" s="8">
        <f t="shared" si="0"/>
        <v>3003101.0681548808</v>
      </c>
      <c r="H4" s="8">
        <f t="shared" si="0"/>
        <v>3273380.1642888202</v>
      </c>
      <c r="I4" s="8">
        <f t="shared" si="0"/>
        <v>3535250.577431926</v>
      </c>
      <c r="J4" s="8">
        <f t="shared" si="0"/>
        <v>3782718.1178521612</v>
      </c>
      <c r="K4" s="8">
        <f t="shared" si="0"/>
        <v>4009681.2049232912</v>
      </c>
      <c r="L4" s="8">
        <f t="shared" si="0"/>
        <v>4210165.2651694557</v>
      </c>
      <c r="M4" s="8">
        <f t="shared" si="0"/>
        <v>4420673.5284279287</v>
      </c>
    </row>
    <row r="5" spans="1:14" ht="15" customHeight="1">
      <c r="A5" s="6" t="s">
        <v>90</v>
      </c>
      <c r="B5" s="9">
        <f>Biotech!O2</f>
        <v>16.600000000000001</v>
      </c>
      <c r="C5" s="10">
        <v>0.16</v>
      </c>
      <c r="D5" s="10">
        <v>0.16</v>
      </c>
      <c r="E5" s="10">
        <v>0.16</v>
      </c>
      <c r="F5" s="10">
        <v>0.16</v>
      </c>
      <c r="G5" s="10">
        <v>0.16</v>
      </c>
      <c r="H5" s="10">
        <v>0.16</v>
      </c>
      <c r="I5" s="10">
        <v>0.16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>
        <f>B4*B5</f>
        <v>25931192.000000004</v>
      </c>
      <c r="C6" s="8">
        <f>C5*C4</f>
        <v>294928.25599999999</v>
      </c>
      <c r="D6" s="8">
        <f t="shared" ref="D6:M6" si="1">D5*D4</f>
        <v>342116.77695999993</v>
      </c>
      <c r="E6" s="8">
        <f t="shared" si="1"/>
        <v>390013.1257344</v>
      </c>
      <c r="F6" s="8">
        <f t="shared" si="1"/>
        <v>436814.7008225281</v>
      </c>
      <c r="G6" s="8">
        <f t="shared" si="1"/>
        <v>480496.17090478091</v>
      </c>
      <c r="H6" s="8">
        <f t="shared" si="1"/>
        <v>523740.82628621126</v>
      </c>
      <c r="I6" s="8">
        <f t="shared" si="1"/>
        <v>565640.09238910815</v>
      </c>
      <c r="J6" s="8">
        <f t="shared" si="1"/>
        <v>605234.8988563458</v>
      </c>
      <c r="K6" s="8">
        <f t="shared" si="1"/>
        <v>641548.99278772657</v>
      </c>
      <c r="L6" s="8">
        <f t="shared" si="1"/>
        <v>673626.44242711295</v>
      </c>
      <c r="M6" s="11">
        <f t="shared" si="1"/>
        <v>707307.76454846864</v>
      </c>
      <c r="N6" s="12">
        <f>M6-B6</f>
        <v>-25223884.235451534</v>
      </c>
    </row>
    <row r="7" spans="1:14" ht="15" customHeight="1">
      <c r="A7" s="6" t="s">
        <v>92</v>
      </c>
      <c r="B7" s="13">
        <f>B6*0.7</f>
        <v>18151834.400000002</v>
      </c>
      <c r="C7" s="14">
        <f>C6*0.7</f>
        <v>206449.77919999999</v>
      </c>
      <c r="D7" s="15">
        <f>D6*0.7</f>
        <v>239481.74387199993</v>
      </c>
      <c r="E7" s="14">
        <f t="shared" ref="E7:L7" si="2">E6*0.7</f>
        <v>273009.18801407999</v>
      </c>
      <c r="F7" s="15">
        <f t="shared" si="2"/>
        <v>305770.29057576967</v>
      </c>
      <c r="G7" s="14">
        <f t="shared" si="2"/>
        <v>336347.31963334663</v>
      </c>
      <c r="H7" s="15">
        <f t="shared" si="2"/>
        <v>366618.57840034785</v>
      </c>
      <c r="I7" s="14">
        <f t="shared" si="2"/>
        <v>395948.06467237568</v>
      </c>
      <c r="J7" s="15">
        <f t="shared" si="2"/>
        <v>423664.42919944203</v>
      </c>
      <c r="K7" s="14">
        <f t="shared" si="2"/>
        <v>449084.29495140858</v>
      </c>
      <c r="L7" s="15">
        <f t="shared" si="2"/>
        <v>471538.50969897903</v>
      </c>
      <c r="M7" s="14">
        <f>M6*0.7</f>
        <v>495115.435183928</v>
      </c>
      <c r="N7" s="16"/>
    </row>
    <row r="8" spans="1:14" ht="15" customHeight="1">
      <c r="A8" s="6" t="s">
        <v>93</v>
      </c>
      <c r="B8" s="17"/>
      <c r="C8" s="14">
        <f>IF(C4&gt;B4,(C4-B4)/C31,0)</f>
        <v>28118.159999999985</v>
      </c>
      <c r="D8" s="14">
        <f t="shared" ref="D8:L8" si="3">(D4-C4)/D31</f>
        <v>29492.825599999982</v>
      </c>
      <c r="E8" s="14">
        <f t="shared" si="3"/>
        <v>29935.217984000035</v>
      </c>
      <c r="F8" s="14">
        <f t="shared" si="3"/>
        <v>29250.984430080047</v>
      </c>
      <c r="G8" s="14">
        <f t="shared" si="3"/>
        <v>27300.918801408028</v>
      </c>
      <c r="H8" s="14">
        <f t="shared" si="3"/>
        <v>27027.909613393946</v>
      </c>
      <c r="I8" s="14">
        <f t="shared" si="3"/>
        <v>26187.04131431058</v>
      </c>
      <c r="J8" s="14">
        <f t="shared" si="3"/>
        <v>24746.754042023513</v>
      </c>
      <c r="K8" s="14">
        <f t="shared" si="3"/>
        <v>22696.308707113007</v>
      </c>
      <c r="L8" s="14">
        <f t="shared" si="3"/>
        <v>20048.406024616444</v>
      </c>
      <c r="M8" s="18">
        <f>IF(M3&gt;0,(M3/M33)*M7,0)</f>
        <v>225052.47053814912</v>
      </c>
      <c r="N8" s="19">
        <f>SUM(C8:M8)</f>
        <v>489856.99705509469</v>
      </c>
    </row>
    <row r="9" spans="1:14" ht="15" customHeight="1">
      <c r="A9" s="6" t="s">
        <v>94</v>
      </c>
      <c r="B9" s="17"/>
      <c r="C9" s="14">
        <f t="shared" ref="C9:L9" si="4">C7-C8</f>
        <v>178331.61920000002</v>
      </c>
      <c r="D9" s="14">
        <f t="shared" si="4"/>
        <v>209988.91827199995</v>
      </c>
      <c r="E9" s="14">
        <f t="shared" si="4"/>
        <v>243073.97003007994</v>
      </c>
      <c r="F9" s="14">
        <f t="shared" si="4"/>
        <v>276519.30614568962</v>
      </c>
      <c r="G9" s="14">
        <f t="shared" si="4"/>
        <v>309046.4008319386</v>
      </c>
      <c r="H9" s="14">
        <f t="shared" si="4"/>
        <v>339590.6687869539</v>
      </c>
      <c r="I9" s="14">
        <f t="shared" si="4"/>
        <v>369761.02335806511</v>
      </c>
      <c r="J9" s="14">
        <f t="shared" si="4"/>
        <v>398917.67515741853</v>
      </c>
      <c r="K9" s="14">
        <f t="shared" si="4"/>
        <v>426387.98624429555</v>
      </c>
      <c r="L9" s="14">
        <f t="shared" si="4"/>
        <v>451490.10367436259</v>
      </c>
      <c r="M9" s="18">
        <f>M7-M8</f>
        <v>270062.96464577888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f>Biotech!T2</f>
        <v>9.8000000000000007</v>
      </c>
      <c r="C11" s="10">
        <v>9.7000000000000003E-2</v>
      </c>
      <c r="D11" s="10">
        <v>9.7000000000000003E-2</v>
      </c>
      <c r="E11" s="10">
        <v>9.7000000000000003E-2</v>
      </c>
      <c r="F11" s="10">
        <v>9.7000000000000003E-2</v>
      </c>
      <c r="G11" s="10">
        <v>9.7000000000000003E-2</v>
      </c>
      <c r="H11" s="10">
        <v>9.7000000000000003E-2</v>
      </c>
      <c r="I11" s="10">
        <v>9.7000000000000003E-2</v>
      </c>
      <c r="J11" s="10">
        <v>9.7000000000000003E-2</v>
      </c>
      <c r="K11" s="10">
        <v>9.7000000000000003E-2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0.91157702825888787</v>
      </c>
      <c r="D12" s="22">
        <f>C12*(1/(1+D11))</f>
        <v>0.83097267844930522</v>
      </c>
      <c r="E12" s="22">
        <f t="shared" ref="E12:L12" si="5">D12*(1/(1+E11))</f>
        <v>0.7574956047851461</v>
      </c>
      <c r="F12" s="22">
        <f t="shared" si="5"/>
        <v>0.69051559232921245</v>
      </c>
      <c r="G12" s="22">
        <f t="shared" si="5"/>
        <v>0.62945815162188923</v>
      </c>
      <c r="H12" s="22">
        <f t="shared" si="5"/>
        <v>0.57379959126881419</v>
      </c>
      <c r="I12" s="22">
        <f t="shared" si="5"/>
        <v>0.52306252622499017</v>
      </c>
      <c r="J12" s="22">
        <f t="shared" si="5"/>
        <v>0.47681178324976314</v>
      </c>
      <c r="K12" s="22">
        <f t="shared" si="5"/>
        <v>0.43465066841364003</v>
      </c>
      <c r="L12" s="22">
        <f t="shared" si="5"/>
        <v>0.39621756464324526</v>
      </c>
      <c r="M12" s="21"/>
    </row>
    <row r="13" spans="1:14" ht="15" customHeight="1">
      <c r="A13" s="6" t="s">
        <v>97</v>
      </c>
      <c r="B13" s="20"/>
      <c r="C13" s="23">
        <f t="shared" ref="C13:L13" si="6">C9*C12</f>
        <v>162563.00747493166</v>
      </c>
      <c r="D13" s="23">
        <f t="shared" si="6"/>
        <v>174495.05386115605</v>
      </c>
      <c r="E13" s="23">
        <f t="shared" si="6"/>
        <v>184127.46393546188</v>
      </c>
      <c r="F13" s="23">
        <f t="shared" si="6"/>
        <v>190940.89247365372</v>
      </c>
      <c r="G13" s="23">
        <f t="shared" si="6"/>
        <v>194531.77623306957</v>
      </c>
      <c r="H13" s="23">
        <f t="shared" si="6"/>
        <v>194856.9869486574</v>
      </c>
      <c r="I13" s="23">
        <f t="shared" si="6"/>
        <v>193408.13497720714</v>
      </c>
      <c r="J13" s="23">
        <f t="shared" si="6"/>
        <v>190208.64806165846</v>
      </c>
      <c r="K13" s="23">
        <f t="shared" si="6"/>
        <v>185329.82322462901</v>
      </c>
      <c r="L13" s="23">
        <f t="shared" si="6"/>
        <v>178888.30933838227</v>
      </c>
      <c r="M13" s="21"/>
    </row>
    <row r="14" spans="1:14" ht="15" customHeight="1"/>
    <row r="15" spans="1:14" ht="15" customHeight="1">
      <c r="A15" s="24" t="s">
        <v>98</v>
      </c>
      <c r="B15" s="17">
        <f>M9</f>
        <v>270062.96464577888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>
        <f>B15/(B16-M3)</f>
        <v>5746020.5243782736</v>
      </c>
      <c r="D17" s="27"/>
    </row>
    <row r="18" spans="1:15">
      <c r="A18" s="24" t="s">
        <v>101</v>
      </c>
      <c r="B18" s="28">
        <f>B17*L12</f>
        <v>2276674.2585592628</v>
      </c>
      <c r="N18" s="29"/>
    </row>
    <row r="19" spans="1:15">
      <c r="A19" s="24" t="s">
        <v>102</v>
      </c>
      <c r="B19" s="28">
        <f>SUM(C13:L13)</f>
        <v>1849350.096528807</v>
      </c>
      <c r="M19" s="30"/>
      <c r="O19" s="29"/>
    </row>
    <row r="20" spans="1:15">
      <c r="A20" s="24" t="s">
        <v>103</v>
      </c>
      <c r="B20" s="28">
        <f>B18+B19</f>
        <v>4126024.35508807</v>
      </c>
    </row>
    <row r="21" spans="1:15">
      <c r="A21" s="24" t="s">
        <v>104</v>
      </c>
      <c r="B21" s="13" t="e">
        <f>Biotech!#REF!</f>
        <v>#REF!</v>
      </c>
      <c r="J21" s="31"/>
    </row>
    <row r="22" spans="1:15">
      <c r="A22" s="24" t="s">
        <v>105</v>
      </c>
      <c r="B22" s="13">
        <f>Biotech!I2</f>
        <v>123360</v>
      </c>
    </row>
    <row r="23" spans="1:15">
      <c r="A23" s="24" t="s">
        <v>106</v>
      </c>
      <c r="B23" s="13">
        <f>Biotech!J2</f>
        <v>4089150</v>
      </c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382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10</v>
      </c>
      <c r="D31" s="37">
        <v>10</v>
      </c>
      <c r="E31" s="37">
        <v>10</v>
      </c>
      <c r="F31" s="37">
        <v>10</v>
      </c>
      <c r="G31" s="37">
        <v>10</v>
      </c>
      <c r="H31" s="37">
        <v>10</v>
      </c>
      <c r="I31" s="37">
        <v>10</v>
      </c>
      <c r="J31" s="37">
        <v>10</v>
      </c>
      <c r="K31" s="37">
        <v>10</v>
      </c>
      <c r="L31" s="37">
        <v>10</v>
      </c>
      <c r="M31" s="21"/>
    </row>
    <row r="32" spans="1:15" s="16" customFormat="1">
      <c r="A32" s="38" t="s">
        <v>116</v>
      </c>
      <c r="B32" s="39">
        <f>Biotech!M2</f>
        <v>4227550</v>
      </c>
      <c r="C32" s="18">
        <f t="shared" ref="C32:L32" si="7">B32+C8</f>
        <v>4255668.16</v>
      </c>
      <c r="D32" s="18">
        <f t="shared" si="7"/>
        <v>4285160.9856000002</v>
      </c>
      <c r="E32" s="18">
        <f t="shared" si="7"/>
        <v>4315096.2035840005</v>
      </c>
      <c r="F32" s="18">
        <f t="shared" si="7"/>
        <v>4344347.1880140807</v>
      </c>
      <c r="G32" s="18">
        <f t="shared" si="7"/>
        <v>4371648.106815489</v>
      </c>
      <c r="H32" s="18">
        <f t="shared" si="7"/>
        <v>4398676.0164288832</v>
      </c>
      <c r="I32" s="18">
        <f t="shared" si="7"/>
        <v>4424863.0577431936</v>
      </c>
      <c r="J32" s="18">
        <f t="shared" si="7"/>
        <v>4449609.8117852174</v>
      </c>
      <c r="K32" s="18">
        <f t="shared" si="7"/>
        <v>4472306.1204923308</v>
      </c>
      <c r="L32" s="18">
        <f t="shared" si="7"/>
        <v>4492354.526516947</v>
      </c>
      <c r="M32" s="18"/>
    </row>
    <row r="33" spans="1:13">
      <c r="A33" s="24" t="s">
        <v>117</v>
      </c>
      <c r="B33" s="9">
        <f>Biotech!N2</f>
        <v>4.3099999999999996</v>
      </c>
      <c r="C33" s="40">
        <f t="shared" ref="C33:L33" si="8">C7/C32</f>
        <v>4.8511719297211368E-2</v>
      </c>
      <c r="D33" s="40">
        <f t="shared" si="8"/>
        <v>5.5886288677779547E-2</v>
      </c>
      <c r="E33" s="40">
        <f t="shared" si="8"/>
        <v>6.3268389656602808E-2</v>
      </c>
      <c r="F33" s="40">
        <f t="shared" si="8"/>
        <v>7.0383483948838255E-2</v>
      </c>
      <c r="G33" s="40">
        <f t="shared" si="8"/>
        <v>7.6938333419145577E-2</v>
      </c>
      <c r="H33" s="40">
        <f t="shared" si="8"/>
        <v>8.3347483886297091E-2</v>
      </c>
      <c r="I33" s="40">
        <f t="shared" si="8"/>
        <v>8.9482557879276045E-2</v>
      </c>
      <c r="J33" s="40">
        <f t="shared" si="8"/>
        <v>9.5213838318435523E-2</v>
      </c>
      <c r="K33" s="40">
        <f t="shared" si="8"/>
        <v>0.10041448032675622</v>
      </c>
      <c r="L33" s="41">
        <f t="shared" si="8"/>
        <v>0.10496466984420674</v>
      </c>
      <c r="M33" s="40">
        <v>0.11</v>
      </c>
    </row>
    <row r="34" spans="1:13">
      <c r="A34" s="6" t="s">
        <v>118</v>
      </c>
      <c r="C34" s="42">
        <f>C8/C7</f>
        <v>0.13619854721549629</v>
      </c>
      <c r="D34" s="42">
        <f t="shared" ref="D34:L34" si="9">D8/D7</f>
        <v>0.12315270935960587</v>
      </c>
      <c r="E34" s="42">
        <f t="shared" si="9"/>
        <v>0.10964912280701768</v>
      </c>
      <c r="F34" s="42">
        <f t="shared" si="9"/>
        <v>9.5663265306122583E-2</v>
      </c>
      <c r="G34" s="42">
        <f t="shared" si="9"/>
        <v>8.1168831168831237E-2</v>
      </c>
      <c r="H34" s="42">
        <f t="shared" si="9"/>
        <v>7.3722149410222856E-2</v>
      </c>
      <c r="I34" s="42">
        <f t="shared" si="9"/>
        <v>6.6137566137566189E-2</v>
      </c>
      <c r="J34" s="42">
        <f t="shared" si="9"/>
        <v>5.8411214953271097E-2</v>
      </c>
      <c r="K34" s="42">
        <f t="shared" si="9"/>
        <v>5.0539083557951572E-2</v>
      </c>
      <c r="L34" s="42">
        <f t="shared" si="9"/>
        <v>4.2517006802721066E-2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6C92-5F90-A641-88D3-809DC93DF248}">
  <sheetPr>
    <tabColor rgb="FFFFC000"/>
  </sheetPr>
  <dimension ref="A1:O44"/>
  <sheetViews>
    <sheetView zoomScale="125" workbookViewId="0">
      <selection activeCell="F22" sqref="F22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A1" s="1"/>
      <c r="B1" s="2" t="s">
        <v>86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 t="s">
        <v>87</v>
      </c>
    </row>
    <row r="2" spans="1:14">
      <c r="A2" s="4" t="s">
        <v>88</v>
      </c>
      <c r="B2" s="2"/>
      <c r="C2" s="5">
        <v>0.2</v>
      </c>
      <c r="D2" s="5">
        <v>0.2</v>
      </c>
      <c r="E2" s="5">
        <v>0.15</v>
      </c>
      <c r="F2" s="5">
        <v>0.15</v>
      </c>
      <c r="G2" s="5">
        <v>0.12</v>
      </c>
      <c r="H2" s="5">
        <v>0.1</v>
      </c>
      <c r="I2" s="5">
        <v>0.09</v>
      </c>
      <c r="J2" s="5">
        <v>8.5000000000000006E-2</v>
      </c>
      <c r="K2" s="5">
        <v>0.08</v>
      </c>
      <c r="L2" s="5">
        <v>7.0000000000000007E-2</v>
      </c>
      <c r="M2" s="5">
        <v>0.05</v>
      </c>
    </row>
    <row r="3" spans="1:14" ht="15" customHeight="1">
      <c r="A3" s="6" t="s">
        <v>89</v>
      </c>
      <c r="B3" s="7">
        <f>Biotech!F3</f>
        <v>58490</v>
      </c>
      <c r="C3" s="8">
        <f>B3*(1+C2)</f>
        <v>70188</v>
      </c>
      <c r="D3" s="8">
        <f>C3*(1+D2)</f>
        <v>84225.599999999991</v>
      </c>
      <c r="E3" s="8">
        <f t="shared" ref="E3:M3" si="0">D3*(1+E2)</f>
        <v>96859.439999999988</v>
      </c>
      <c r="F3" s="8">
        <f t="shared" si="0"/>
        <v>111388.35599999997</v>
      </c>
      <c r="G3" s="8">
        <f t="shared" si="0"/>
        <v>124754.95871999998</v>
      </c>
      <c r="H3" s="8">
        <f t="shared" si="0"/>
        <v>137230.45459199999</v>
      </c>
      <c r="I3" s="8">
        <f t="shared" si="0"/>
        <v>149581.19550528002</v>
      </c>
      <c r="J3" s="8">
        <f t="shared" si="0"/>
        <v>162295.59712322883</v>
      </c>
      <c r="K3" s="8">
        <f t="shared" si="0"/>
        <v>175279.24489308713</v>
      </c>
      <c r="L3" s="8">
        <f t="shared" si="0"/>
        <v>187548.79203560326</v>
      </c>
      <c r="M3" s="8">
        <f t="shared" si="0"/>
        <v>196926.23163738343</v>
      </c>
    </row>
    <row r="4" spans="1:14" ht="15" customHeight="1">
      <c r="A4" s="6" t="s">
        <v>90</v>
      </c>
      <c r="B4" s="9">
        <f>Biotech!O3</f>
        <v>0.36</v>
      </c>
      <c r="C4" s="10">
        <v>0.02</v>
      </c>
      <c r="D4" s="10">
        <v>0.05</v>
      </c>
      <c r="E4" s="10">
        <v>0.09</v>
      </c>
      <c r="F4" s="10">
        <v>0.11</v>
      </c>
      <c r="G4" s="10">
        <v>0.13</v>
      </c>
      <c r="H4" s="10">
        <v>0.16</v>
      </c>
      <c r="I4" s="10">
        <v>0.16</v>
      </c>
      <c r="J4" s="10">
        <v>0.16</v>
      </c>
      <c r="K4" s="10">
        <v>0.16</v>
      </c>
      <c r="L4" s="10">
        <v>0.16</v>
      </c>
      <c r="M4" s="5">
        <f>L4</f>
        <v>0.16</v>
      </c>
    </row>
    <row r="5" spans="1:14" ht="15" customHeight="1">
      <c r="A5" s="6" t="s">
        <v>91</v>
      </c>
      <c r="B5" s="7">
        <f>B3*B4</f>
        <v>21056.399999999998</v>
      </c>
      <c r="C5" s="8">
        <f>C4*C3</f>
        <v>1403.76</v>
      </c>
      <c r="D5" s="8">
        <f t="shared" ref="D5:M5" si="1">D4*D3</f>
        <v>4211.28</v>
      </c>
      <c r="E5" s="8">
        <f t="shared" si="1"/>
        <v>8717.3495999999977</v>
      </c>
      <c r="F5" s="8">
        <f t="shared" si="1"/>
        <v>12252.719159999997</v>
      </c>
      <c r="G5" s="8">
        <f t="shared" si="1"/>
        <v>16218.144633599997</v>
      </c>
      <c r="H5" s="8">
        <f t="shared" si="1"/>
        <v>21956.87273472</v>
      </c>
      <c r="I5" s="8">
        <f t="shared" si="1"/>
        <v>23932.991280844803</v>
      </c>
      <c r="J5" s="8">
        <f t="shared" si="1"/>
        <v>25967.295539716612</v>
      </c>
      <c r="K5" s="8">
        <f t="shared" si="1"/>
        <v>28044.679182893942</v>
      </c>
      <c r="L5" s="8">
        <f t="shared" si="1"/>
        <v>30007.806725696522</v>
      </c>
      <c r="M5" s="11">
        <f t="shared" si="1"/>
        <v>31508.197061981351</v>
      </c>
      <c r="N5" s="12">
        <f>M5-B5</f>
        <v>10451.797061981353</v>
      </c>
    </row>
    <row r="6" spans="1:14" ht="15" customHeight="1">
      <c r="A6" s="6" t="s">
        <v>92</v>
      </c>
      <c r="B6" s="13">
        <f>B5*0.7</f>
        <v>14739.479999999998</v>
      </c>
      <c r="C6" s="14">
        <f>C5*0.7</f>
        <v>982.63199999999995</v>
      </c>
      <c r="D6" s="15">
        <f>D5*0.7</f>
        <v>2947.8959999999997</v>
      </c>
      <c r="E6" s="14">
        <f t="shared" ref="E6:L6" si="2">E5*0.7</f>
        <v>6102.1447199999984</v>
      </c>
      <c r="F6" s="15">
        <f t="shared" si="2"/>
        <v>8576.9034119999978</v>
      </c>
      <c r="G6" s="14">
        <f t="shared" si="2"/>
        <v>11352.701243519998</v>
      </c>
      <c r="H6" s="15">
        <f t="shared" si="2"/>
        <v>15369.810914303998</v>
      </c>
      <c r="I6" s="14">
        <f t="shared" si="2"/>
        <v>16753.093896591359</v>
      </c>
      <c r="J6" s="15">
        <f t="shared" si="2"/>
        <v>18177.106877801627</v>
      </c>
      <c r="K6" s="14">
        <f t="shared" si="2"/>
        <v>19631.275428025758</v>
      </c>
      <c r="L6" s="15">
        <f t="shared" si="2"/>
        <v>21005.464707987565</v>
      </c>
      <c r="M6" s="14">
        <f>M5*0.7</f>
        <v>22055.737943386943</v>
      </c>
      <c r="N6" s="16"/>
    </row>
    <row r="7" spans="1:14" ht="15" customHeight="1">
      <c r="A7" s="6" t="s">
        <v>93</v>
      </c>
      <c r="B7" s="17"/>
      <c r="C7" s="14">
        <f>IF(C3&gt;B3,(C3-B3)/C30,0)</f>
        <v>1462.25</v>
      </c>
      <c r="D7" s="14">
        <f t="shared" ref="D7:L7" si="3">(D3-C3)/D30</f>
        <v>1754.6999999999989</v>
      </c>
      <c r="E7" s="14">
        <f t="shared" si="3"/>
        <v>1579.2299999999996</v>
      </c>
      <c r="F7" s="14">
        <f t="shared" si="3"/>
        <v>1816.1144999999979</v>
      </c>
      <c r="G7" s="14">
        <f t="shared" si="3"/>
        <v>1670.8253400000012</v>
      </c>
      <c r="H7" s="14">
        <f t="shared" si="3"/>
        <v>1559.4369840000018</v>
      </c>
      <c r="I7" s="14">
        <f t="shared" si="3"/>
        <v>1543.842614160003</v>
      </c>
      <c r="J7" s="14">
        <f t="shared" si="3"/>
        <v>1589.3002022436012</v>
      </c>
      <c r="K7" s="14">
        <f t="shared" si="3"/>
        <v>1622.955971232288</v>
      </c>
      <c r="L7" s="14">
        <f t="shared" si="3"/>
        <v>1533.6933928145154</v>
      </c>
      <c r="M7" s="18">
        <f>IF(M2&gt;0,(M2/M32)*M6,0)</f>
        <v>10025.335428812248</v>
      </c>
      <c r="N7" s="19">
        <f>SUM(C7:M7)</f>
        <v>26157.684433262657</v>
      </c>
    </row>
    <row r="8" spans="1:14" ht="15" customHeight="1">
      <c r="A8" s="6" t="s">
        <v>94</v>
      </c>
      <c r="B8" s="17"/>
      <c r="C8" s="14">
        <f t="shared" ref="C8:L8" si="4">C6-C7</f>
        <v>-479.61800000000005</v>
      </c>
      <c r="D8" s="14">
        <f t="shared" si="4"/>
        <v>1193.1960000000008</v>
      </c>
      <c r="E8" s="14">
        <f t="shared" si="4"/>
        <v>4522.9147199999989</v>
      </c>
      <c r="F8" s="14">
        <f t="shared" si="4"/>
        <v>6760.788912</v>
      </c>
      <c r="G8" s="14">
        <f t="shared" si="4"/>
        <v>9681.8759035199964</v>
      </c>
      <c r="H8" s="14">
        <f t="shared" si="4"/>
        <v>13810.373930303997</v>
      </c>
      <c r="I8" s="14">
        <f t="shared" si="4"/>
        <v>15209.251282431356</v>
      </c>
      <c r="J8" s="14">
        <f t="shared" si="4"/>
        <v>16587.806675558026</v>
      </c>
      <c r="K8" s="14">
        <f t="shared" si="4"/>
        <v>18008.31945679347</v>
      </c>
      <c r="L8" s="14">
        <f t="shared" si="4"/>
        <v>19471.77131517305</v>
      </c>
      <c r="M8" s="18">
        <f>M6-M7</f>
        <v>12030.402514574695</v>
      </c>
      <c r="N8" s="16"/>
    </row>
    <row r="9" spans="1:14" ht="15" customHeight="1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ht="15" customHeight="1">
      <c r="A10" s="6" t="s">
        <v>95</v>
      </c>
      <c r="B10" s="9">
        <f>Biotech!T3</f>
        <v>11.6</v>
      </c>
      <c r="C10" s="10">
        <v>0.115</v>
      </c>
      <c r="D10" s="10">
        <v>0.115</v>
      </c>
      <c r="E10" s="10">
        <v>0.11</v>
      </c>
      <c r="F10" s="10">
        <v>0.11</v>
      </c>
      <c r="G10" s="10">
        <v>0.105</v>
      </c>
      <c r="H10" s="10">
        <v>0.105</v>
      </c>
      <c r="I10" s="10">
        <v>0.1</v>
      </c>
      <c r="J10" s="10">
        <v>0.1</v>
      </c>
      <c r="K10" s="10">
        <v>9.7000000000000003E-2</v>
      </c>
      <c r="L10" s="10">
        <v>9.7000000000000003E-2</v>
      </c>
      <c r="M10" s="5">
        <v>9.7000000000000003E-2</v>
      </c>
    </row>
    <row r="11" spans="1:14" ht="15" customHeight="1">
      <c r="A11" s="6" t="s">
        <v>96</v>
      </c>
      <c r="B11" s="20"/>
      <c r="C11" s="22">
        <f>1/(1+C10)</f>
        <v>0.89686098654708524</v>
      </c>
      <c r="D11" s="22">
        <f>C11*(1/(1+D10))</f>
        <v>0.80435962919021098</v>
      </c>
      <c r="E11" s="22">
        <f t="shared" ref="E11:L11" si="5">D11*(1/(1+E10))</f>
        <v>0.72464831458577561</v>
      </c>
      <c r="F11" s="22">
        <f t="shared" si="5"/>
        <v>0.65283631944664466</v>
      </c>
      <c r="G11" s="22">
        <f t="shared" si="5"/>
        <v>0.59080209904673731</v>
      </c>
      <c r="H11" s="22">
        <f t="shared" si="5"/>
        <v>0.53466253307397038</v>
      </c>
      <c r="I11" s="22">
        <f t="shared" si="5"/>
        <v>0.48605684824906398</v>
      </c>
      <c r="J11" s="22">
        <f t="shared" si="5"/>
        <v>0.4418698620446036</v>
      </c>
      <c r="K11" s="22">
        <f t="shared" si="5"/>
        <v>0.40279841571978448</v>
      </c>
      <c r="L11" s="22">
        <f t="shared" si="5"/>
        <v>0.36718178278922925</v>
      </c>
      <c r="M11" s="21"/>
    </row>
    <row r="12" spans="1:14" ht="15" customHeight="1">
      <c r="A12" s="6" t="s">
        <v>97</v>
      </c>
      <c r="B12" s="20"/>
      <c r="C12" s="23">
        <f t="shared" ref="C12:L12" si="6">C8*C11</f>
        <v>-430.15067264573997</v>
      </c>
      <c r="D12" s="23">
        <f t="shared" si="6"/>
        <v>959.75869211124359</v>
      </c>
      <c r="E12" s="23">
        <f t="shared" si="6"/>
        <v>3277.5225288631946</v>
      </c>
      <c r="F12" s="23">
        <f t="shared" si="6"/>
        <v>4413.6885498657648</v>
      </c>
      <c r="G12" s="23">
        <f t="shared" si="6"/>
        <v>5720.0726065096405</v>
      </c>
      <c r="H12" s="23">
        <f t="shared" si="6"/>
        <v>7383.8895082750587</v>
      </c>
      <c r="I12" s="23">
        <f t="shared" si="6"/>
        <v>7392.5607425666194</v>
      </c>
      <c r="J12" s="23">
        <f t="shared" si="6"/>
        <v>7329.6518473513797</v>
      </c>
      <c r="K12" s="23">
        <f t="shared" si="6"/>
        <v>7253.7225469721798</v>
      </c>
      <c r="L12" s="23">
        <f t="shared" si="6"/>
        <v>7149.6797055694151</v>
      </c>
      <c r="M12" s="21"/>
    </row>
    <row r="13" spans="1:14" ht="15" customHeight="1"/>
    <row r="14" spans="1:14" ht="15" customHeight="1">
      <c r="A14" s="24" t="s">
        <v>98</v>
      </c>
      <c r="B14" s="17">
        <f>M8</f>
        <v>12030.402514574695</v>
      </c>
    </row>
    <row r="15" spans="1:14" ht="15" customHeight="1">
      <c r="A15" s="24" t="s">
        <v>99</v>
      </c>
      <c r="B15" s="25">
        <f>M10</f>
        <v>9.7000000000000003E-2</v>
      </c>
    </row>
    <row r="16" spans="1:14">
      <c r="A16" s="24" t="s">
        <v>100</v>
      </c>
      <c r="B16" s="26">
        <f>B14/(B15-M2)</f>
        <v>255966.01094839774</v>
      </c>
      <c r="D16" s="27"/>
      <c r="E16" s="46" t="s">
        <v>121</v>
      </c>
      <c r="F16" s="46"/>
    </row>
    <row r="17" spans="1:15">
      <c r="A17" s="24" t="s">
        <v>101</v>
      </c>
      <c r="B17" s="28">
        <f>B16*L11</f>
        <v>93986.056233480049</v>
      </c>
      <c r="E17" s="43" t="s">
        <v>122</v>
      </c>
      <c r="F17" s="43" t="s">
        <v>123</v>
      </c>
      <c r="N17" s="29"/>
    </row>
    <row r="18" spans="1:15">
      <c r="A18" s="24" t="s">
        <v>102</v>
      </c>
      <c r="B18" s="28">
        <f>SUM(C12:L12)</f>
        <v>50450.39605543876</v>
      </c>
      <c r="E18" s="44">
        <v>7.0000000000000007E-2</v>
      </c>
      <c r="F18" s="45">
        <v>446</v>
      </c>
      <c r="M18" s="30"/>
      <c r="O18" s="29"/>
    </row>
    <row r="19" spans="1:15">
      <c r="A19" s="24" t="s">
        <v>103</v>
      </c>
      <c r="B19" s="28">
        <f>B17+B18</f>
        <v>144436.45228891881</v>
      </c>
      <c r="E19" s="44">
        <v>0.1</v>
      </c>
      <c r="F19" s="45">
        <v>600</v>
      </c>
    </row>
    <row r="20" spans="1:15">
      <c r="A20" s="24" t="s">
        <v>104</v>
      </c>
      <c r="B20" s="13" t="e">
        <f>Biotech!#REF!</f>
        <v>#REF!</v>
      </c>
      <c r="E20" s="44">
        <v>0.15</v>
      </c>
      <c r="F20" s="45" t="s">
        <v>125</v>
      </c>
      <c r="J20" s="31"/>
    </row>
    <row r="21" spans="1:15">
      <c r="A21" s="24" t="s">
        <v>105</v>
      </c>
      <c r="B21" s="13">
        <f>Biotech!I3</f>
        <v>4717</v>
      </c>
      <c r="E21" s="43" t="s">
        <v>124</v>
      </c>
      <c r="F21" s="45">
        <v>354</v>
      </c>
    </row>
    <row r="22" spans="1:15">
      <c r="A22" s="24" t="s">
        <v>106</v>
      </c>
      <c r="B22" s="13">
        <f>Biotech!J3</f>
        <v>75549</v>
      </c>
    </row>
    <row r="23" spans="1:15">
      <c r="A23" s="24" t="s">
        <v>107</v>
      </c>
      <c r="B23" s="32" t="e">
        <f>B19-B20+B21+B22</f>
        <v>#REF!</v>
      </c>
      <c r="C23" s="4" t="s">
        <v>108</v>
      </c>
    </row>
    <row r="24" spans="1:15">
      <c r="A24" s="24" t="s">
        <v>109</v>
      </c>
      <c r="B24" s="33" t="e">
        <f>Biotech!#REF!</f>
        <v>#REF!</v>
      </c>
      <c r="C24" s="4" t="s">
        <v>8</v>
      </c>
    </row>
    <row r="25" spans="1:15">
      <c r="A25" s="24" t="s">
        <v>110</v>
      </c>
      <c r="B25" s="34" t="e">
        <f>(B23/B24)/100</f>
        <v>#REF!</v>
      </c>
    </row>
    <row r="26" spans="1:15">
      <c r="A26" s="24" t="s">
        <v>111</v>
      </c>
      <c r="B26" s="7">
        <v>446</v>
      </c>
    </row>
    <row r="27" spans="1:15">
      <c r="A27" s="24" t="s">
        <v>112</v>
      </c>
      <c r="B27" s="35" t="e">
        <f>B26/B25</f>
        <v>#REF!</v>
      </c>
    </row>
    <row r="29" spans="1:15">
      <c r="A29" s="36" t="s">
        <v>113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 t="s">
        <v>114</v>
      </c>
    </row>
    <row r="30" spans="1:15">
      <c r="A30" s="24" t="s">
        <v>115</v>
      </c>
      <c r="B30" s="20"/>
      <c r="C30" s="37">
        <v>8</v>
      </c>
      <c r="D30" s="37">
        <v>8</v>
      </c>
      <c r="E30" s="37">
        <v>8</v>
      </c>
      <c r="F30" s="37">
        <v>8</v>
      </c>
      <c r="G30" s="37">
        <v>8</v>
      </c>
      <c r="H30" s="37">
        <v>8</v>
      </c>
      <c r="I30" s="37">
        <v>8</v>
      </c>
      <c r="J30" s="37">
        <v>8</v>
      </c>
      <c r="K30" s="37">
        <v>8</v>
      </c>
      <c r="L30" s="37">
        <v>8</v>
      </c>
      <c r="M30" s="21"/>
    </row>
    <row r="31" spans="1:15" s="16" customFormat="1">
      <c r="A31" s="38" t="s">
        <v>116</v>
      </c>
      <c r="B31" s="39">
        <f>Biotech!M3</f>
        <v>88464</v>
      </c>
      <c r="C31" s="18">
        <f t="shared" ref="C31:L31" si="7">B31+C7</f>
        <v>89926.25</v>
      </c>
      <c r="D31" s="18">
        <f t="shared" si="7"/>
        <v>91680.95</v>
      </c>
      <c r="E31" s="18">
        <f t="shared" si="7"/>
        <v>93260.18</v>
      </c>
      <c r="F31" s="18">
        <f t="shared" si="7"/>
        <v>95076.294499999989</v>
      </c>
      <c r="G31" s="18">
        <f t="shared" si="7"/>
        <v>96747.119839999985</v>
      </c>
      <c r="H31" s="18">
        <f t="shared" si="7"/>
        <v>98306.556823999985</v>
      </c>
      <c r="I31" s="18">
        <f t="shared" si="7"/>
        <v>99850.399438159991</v>
      </c>
      <c r="J31" s="18">
        <f t="shared" si="7"/>
        <v>101439.69964040359</v>
      </c>
      <c r="K31" s="18">
        <f t="shared" si="7"/>
        <v>103062.65561163588</v>
      </c>
      <c r="L31" s="18">
        <f t="shared" si="7"/>
        <v>104596.3490044504</v>
      </c>
      <c r="M31" s="18"/>
    </row>
    <row r="32" spans="1:15">
      <c r="A32" s="24" t="s">
        <v>117</v>
      </c>
      <c r="B32" s="9">
        <f>Biotech!N3</f>
        <v>0.17</v>
      </c>
      <c r="C32" s="40">
        <f t="shared" ref="C32:L32" si="8">C6/C31</f>
        <v>1.0927087474458237E-2</v>
      </c>
      <c r="D32" s="40">
        <f t="shared" si="8"/>
        <v>3.2153855299274274E-2</v>
      </c>
      <c r="E32" s="40">
        <f t="shared" si="8"/>
        <v>6.5431406201446302E-2</v>
      </c>
      <c r="F32" s="40">
        <f t="shared" si="8"/>
        <v>9.0210745560766456E-2</v>
      </c>
      <c r="G32" s="40">
        <f t="shared" si="8"/>
        <v>0.11734407455534647</v>
      </c>
      <c r="H32" s="40">
        <f t="shared" si="8"/>
        <v>0.15634573532893487</v>
      </c>
      <c r="I32" s="40">
        <f t="shared" si="8"/>
        <v>0.16778194169335292</v>
      </c>
      <c r="J32" s="40">
        <f t="shared" si="8"/>
        <v>0.17919125295360849</v>
      </c>
      <c r="K32" s="40">
        <f t="shared" si="8"/>
        <v>0.19047903735375285</v>
      </c>
      <c r="L32" s="41">
        <f t="shared" si="8"/>
        <v>0.20082407185258272</v>
      </c>
      <c r="M32" s="40">
        <v>0.11</v>
      </c>
    </row>
    <row r="33" spans="1:12">
      <c r="A33" s="6" t="s">
        <v>118</v>
      </c>
      <c r="C33" s="42">
        <f>C7/C6</f>
        <v>1.4880952380952381</v>
      </c>
      <c r="D33" s="42">
        <f t="shared" ref="D33:L33" si="9">D7/D6</f>
        <v>0.5952380952380949</v>
      </c>
      <c r="E33" s="42">
        <f t="shared" si="9"/>
        <v>0.25879917184265011</v>
      </c>
      <c r="F33" s="42">
        <f t="shared" si="9"/>
        <v>0.21174477696216806</v>
      </c>
      <c r="G33" s="42">
        <f t="shared" si="9"/>
        <v>0.14717425431711159</v>
      </c>
      <c r="H33" s="42">
        <f t="shared" si="9"/>
        <v>0.10146103896103909</v>
      </c>
      <c r="I33" s="42">
        <f t="shared" si="9"/>
        <v>9.2152686762778685E-2</v>
      </c>
      <c r="J33" s="42">
        <f t="shared" si="9"/>
        <v>8.7434167215273265E-2</v>
      </c>
      <c r="K33" s="42">
        <f t="shared" si="9"/>
        <v>8.267195767195766E-2</v>
      </c>
      <c r="L33" s="42">
        <f t="shared" si="9"/>
        <v>7.3014018691588911E-2</v>
      </c>
    </row>
    <row r="39" spans="1:12">
      <c r="C39" s="47"/>
      <c r="D39" s="47"/>
    </row>
    <row r="40" spans="1:12">
      <c r="C40" s="3"/>
      <c r="D40" s="3"/>
    </row>
    <row r="41" spans="1:12">
      <c r="C41" s="48"/>
      <c r="D41" s="3"/>
    </row>
    <row r="42" spans="1:12">
      <c r="C42" s="48"/>
      <c r="D42" s="3"/>
    </row>
    <row r="43" spans="1:12">
      <c r="C43" s="48"/>
      <c r="D43" s="3"/>
    </row>
    <row r="44" spans="1:12">
      <c r="C44" s="3"/>
      <c r="D44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49CD-3BA9-AF48-9494-08CFBDDCA7B3}">
  <sheetPr>
    <tabColor rgb="FFFF0000"/>
  </sheetPr>
  <dimension ref="A1:O34"/>
  <sheetViews>
    <sheetView zoomScale="142" workbookViewId="0">
      <selection sqref="A1:XFD1048576"/>
    </sheetView>
  </sheetViews>
  <sheetFormatPr baseColWidth="10" defaultRowHeight="16"/>
  <cols>
    <col min="1" max="1" width="28.6640625" style="6" customWidth="1"/>
    <col min="2" max="2" width="16.6640625" style="6" customWidth="1"/>
    <col min="3" max="6" width="22" style="4" bestFit="1" customWidth="1"/>
    <col min="7" max="12" width="15.83203125" style="4" bestFit="1" customWidth="1"/>
    <col min="13" max="13" width="20.1640625" style="4" customWidth="1"/>
    <col min="14" max="14" width="18.1640625" customWidth="1"/>
  </cols>
  <sheetData>
    <row r="1" spans="1:14">
      <c r="B1" s="6">
        <v>2024</v>
      </c>
      <c r="C1" s="4">
        <v>2025</v>
      </c>
      <c r="D1" s="4">
        <v>2026</v>
      </c>
      <c r="E1" s="4">
        <v>2027</v>
      </c>
      <c r="F1" s="4">
        <v>2028</v>
      </c>
      <c r="G1" s="4">
        <v>2029</v>
      </c>
      <c r="H1" s="4">
        <v>2030</v>
      </c>
      <c r="I1" s="4">
        <v>2031</v>
      </c>
      <c r="J1" s="4">
        <v>2032</v>
      </c>
      <c r="K1" s="4">
        <v>2033</v>
      </c>
      <c r="L1" s="4">
        <v>2034</v>
      </c>
    </row>
    <row r="2" spans="1:14">
      <c r="A2" s="1"/>
      <c r="B2" s="2" t="s">
        <v>86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87</v>
      </c>
    </row>
    <row r="3" spans="1:14">
      <c r="A3" s="4" t="s">
        <v>88</v>
      </c>
      <c r="B3" s="2"/>
      <c r="C3" s="5">
        <v>0.4</v>
      </c>
      <c r="D3" s="5">
        <v>0.35</v>
      </c>
      <c r="E3" s="5">
        <v>0.35</v>
      </c>
      <c r="F3" s="5">
        <v>0.3</v>
      </c>
      <c r="G3" s="5">
        <v>0.32</v>
      </c>
      <c r="H3" s="5">
        <v>0.18</v>
      </c>
      <c r="I3" s="5">
        <v>0.15</v>
      </c>
      <c r="J3" s="5">
        <v>0.1</v>
      </c>
      <c r="K3" s="5">
        <v>0.08</v>
      </c>
      <c r="L3" s="5">
        <v>0.05</v>
      </c>
      <c r="M3" s="5">
        <v>0.05</v>
      </c>
    </row>
    <row r="4" spans="1:14" ht="15" customHeight="1">
      <c r="A4" s="6" t="s">
        <v>89</v>
      </c>
      <c r="B4" s="7">
        <f>Biotech!F4</f>
        <v>31510</v>
      </c>
      <c r="C4" s="8">
        <f>B4*(1+C3)</f>
        <v>44114</v>
      </c>
      <c r="D4" s="8">
        <f>C4*(1+D3)</f>
        <v>59553.9</v>
      </c>
      <c r="E4" s="8">
        <f t="shared" ref="E4:M4" si="0">D4*(1+E3)</f>
        <v>80397.765000000014</v>
      </c>
      <c r="F4" s="8">
        <f t="shared" si="0"/>
        <v>104517.09450000002</v>
      </c>
      <c r="G4" s="8">
        <f t="shared" si="0"/>
        <v>137962.56474000003</v>
      </c>
      <c r="H4" s="8">
        <f t="shared" si="0"/>
        <v>162795.82639320003</v>
      </c>
      <c r="I4" s="8">
        <f t="shared" si="0"/>
        <v>187215.20035218002</v>
      </c>
      <c r="J4" s="8">
        <f t="shared" si="0"/>
        <v>205936.72038739803</v>
      </c>
      <c r="K4" s="8">
        <f t="shared" si="0"/>
        <v>222411.65801838989</v>
      </c>
      <c r="L4" s="8">
        <f t="shared" si="0"/>
        <v>233532.24091930941</v>
      </c>
      <c r="M4" s="8">
        <f t="shared" si="0"/>
        <v>245208.85296527488</v>
      </c>
    </row>
    <row r="5" spans="1:14" ht="15" customHeight="1">
      <c r="A5" s="6" t="s">
        <v>90</v>
      </c>
      <c r="B5" s="9">
        <f>Biotech!O4</f>
        <v>14.9</v>
      </c>
      <c r="C5" s="10">
        <v>0.16</v>
      </c>
      <c r="D5" s="10">
        <v>0.16</v>
      </c>
      <c r="E5" s="10">
        <v>0.16</v>
      </c>
      <c r="F5" s="10">
        <v>0.16</v>
      </c>
      <c r="G5" s="10">
        <v>0.16</v>
      </c>
      <c r="H5" s="10">
        <v>0.16</v>
      </c>
      <c r="I5" s="10">
        <v>0.16</v>
      </c>
      <c r="J5" s="10">
        <v>0.16</v>
      </c>
      <c r="K5" s="10">
        <v>0.16</v>
      </c>
      <c r="L5" s="10">
        <v>0.16</v>
      </c>
      <c r="M5" s="5">
        <f>L5</f>
        <v>0.16</v>
      </c>
    </row>
    <row r="6" spans="1:14" ht="15" customHeight="1">
      <c r="A6" s="6" t="s">
        <v>91</v>
      </c>
      <c r="B6" s="7">
        <f>B4*B5</f>
        <v>469499</v>
      </c>
      <c r="C6" s="8">
        <f>C5*C4</f>
        <v>7058.24</v>
      </c>
      <c r="D6" s="8">
        <f t="shared" ref="D6:M6" si="1">D5*D4</f>
        <v>9528.6239999999998</v>
      </c>
      <c r="E6" s="8">
        <f t="shared" si="1"/>
        <v>12863.642400000002</v>
      </c>
      <c r="F6" s="8">
        <f t="shared" si="1"/>
        <v>16722.735120000005</v>
      </c>
      <c r="G6" s="8">
        <f t="shared" si="1"/>
        <v>22074.010358400006</v>
      </c>
      <c r="H6" s="8">
        <f t="shared" si="1"/>
        <v>26047.332222912006</v>
      </c>
      <c r="I6" s="8">
        <f t="shared" si="1"/>
        <v>29954.432056348804</v>
      </c>
      <c r="J6" s="8">
        <f t="shared" si="1"/>
        <v>32949.875261983689</v>
      </c>
      <c r="K6" s="8">
        <f t="shared" si="1"/>
        <v>35585.865282942381</v>
      </c>
      <c r="L6" s="8">
        <f t="shared" si="1"/>
        <v>37365.158547089508</v>
      </c>
      <c r="M6" s="11">
        <f t="shared" si="1"/>
        <v>39233.416474443984</v>
      </c>
      <c r="N6" s="12">
        <f>M6-B6</f>
        <v>-430265.58352555602</v>
      </c>
    </row>
    <row r="7" spans="1:14" ht="15" customHeight="1">
      <c r="A7" s="6" t="s">
        <v>92</v>
      </c>
      <c r="B7" s="13">
        <f>B6*0.7</f>
        <v>328649.3</v>
      </c>
      <c r="C7" s="14">
        <f>C6*0.7</f>
        <v>4940.7679999999991</v>
      </c>
      <c r="D7" s="15">
        <f>D6*0.7</f>
        <v>6670.0367999999999</v>
      </c>
      <c r="E7" s="14">
        <f t="shared" ref="E7:L7" si="2">E6*0.7</f>
        <v>9004.5496800000019</v>
      </c>
      <c r="F7" s="15">
        <f t="shared" si="2"/>
        <v>11705.914584000002</v>
      </c>
      <c r="G7" s="14">
        <f t="shared" si="2"/>
        <v>15451.807250880003</v>
      </c>
      <c r="H7" s="15">
        <f t="shared" si="2"/>
        <v>18233.132556038403</v>
      </c>
      <c r="I7" s="14">
        <f t="shared" si="2"/>
        <v>20968.102439444163</v>
      </c>
      <c r="J7" s="15">
        <f t="shared" si="2"/>
        <v>23064.912683388582</v>
      </c>
      <c r="K7" s="14">
        <f t="shared" si="2"/>
        <v>24910.105698059666</v>
      </c>
      <c r="L7" s="15">
        <f t="shared" si="2"/>
        <v>26155.610982962655</v>
      </c>
      <c r="M7" s="14">
        <f>M6*0.7</f>
        <v>27463.391532110789</v>
      </c>
      <c r="N7" s="16"/>
    </row>
    <row r="8" spans="1:14" ht="15" customHeight="1">
      <c r="A8" s="6" t="s">
        <v>93</v>
      </c>
      <c r="B8" s="17"/>
      <c r="C8" s="14">
        <f>IF(C4&gt;B4,(C4-B4)/C31,0)</f>
        <v>1260.4000000000001</v>
      </c>
      <c r="D8" s="14">
        <f t="shared" ref="D8:L8" si="3">(D4-C4)/D31</f>
        <v>1543.9900000000002</v>
      </c>
      <c r="E8" s="14">
        <f t="shared" si="3"/>
        <v>2084.3865000000014</v>
      </c>
      <c r="F8" s="14">
        <f t="shared" si="3"/>
        <v>2411.9329500000008</v>
      </c>
      <c r="G8" s="14">
        <f t="shared" si="3"/>
        <v>3344.5470240000009</v>
      </c>
      <c r="H8" s="14">
        <f t="shared" si="3"/>
        <v>2483.3261653199997</v>
      </c>
      <c r="I8" s="14">
        <f t="shared" si="3"/>
        <v>2441.9373958979995</v>
      </c>
      <c r="J8" s="14">
        <f t="shared" si="3"/>
        <v>1872.1520035218011</v>
      </c>
      <c r="K8" s="14">
        <f t="shared" si="3"/>
        <v>1647.4937630991858</v>
      </c>
      <c r="L8" s="14">
        <f t="shared" si="3"/>
        <v>1112.0582900919514</v>
      </c>
      <c r="M8" s="18">
        <f>IF(M3&gt;0,(M3/M33)*M7,0)</f>
        <v>12483.359787323086</v>
      </c>
      <c r="N8" s="19">
        <f>SUM(C8:M8)</f>
        <v>32685.583879254027</v>
      </c>
    </row>
    <row r="9" spans="1:14" ht="15" customHeight="1">
      <c r="A9" s="6" t="s">
        <v>94</v>
      </c>
      <c r="B9" s="17"/>
      <c r="C9" s="14">
        <f t="shared" ref="C9:L9" si="4">C7-C8</f>
        <v>3680.367999999999</v>
      </c>
      <c r="D9" s="14">
        <f t="shared" si="4"/>
        <v>5126.0468000000001</v>
      </c>
      <c r="E9" s="14">
        <f t="shared" si="4"/>
        <v>6920.1631800000005</v>
      </c>
      <c r="F9" s="14">
        <f t="shared" si="4"/>
        <v>9293.9816340000016</v>
      </c>
      <c r="G9" s="14">
        <f t="shared" si="4"/>
        <v>12107.260226880002</v>
      </c>
      <c r="H9" s="14">
        <f t="shared" si="4"/>
        <v>15749.806390718404</v>
      </c>
      <c r="I9" s="14">
        <f t="shared" si="4"/>
        <v>18526.165043546163</v>
      </c>
      <c r="J9" s="14">
        <f t="shared" si="4"/>
        <v>21192.76067986678</v>
      </c>
      <c r="K9" s="14">
        <f t="shared" si="4"/>
        <v>23262.611934960481</v>
      </c>
      <c r="L9" s="14">
        <f t="shared" si="4"/>
        <v>25043.552692870704</v>
      </c>
      <c r="M9" s="18">
        <f>M7-M8</f>
        <v>14980.031744787702</v>
      </c>
      <c r="N9" s="16"/>
    </row>
    <row r="10" spans="1:14" ht="1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4" ht="15" customHeight="1">
      <c r="A11" s="6" t="s">
        <v>95</v>
      </c>
      <c r="B11" s="9">
        <f>Biotech!T4</f>
        <v>8.5</v>
      </c>
      <c r="C11" s="10">
        <v>8.4699999999999998E-2</v>
      </c>
      <c r="D11" s="10">
        <v>8.5000000000000006E-2</v>
      </c>
      <c r="E11" s="10">
        <v>0.09</v>
      </c>
      <c r="F11" s="10">
        <v>0.09</v>
      </c>
      <c r="G11" s="10">
        <v>0.09</v>
      </c>
      <c r="H11" s="10">
        <v>9.7000000000000003E-2</v>
      </c>
      <c r="I11" s="10">
        <v>9.7000000000000003E-2</v>
      </c>
      <c r="J11" s="10">
        <v>9.7000000000000003E-2</v>
      </c>
      <c r="K11" s="10">
        <v>9.7000000000000003E-2</v>
      </c>
      <c r="L11" s="10">
        <v>9.7000000000000003E-2</v>
      </c>
      <c r="M11" s="5">
        <v>9.7000000000000003E-2</v>
      </c>
    </row>
    <row r="12" spans="1:14" ht="15" customHeight="1">
      <c r="A12" s="6" t="s">
        <v>96</v>
      </c>
      <c r="B12" s="20"/>
      <c r="C12" s="22">
        <f>1/(1+C11)</f>
        <v>0.92191389324237116</v>
      </c>
      <c r="D12" s="22">
        <f>C12*(1/(1+D11))</f>
        <v>0.84969022418651718</v>
      </c>
      <c r="E12" s="22">
        <f t="shared" ref="E12:L12" si="5">D12*(1/(1+E11))</f>
        <v>0.77953231576744686</v>
      </c>
      <c r="F12" s="22">
        <f t="shared" si="5"/>
        <v>0.71516726217196958</v>
      </c>
      <c r="G12" s="22">
        <f t="shared" si="5"/>
        <v>0.65611675428621052</v>
      </c>
      <c r="H12" s="22">
        <f t="shared" si="5"/>
        <v>0.59810096106309074</v>
      </c>
      <c r="I12" s="22">
        <f t="shared" si="5"/>
        <v>0.54521509668467705</v>
      </c>
      <c r="J12" s="22">
        <f t="shared" si="5"/>
        <v>0.49700555759770015</v>
      </c>
      <c r="K12" s="22">
        <f t="shared" si="5"/>
        <v>0.45305884922306305</v>
      </c>
      <c r="L12" s="22">
        <f t="shared" si="5"/>
        <v>0.41299803940115137</v>
      </c>
      <c r="M12" s="21"/>
    </row>
    <row r="13" spans="1:14" ht="15" customHeight="1">
      <c r="A13" s="6" t="s">
        <v>97</v>
      </c>
      <c r="B13" s="20"/>
      <c r="C13" s="23">
        <f t="shared" ref="C13:L13" si="6">C9*C12</f>
        <v>3392.9823914446383</v>
      </c>
      <c r="D13" s="23">
        <f t="shared" si="6"/>
        <v>4355.5518546825788</v>
      </c>
      <c r="E13" s="23">
        <f t="shared" si="6"/>
        <v>5394.4908291940192</v>
      </c>
      <c r="F13" s="23">
        <f t="shared" si="6"/>
        <v>6646.751399864349</v>
      </c>
      <c r="G13" s="23">
        <f t="shared" si="6"/>
        <v>7943.7762833590359</v>
      </c>
      <c r="H13" s="23">
        <f t="shared" si="6"/>
        <v>9419.9743388462866</v>
      </c>
      <c r="I13" s="23">
        <f t="shared" si="6"/>
        <v>10100.744865413306</v>
      </c>
      <c r="J13" s="23">
        <f t="shared" si="6"/>
        <v>10532.919838731805</v>
      </c>
      <c r="K13" s="23">
        <f t="shared" si="6"/>
        <v>10539.332193175887</v>
      </c>
      <c r="L13" s="23">
        <f t="shared" si="6"/>
        <v>10342.938161795026</v>
      </c>
      <c r="M13" s="21"/>
    </row>
    <row r="14" spans="1:14" ht="15" customHeight="1"/>
    <row r="15" spans="1:14" ht="15" customHeight="1">
      <c r="A15" s="24" t="s">
        <v>98</v>
      </c>
      <c r="B15" s="17">
        <f>M9</f>
        <v>14980.031744787702</v>
      </c>
    </row>
    <row r="16" spans="1:14" ht="15" customHeight="1">
      <c r="A16" s="24" t="s">
        <v>99</v>
      </c>
      <c r="B16" s="25">
        <f>M11</f>
        <v>9.7000000000000003E-2</v>
      </c>
    </row>
    <row r="17" spans="1:15">
      <c r="A17" s="24" t="s">
        <v>100</v>
      </c>
      <c r="B17" s="26">
        <f>B15/(B16-M3)</f>
        <v>318724.07967633411</v>
      </c>
      <c r="D17" s="27"/>
    </row>
    <row r="18" spans="1:15">
      <c r="A18" s="24" t="s">
        <v>101</v>
      </c>
      <c r="B18" s="28">
        <f>B17*L12</f>
        <v>131632.42001626233</v>
      </c>
      <c r="E18" s="46" t="s">
        <v>121</v>
      </c>
      <c r="F18" s="46"/>
      <c r="N18" s="29"/>
    </row>
    <row r="19" spans="1:15">
      <c r="A19" s="24" t="s">
        <v>102</v>
      </c>
      <c r="B19" s="28">
        <f>SUM(C13:L13)</f>
        <v>78669.462156506925</v>
      </c>
      <c r="E19" s="43" t="s">
        <v>122</v>
      </c>
      <c r="F19" s="43" t="s">
        <v>123</v>
      </c>
      <c r="M19" s="30"/>
      <c r="O19" s="29"/>
    </row>
    <row r="20" spans="1:15">
      <c r="A20" s="24" t="s">
        <v>103</v>
      </c>
      <c r="B20" s="28">
        <f>B18+B19</f>
        <v>210301.88217276926</v>
      </c>
      <c r="E20" s="43" t="s">
        <v>126</v>
      </c>
      <c r="F20" s="45">
        <v>1115</v>
      </c>
    </row>
    <row r="21" spans="1:15">
      <c r="A21" s="24" t="s">
        <v>104</v>
      </c>
      <c r="B21" s="13" t="e">
        <f>Biotech!#REF!</f>
        <v>#REF!</v>
      </c>
      <c r="E21" s="44">
        <v>0.05</v>
      </c>
      <c r="F21" s="45" t="s">
        <v>127</v>
      </c>
      <c r="J21" s="31"/>
    </row>
    <row r="22" spans="1:15">
      <c r="A22" s="24" t="s">
        <v>105</v>
      </c>
      <c r="B22" s="13">
        <f>Biotech!I4</f>
        <v>1274</v>
      </c>
      <c r="E22" s="44"/>
      <c r="F22" s="45"/>
    </row>
    <row r="23" spans="1:15">
      <c r="A23" s="24" t="s">
        <v>106</v>
      </c>
      <c r="B23" s="13">
        <f>Biotech!J4</f>
        <v>44773</v>
      </c>
      <c r="E23" s="43"/>
      <c r="F23" s="45"/>
    </row>
    <row r="24" spans="1:15">
      <c r="A24" s="24" t="s">
        <v>107</v>
      </c>
      <c r="B24" s="32" t="e">
        <f>B20-B21+B22+B23</f>
        <v>#REF!</v>
      </c>
      <c r="C24" s="4" t="s">
        <v>108</v>
      </c>
    </row>
    <row r="25" spans="1:15">
      <c r="A25" s="24" t="s">
        <v>109</v>
      </c>
      <c r="B25" s="33" t="e">
        <f>Biotech!#REF!</f>
        <v>#REF!</v>
      </c>
      <c r="C25" s="4" t="s">
        <v>8</v>
      </c>
    </row>
    <row r="26" spans="1:15">
      <c r="A26" s="24" t="s">
        <v>110</v>
      </c>
      <c r="B26" s="34" t="e">
        <f>(B24/B25)/100</f>
        <v>#REF!</v>
      </c>
    </row>
    <row r="27" spans="1:15">
      <c r="A27" s="24" t="s">
        <v>111</v>
      </c>
      <c r="B27" s="7">
        <v>2376</v>
      </c>
    </row>
    <row r="28" spans="1:15">
      <c r="A28" s="24" t="s">
        <v>112</v>
      </c>
      <c r="B28" s="35" t="e">
        <f>B27/B26</f>
        <v>#REF!</v>
      </c>
    </row>
    <row r="30" spans="1:15">
      <c r="A30" s="36" t="s">
        <v>113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114</v>
      </c>
    </row>
    <row r="31" spans="1:15">
      <c r="A31" s="24" t="s">
        <v>115</v>
      </c>
      <c r="B31" s="20"/>
      <c r="C31" s="37">
        <v>10</v>
      </c>
      <c r="D31" s="37">
        <v>10</v>
      </c>
      <c r="E31" s="37">
        <v>10</v>
      </c>
      <c r="F31" s="37">
        <v>10</v>
      </c>
      <c r="G31" s="37">
        <v>10</v>
      </c>
      <c r="H31" s="37">
        <v>10</v>
      </c>
      <c r="I31" s="37">
        <v>10</v>
      </c>
      <c r="J31" s="37">
        <v>10</v>
      </c>
      <c r="K31" s="37">
        <v>10</v>
      </c>
      <c r="L31" s="37">
        <v>10</v>
      </c>
      <c r="M31" s="21"/>
    </row>
    <row r="32" spans="1:15" s="16" customFormat="1">
      <c r="A32" s="38" t="s">
        <v>116</v>
      </c>
      <c r="B32" s="39">
        <f>Biotech!M4</f>
        <v>60106</v>
      </c>
      <c r="C32" s="18">
        <f t="shared" ref="C32:L32" si="7">B32+C8</f>
        <v>61366.400000000001</v>
      </c>
      <c r="D32" s="18">
        <f t="shared" si="7"/>
        <v>62910.39</v>
      </c>
      <c r="E32" s="18">
        <f t="shared" si="7"/>
        <v>64994.7765</v>
      </c>
      <c r="F32" s="18">
        <f t="shared" si="7"/>
        <v>67406.709449999995</v>
      </c>
      <c r="G32" s="18">
        <f t="shared" si="7"/>
        <v>70751.256473999994</v>
      </c>
      <c r="H32" s="18">
        <f t="shared" si="7"/>
        <v>73234.582639319997</v>
      </c>
      <c r="I32" s="18">
        <f t="shared" si="7"/>
        <v>75676.520035217996</v>
      </c>
      <c r="J32" s="18">
        <f t="shared" si="7"/>
        <v>77548.672038739795</v>
      </c>
      <c r="K32" s="18">
        <f t="shared" si="7"/>
        <v>79196.165801838986</v>
      </c>
      <c r="L32" s="18">
        <f t="shared" si="7"/>
        <v>80308.224091930941</v>
      </c>
      <c r="M32" s="18"/>
    </row>
    <row r="33" spans="1:13">
      <c r="A33" s="24" t="s">
        <v>117</v>
      </c>
      <c r="B33" s="9">
        <f>Biotech!N4</f>
        <v>5.47</v>
      </c>
      <c r="C33" s="40">
        <f t="shared" ref="C33:L33" si="8">C7/C32</f>
        <v>8.0512593210616865E-2</v>
      </c>
      <c r="D33" s="40">
        <f t="shared" si="8"/>
        <v>0.10602440709714246</v>
      </c>
      <c r="E33" s="40">
        <f t="shared" si="8"/>
        <v>0.1385426670403275</v>
      </c>
      <c r="F33" s="40">
        <f t="shared" si="8"/>
        <v>0.17366097054007734</v>
      </c>
      <c r="G33" s="40">
        <f t="shared" si="8"/>
        <v>0.21839622391099592</v>
      </c>
      <c r="H33" s="40">
        <f t="shared" si="8"/>
        <v>0.24896888736072276</v>
      </c>
      <c r="I33" s="40">
        <f t="shared" si="8"/>
        <v>0.27707540502240485</v>
      </c>
      <c r="J33" s="40">
        <f t="shared" si="8"/>
        <v>0.29742498584458543</v>
      </c>
      <c r="K33" s="40">
        <f t="shared" si="8"/>
        <v>0.31453676381743773</v>
      </c>
      <c r="L33" s="41">
        <f t="shared" si="8"/>
        <v>0.32569031725843717</v>
      </c>
      <c r="M33" s="40">
        <v>0.11</v>
      </c>
    </row>
    <row r="34" spans="1:13">
      <c r="A34" s="6" t="s">
        <v>118</v>
      </c>
      <c r="C34" s="42">
        <f>C8/C7</f>
        <v>0.25510204081632659</v>
      </c>
      <c r="D34" s="42">
        <f t="shared" ref="D34:L34" si="9">D8/D7</f>
        <v>0.23148148148148151</v>
      </c>
      <c r="E34" s="42">
        <f t="shared" si="9"/>
        <v>0.23148148148148159</v>
      </c>
      <c r="F34" s="42">
        <f t="shared" si="9"/>
        <v>0.20604395604395609</v>
      </c>
      <c r="G34" s="42">
        <f t="shared" si="9"/>
        <v>0.21645021645021645</v>
      </c>
      <c r="H34" s="42">
        <f t="shared" si="9"/>
        <v>0.13619854721549632</v>
      </c>
      <c r="I34" s="42">
        <f t="shared" si="9"/>
        <v>0.1164596273291925</v>
      </c>
      <c r="J34" s="42">
        <f t="shared" si="9"/>
        <v>8.1168831168831196E-2</v>
      </c>
      <c r="K34" s="42">
        <f t="shared" si="9"/>
        <v>6.6137566137566203E-2</v>
      </c>
      <c r="L34" s="42">
        <f t="shared" si="9"/>
        <v>4.2517006802721156E-2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Biotech</vt:lpstr>
      <vt:lpstr>Sheet1</vt:lpstr>
      <vt:lpstr>SOFTRAK</vt:lpstr>
      <vt:lpstr>HINDBIO</vt:lpstr>
      <vt:lpstr>BIBCOL</vt:lpstr>
      <vt:lpstr>ZENOTECH</vt:lpstr>
      <vt:lpstr>NIRMAN</vt:lpstr>
      <vt:lpstr>BIOCON</vt:lpstr>
      <vt:lpstr>PANACEA</vt:lpstr>
      <vt:lpstr>HESTER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Virdi</dc:creator>
  <cp:lastModifiedBy>Angad Virdi</cp:lastModifiedBy>
  <dcterms:created xsi:type="dcterms:W3CDTF">2025-01-06T18:43:47Z</dcterms:created>
  <dcterms:modified xsi:type="dcterms:W3CDTF">2025-01-19T01:29:56Z</dcterms:modified>
</cp:coreProperties>
</file>