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528" documentId="8_{61E82B74-827F-4C8D-9E56-3DF434851CAF}" xr6:coauthVersionLast="47" xr6:coauthVersionMax="47" xr10:uidLastSave="{756F631A-B92A-4214-8A35-F052C71A7A31}"/>
  <bookViews>
    <workbookView xWindow="-108" yWindow="-108" windowWidth="23256" windowHeight="12456" xr2:uid="{E6670257-1038-4483-9760-BC4C18B28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69" i="1" l="1"/>
  <c r="BA69" i="1" s="1"/>
  <c r="AU69" i="1"/>
  <c r="AU71" i="1" s="1"/>
  <c r="AU59" i="1"/>
  <c r="AU60" i="1"/>
  <c r="AU61" i="1"/>
  <c r="AU62" i="1"/>
  <c r="AU63" i="1"/>
  <c r="AU64" i="1"/>
  <c r="AU65" i="1"/>
  <c r="AU58" i="1"/>
  <c r="AN78" i="1"/>
  <c r="AN77" i="1"/>
  <c r="AN76" i="1"/>
  <c r="AM55" i="1"/>
  <c r="AM54" i="1"/>
  <c r="AM56" i="1" s="1"/>
  <c r="AF56" i="1"/>
  <c r="AG56" i="1"/>
  <c r="AH56" i="1"/>
  <c r="AI56" i="1"/>
  <c r="AJ56" i="1"/>
  <c r="AF57" i="1"/>
  <c r="AG57" i="1"/>
  <c r="AH57" i="1"/>
  <c r="AI57" i="1"/>
  <c r="AJ57" i="1"/>
  <c r="AF58" i="1"/>
  <c r="AG58" i="1"/>
  <c r="AH58" i="1"/>
  <c r="AI58" i="1"/>
  <c r="AJ58" i="1"/>
  <c r="AF59" i="1"/>
  <c r="AG59" i="1"/>
  <c r="AH59" i="1"/>
  <c r="AI59" i="1"/>
  <c r="AJ59" i="1"/>
  <c r="AG55" i="1"/>
  <c r="AH55" i="1"/>
  <c r="AI55" i="1"/>
  <c r="AJ55" i="1"/>
  <c r="AF55" i="1"/>
  <c r="AB57" i="1"/>
  <c r="AB58" i="1"/>
  <c r="AB59" i="1"/>
  <c r="AB60" i="1"/>
  <c r="AB61" i="1"/>
  <c r="AB56" i="1"/>
  <c r="E37" i="1"/>
  <c r="E36" i="1"/>
  <c r="E35" i="1"/>
  <c r="E34" i="1"/>
  <c r="F31" i="1"/>
  <c r="F28" i="1"/>
  <c r="H26" i="1"/>
  <c r="G26" i="1"/>
  <c r="F26" i="1"/>
  <c r="Q28" i="1"/>
  <c r="P28" i="1"/>
  <c r="V16" i="1"/>
  <c r="V17" i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R16" i="1"/>
  <c r="R17" i="1"/>
  <c r="R18" i="1"/>
  <c r="R19" i="1"/>
  <c r="R20" i="1"/>
  <c r="R21" i="1"/>
  <c r="R22" i="1"/>
  <c r="R23" i="1"/>
  <c r="R24" i="1"/>
  <c r="R25" i="1"/>
  <c r="R26" i="1"/>
  <c r="R27" i="1"/>
  <c r="Q16" i="1"/>
  <c r="Q17" i="1"/>
  <c r="Q18" i="1"/>
  <c r="Q19" i="1"/>
  <c r="Q20" i="1"/>
  <c r="Q21" i="1"/>
  <c r="Q22" i="1"/>
  <c r="Q23" i="1"/>
  <c r="Q24" i="1"/>
  <c r="Q25" i="1"/>
  <c r="Q26" i="1"/>
  <c r="Q27" i="1"/>
  <c r="P16" i="1"/>
  <c r="P17" i="1"/>
  <c r="P18" i="1"/>
  <c r="P19" i="1"/>
  <c r="P20" i="1"/>
  <c r="P21" i="1"/>
  <c r="P22" i="1"/>
  <c r="P23" i="1"/>
  <c r="P24" i="1"/>
  <c r="P25" i="1"/>
  <c r="P26" i="1"/>
  <c r="P27" i="1"/>
  <c r="P4" i="1"/>
  <c r="V6" i="1"/>
  <c r="V7" i="1" s="1"/>
  <c r="V8" i="1" s="1"/>
  <c r="V9" i="1" s="1"/>
  <c r="V10" i="1" s="1"/>
  <c r="V11" i="1" s="1"/>
  <c r="V12" i="1" s="1"/>
  <c r="V13" i="1" s="1"/>
  <c r="V14" i="1" s="1"/>
  <c r="V15" i="1" s="1"/>
  <c r="V5" i="1"/>
  <c r="R5" i="1"/>
  <c r="R6" i="1"/>
  <c r="R7" i="1"/>
  <c r="R8" i="1"/>
  <c r="R9" i="1"/>
  <c r="R10" i="1"/>
  <c r="R11" i="1"/>
  <c r="R12" i="1"/>
  <c r="R13" i="1"/>
  <c r="R14" i="1"/>
  <c r="R15" i="1"/>
  <c r="R4" i="1"/>
  <c r="Q5" i="1"/>
  <c r="Q6" i="1"/>
  <c r="Q7" i="1"/>
  <c r="Q8" i="1"/>
  <c r="Q9" i="1"/>
  <c r="Q10" i="1"/>
  <c r="Q11" i="1"/>
  <c r="Q12" i="1"/>
  <c r="Q13" i="1"/>
  <c r="Q14" i="1"/>
  <c r="Q15" i="1"/>
  <c r="Q4" i="1"/>
  <c r="V4" i="1"/>
  <c r="P5" i="1"/>
  <c r="P6" i="1"/>
  <c r="P7" i="1"/>
  <c r="P8" i="1"/>
  <c r="P9" i="1"/>
  <c r="P10" i="1"/>
  <c r="P11" i="1"/>
  <c r="P12" i="1"/>
  <c r="P13" i="1"/>
  <c r="P14" i="1"/>
  <c r="P15" i="1"/>
  <c r="L19" i="1"/>
  <c r="L18" i="1"/>
  <c r="AU76" i="1" l="1"/>
  <c r="AU77" i="1"/>
  <c r="AU75" i="1"/>
  <c r="AU73" i="1"/>
  <c r="AU72" i="1"/>
  <c r="AN71" i="1"/>
  <c r="AN70" i="1"/>
  <c r="AN67" i="1"/>
  <c r="AN66" i="1"/>
  <c r="AN63" i="1"/>
  <c r="AN62" i="1"/>
  <c r="AM58" i="1"/>
  <c r="AM57" i="1"/>
  <c r="AM59" i="1" l="1"/>
</calcChain>
</file>

<file path=xl/sharedStrings.xml><?xml version="1.0" encoding="utf-8"?>
<sst xmlns="http://schemas.openxmlformats.org/spreadsheetml/2006/main" count="203" uniqueCount="126">
  <si>
    <t>sun</t>
  </si>
  <si>
    <t>mon</t>
  </si>
  <si>
    <t>tue</t>
  </si>
  <si>
    <t>wed</t>
  </si>
  <si>
    <t>thu</t>
  </si>
  <si>
    <t>fri</t>
  </si>
  <si>
    <t>sat</t>
  </si>
  <si>
    <t>jun</t>
  </si>
  <si>
    <t>feb</t>
  </si>
  <si>
    <t>jan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</si>
  <si>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</si>
  <si>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</si>
  <si>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</si>
  <si>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</si>
  <si>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</si>
  <si>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</si>
  <si>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</si>
  <si>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</si>
  <si>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</si>
  <si>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s.no</t>
  </si>
  <si>
    <t>day</t>
  </si>
  <si>
    <t>month</t>
  </si>
  <si>
    <t>date</t>
  </si>
  <si>
    <t>total</t>
  </si>
  <si>
    <t>Subtotal</t>
  </si>
  <si>
    <t>Average</t>
  </si>
  <si>
    <t>ppmt</t>
  </si>
  <si>
    <t>pmt</t>
  </si>
  <si>
    <t>loan amount</t>
  </si>
  <si>
    <t>period(year)</t>
  </si>
  <si>
    <t>roi</t>
  </si>
  <si>
    <t>impt</t>
  </si>
  <si>
    <t>balance</t>
  </si>
  <si>
    <t>Column1</t>
  </si>
  <si>
    <t>Column2</t>
  </si>
  <si>
    <t>Column3</t>
  </si>
  <si>
    <t>marks1</t>
  </si>
  <si>
    <t>mark2</t>
  </si>
  <si>
    <t>T/F</t>
  </si>
  <si>
    <t>Y/N</t>
  </si>
  <si>
    <t>madhav</t>
  </si>
  <si>
    <t>mark1</t>
  </si>
  <si>
    <t>Grade</t>
  </si>
  <si>
    <t>name</t>
  </si>
  <si>
    <t>rahul</t>
  </si>
  <si>
    <t>Practice</t>
  </si>
  <si>
    <t>reg no.</t>
  </si>
  <si>
    <t>points</t>
  </si>
  <si>
    <t>salary</t>
  </si>
  <si>
    <t>status</t>
  </si>
  <si>
    <t>mobile</t>
  </si>
  <si>
    <t>time</t>
  </si>
  <si>
    <t>Ram</t>
  </si>
  <si>
    <t>Mohan</t>
  </si>
  <si>
    <t>Krishna</t>
  </si>
  <si>
    <t>Rahul</t>
  </si>
  <si>
    <t>Madison Blake</t>
  </si>
  <si>
    <t>Xavier Nguyen</t>
  </si>
  <si>
    <t>Ava Patel</t>
  </si>
  <si>
    <t>Dylan Murphy</t>
  </si>
  <si>
    <t>Sofia Kim</t>
  </si>
  <si>
    <t>Ethan Santos</t>
  </si>
  <si>
    <t>Isabella Rivera</t>
  </si>
  <si>
    <t>Liam Chang</t>
  </si>
  <si>
    <t>Olivia Khan</t>
  </si>
  <si>
    <t>Mason Rodriguez</t>
  </si>
  <si>
    <t>Harper Singh</t>
  </si>
  <si>
    <t>Noah Williams</t>
  </si>
  <si>
    <t>Amelia Garcia</t>
  </si>
  <si>
    <t>Elijah Thompson</t>
  </si>
  <si>
    <t>Charlotte Chen</t>
  </si>
  <si>
    <t>Lucas Martinez</t>
  </si>
  <si>
    <t>Mia Brown</t>
  </si>
  <si>
    <t>Benjamin Gupta</t>
  </si>
  <si>
    <t>Evelyn Nguyen</t>
  </si>
  <si>
    <t>Alexander Hernandez</t>
  </si>
  <si>
    <t>Mohit</t>
  </si>
  <si>
    <t>Active</t>
  </si>
  <si>
    <t>Done</t>
  </si>
  <si>
    <t xml:space="preserve">cell reference : relative reference      absolute reference    mixed reference  </t>
  </si>
  <si>
    <t>grade</t>
  </si>
  <si>
    <t>percentage</t>
  </si>
  <si>
    <t>max</t>
  </si>
  <si>
    <t>Absolute reference</t>
  </si>
  <si>
    <t>Multiplication table : Mixed referencing</t>
  </si>
  <si>
    <t>Date function</t>
  </si>
  <si>
    <t>today</t>
  </si>
  <si>
    <t>now</t>
  </si>
  <si>
    <t>year</t>
  </si>
  <si>
    <t>Add/Subtract Days</t>
  </si>
  <si>
    <t>Date + 7 days</t>
  </si>
  <si>
    <t>Date - 7 days</t>
  </si>
  <si>
    <t>Date - 7 years</t>
  </si>
  <si>
    <t>Date + 7 months</t>
  </si>
  <si>
    <t>Date - 7 months</t>
  </si>
  <si>
    <t>Add/Subtract month</t>
  </si>
  <si>
    <t>Add/Subtract years</t>
  </si>
  <si>
    <t>Date + 7 years</t>
  </si>
  <si>
    <t>Networkdays</t>
  </si>
  <si>
    <t>start day</t>
  </si>
  <si>
    <t>end day</t>
  </si>
  <si>
    <t>republic day</t>
  </si>
  <si>
    <t>independence day</t>
  </si>
  <si>
    <t>Networkdays.intl</t>
  </si>
  <si>
    <t>Date</t>
  </si>
  <si>
    <t>Day/month</t>
  </si>
  <si>
    <t>Dob</t>
  </si>
  <si>
    <t>today date</t>
  </si>
  <si>
    <t>total years</t>
  </si>
  <si>
    <t>total months</t>
  </si>
  <si>
    <t>total days</t>
  </si>
  <si>
    <t>years</t>
  </si>
  <si>
    <t>months</t>
  </si>
  <si>
    <t>days</t>
  </si>
  <si>
    <t>vlookup with exact match</t>
  </si>
  <si>
    <t>product</t>
  </si>
  <si>
    <t>quantity</t>
  </si>
  <si>
    <t>price</t>
  </si>
  <si>
    <t>product code</t>
  </si>
  <si>
    <t>tv</t>
  </si>
  <si>
    <t>laptop</t>
  </si>
  <si>
    <t>computer</t>
  </si>
  <si>
    <t>shoes</t>
  </si>
  <si>
    <t>bat</t>
  </si>
  <si>
    <t>unit</t>
  </si>
  <si>
    <t>vlookup function with 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</si>
</sst>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\ #,##0.00;[Red]&quot;₹&quot;\ \-#,##0.00"/>
    <numFmt numFmtId="164" formatCode="[$-F800]dddd\,\ mmmm\ dd\,\ yyyy"/>
    <numFmt numFmtId="170" formatCode="[$-F400]h:mm:ss\ AM/PM"/>
    <numFmt numFmtId="173" formatCode="dddd\,mmmm"/>
    <numFmt numFmtId="174" formatCode="&quot;₹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 wrapText="1"/>
    </xf>
    <xf numFmtId="10" fontId="0" fillId="0" borderId="0" xfId="0" applyNumberFormat="1"/>
    <xf numFmtId="22" fontId="0" fillId="0" borderId="0" xfId="0" applyNumberFormat="1"/>
    <xf numFmtId="173" fontId="0" fillId="0" borderId="0" xfId="0" applyNumberForma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4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5EA49-0550-48C5-87E3-2B28E1D3707F}" name="Table1" displayName="Table1" ref="A1:C13" totalsRowShown="0">
  <autoFilter ref="A1:C13" xr:uid="{FD25EA49-0550-48C5-87E3-2B28E1D3707F}"/>
  <tableColumns count="3">
    <tableColumn id="1" xr3:uid="{92A7B2AC-A39F-41B4-BCB3-BD10C156838F}" name="s.no"/>
    <tableColumn id="2" xr3:uid="{2753A78B-8424-4003-8021-40BAD5D490FB}" name="day"/>
    <tableColumn id="3" xr3:uid="{353D2786-830E-47A6-AC01-660B48EFBF6D}" name="mon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FA8C8-20BF-4064-8A12-C94D605D596E}" name="Table2" displayName="Table2" ref="G3:H17" totalsRowShown="0">
  <tableColumns count="2">
    <tableColumn id="1" xr3:uid="{3E20CDF6-9F7E-4F94-8484-7BB5606305D5}" name="date" dataDxfId="3"/>
    <tableColumn id="2" xr3:uid="{21E30A9A-9E4C-4254-A51C-1DD6BA7AFD11}" name="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06C6B-14D6-456A-9252-E113AA0F3485}" name="Table3" displayName="Table3" ref="K3:L19" totalsRowShown="0">
  <autoFilter ref="K3:L19" xr:uid="{8EF06C6B-14D6-456A-9252-E113AA0F3485}"/>
  <tableColumns count="2">
    <tableColumn id="1" xr3:uid="{692CEF75-2CF1-4BDC-A215-EBB0160FE2DA}" name="date" dataDxfId="2"/>
    <tableColumn id="2" xr3:uid="{4393BE6A-5EFD-450D-93C5-41192AA0E839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B54F9D-A48A-4DF4-B4EF-F3CC5A5D512E}" name="Table4" displayName="Table4" ref="O3:V30" totalsRowShown="0">
  <autoFilter ref="O3:V30" xr:uid="{76B54F9D-A48A-4DF4-B4EF-F3CC5A5D512E}"/>
  <tableColumns count="8">
    <tableColumn id="1" xr3:uid="{7FD7BE01-119E-4862-9F25-45D1BAE74466}" name="month"/>
    <tableColumn id="2" xr3:uid="{EDB4BF3B-2768-4C08-8956-996AD47747AC}" name="pmt" dataDxfId="1"/>
    <tableColumn id="3" xr3:uid="{9FF179D7-35E3-4CF2-903A-9BD0AE7AC89F}" name="impt" dataDxfId="0"/>
    <tableColumn id="4" xr3:uid="{981D270F-B0C7-4E59-B7C1-E501B4A3EC42}" name="ppmt"/>
    <tableColumn id="5" xr3:uid="{881CA938-7FC1-435F-86FA-575E98222F2E}" name="Column1"/>
    <tableColumn id="6" xr3:uid="{0B2BCBF9-F69F-48AB-94DB-1FF18E0F74BE}" name="Column2"/>
    <tableColumn id="7" xr3:uid="{9DDB7481-5F92-4666-885B-6AD008573D45}" name="Column3"/>
    <tableColumn id="8" xr3:uid="{8F38DFE5-B616-43F4-A9FC-9D52AC5F54AF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E933-79A5-4E9B-947F-EEA4A711ECAA}">
  <dimension ref="A1:BB82"/>
  <sheetViews>
    <sheetView tabSelected="1" topLeftCell="AV55" zoomScale="135" zoomScaleNormal="85" workbookViewId="0">
      <selection activeCell="BC69" sqref="BC69"/>
    </sheetView>
  </sheetViews>
  <sheetFormatPr defaultRowHeight="14.4" x14ac:dyDescent="0.3"/>
  <cols>
    <col min="3" max="3" width="10.33203125" bestFit="1" customWidth="1"/>
    <col min="4" max="4" width="6.109375" bestFit="1" customWidth="1"/>
    <col min="5" max="5" width="8" bestFit="1" customWidth="1"/>
    <col min="6" max="6" width="26.109375" bestFit="1" customWidth="1"/>
    <col min="7" max="7" width="15.109375" bestFit="1" customWidth="1"/>
    <col min="11" max="11" width="10.33203125" bestFit="1" customWidth="1"/>
    <col min="12" max="12" width="10.33203125" customWidth="1"/>
    <col min="15" max="15" width="8.5546875" customWidth="1"/>
    <col min="16" max="16" width="11.88671875" bestFit="1" customWidth="1"/>
    <col min="17" max="18" width="9.44140625" bestFit="1" customWidth="1"/>
    <col min="19" max="19" width="10.44140625" customWidth="1"/>
    <col min="20" max="20" width="10.88671875" bestFit="1" customWidth="1"/>
    <col min="21" max="21" width="11.33203125" bestFit="1" customWidth="1"/>
    <col min="22" max="22" width="10.44140625" bestFit="1" customWidth="1"/>
    <col min="26" max="26" width="12.77734375" bestFit="1" customWidth="1"/>
    <col min="27" max="27" width="5.5546875" bestFit="1" customWidth="1"/>
    <col min="28" max="28" width="10.109375" bestFit="1" customWidth="1"/>
    <col min="39" max="39" width="16.33203125" bestFit="1" customWidth="1"/>
    <col min="40" max="40" width="10.88671875" bestFit="1" customWidth="1"/>
    <col min="42" max="42" width="10.88671875" bestFit="1" customWidth="1"/>
    <col min="46" max="46" width="10.77734375" bestFit="1" customWidth="1"/>
    <col min="47" max="47" width="18.6640625" bestFit="1" customWidth="1"/>
    <col min="50" max="50" width="9.109375" bestFit="1" customWidth="1"/>
    <col min="51" max="51" width="12" bestFit="1" customWidth="1"/>
    <col min="52" max="52" width="7.88671875" bestFit="1" customWidth="1"/>
    <col min="53" max="53" width="8.33203125" bestFit="1" customWidth="1"/>
  </cols>
  <sheetData>
    <row r="1" spans="1:22" x14ac:dyDescent="0.3">
      <c r="A1" t="s">
        <v>19</v>
      </c>
      <c r="B1" t="s">
        <v>20</v>
      </c>
      <c r="C1" t="s">
        <v>21</v>
      </c>
    </row>
    <row r="2" spans="1:22" x14ac:dyDescent="0.3">
      <c r="A2">
        <v>1</v>
      </c>
      <c r="B2" t="s">
        <v>3</v>
      </c>
      <c r="C2" s="1" t="s">
        <v>9</v>
      </c>
      <c r="D2" s="1"/>
    </row>
    <row r="3" spans="1:22" x14ac:dyDescent="0.3">
      <c r="A3">
        <v>2</v>
      </c>
      <c r="B3" t="s">
        <v>4</v>
      </c>
      <c r="C3" s="1" t="s">
        <v>8</v>
      </c>
      <c r="D3" s="1"/>
      <c r="G3" t="s">
        <v>22</v>
      </c>
      <c r="H3" t="s">
        <v>20</v>
      </c>
      <c r="K3" t="s">
        <v>22</v>
      </c>
      <c r="L3" t="s">
        <v>23</v>
      </c>
      <c r="O3" t="s">
        <v>21</v>
      </c>
      <c r="P3" t="s">
        <v>27</v>
      </c>
      <c r="Q3" t="s">
        <v>31</v>
      </c>
      <c r="R3" t="s">
        <v>26</v>
      </c>
      <c r="S3" t="s">
        <v>33</v>
      </c>
      <c r="T3" t="s">
        <v>34</v>
      </c>
      <c r="U3" t="s">
        <v>35</v>
      </c>
      <c r="V3" t="s">
        <v>32</v>
      </c>
    </row>
    <row r="4" spans="1:22" x14ac:dyDescent="0.3">
      <c r="A4">
        <v>3</v>
      </c>
      <c r="B4" t="s">
        <v>5</v>
      </c>
      <c r="C4" t="s">
        <v>10</v>
      </c>
      <c r="D4" s="1"/>
      <c r="G4" s="2">
        <v>45322</v>
      </c>
      <c r="H4" t="s">
        <v>3</v>
      </c>
      <c r="K4" s="1">
        <v>45322</v>
      </c>
      <c r="L4">
        <v>8000</v>
      </c>
      <c r="O4">
        <v>1</v>
      </c>
      <c r="P4" s="3">
        <f>PMT($S$5/12,$T$5*12,-$U$5)</f>
        <v>4522.7291456184148</v>
      </c>
      <c r="Q4" s="3">
        <f>IPMT($S$5/12,O4,$T$5*12,-$U$5)</f>
        <v>666.66666666666674</v>
      </c>
      <c r="R4" s="3">
        <f>PPMT($S$5/12,O4,$T$5*12,-$U$5)</f>
        <v>3856.0624789517483</v>
      </c>
      <c r="S4" t="s">
        <v>30</v>
      </c>
      <c r="T4" t="s">
        <v>29</v>
      </c>
      <c r="U4" t="s">
        <v>28</v>
      </c>
      <c r="V4" s="3">
        <f>U5-R4</f>
        <v>96143.937521048254</v>
      </c>
    </row>
    <row r="5" spans="1:22" x14ac:dyDescent="0.3">
      <c r="A5">
        <v>4</v>
      </c>
      <c r="B5" t="s">
        <v>6</v>
      </c>
      <c r="C5" t="s">
        <v>11</v>
      </c>
      <c r="D5" s="1"/>
      <c r="G5" s="2">
        <v>45323</v>
      </c>
      <c r="H5" t="s">
        <v>4</v>
      </c>
      <c r="K5" s="1">
        <v>45323</v>
      </c>
      <c r="L5">
        <v>9000</v>
      </c>
      <c r="O5">
        <v>2</v>
      </c>
      <c r="P5" s="3">
        <f t="shared" ref="P5:P27" si="0">PMT($S$5/12,$T$5*12,-$U$5)</f>
        <v>4522.7291456184148</v>
      </c>
      <c r="Q5" s="3">
        <f t="shared" ref="Q5:Q27" si="1">IPMT($S$5/12,O5,$T$5*12,-$U$5)</f>
        <v>640.95958347365502</v>
      </c>
      <c r="R5" s="3">
        <f t="shared" ref="R5:R27" si="2">PPMT($S$5/12,O5,$T$5*12,-$U$5)</f>
        <v>3881.7695621447601</v>
      </c>
      <c r="S5">
        <v>0.08</v>
      </c>
      <c r="T5">
        <v>2</v>
      </c>
      <c r="U5">
        <v>100000</v>
      </c>
      <c r="V5" s="3">
        <f>V4-R5</f>
        <v>92262.16795890349</v>
      </c>
    </row>
    <row r="6" spans="1:22" x14ac:dyDescent="0.3">
      <c r="A6">
        <v>5</v>
      </c>
      <c r="B6" t="s">
        <v>0</v>
      </c>
      <c r="C6" t="s">
        <v>12</v>
      </c>
      <c r="D6" s="1"/>
      <c r="G6" s="2">
        <v>45324</v>
      </c>
      <c r="H6" t="s">
        <v>5</v>
      </c>
      <c r="K6" s="1">
        <v>45324</v>
      </c>
      <c r="L6">
        <v>10000</v>
      </c>
      <c r="O6">
        <v>3</v>
      </c>
      <c r="P6" s="3">
        <f t="shared" si="0"/>
        <v>4522.7291456184148</v>
      </c>
      <c r="Q6" s="3">
        <f t="shared" si="1"/>
        <v>615.0811197260233</v>
      </c>
      <c r="R6" s="3">
        <f t="shared" si="2"/>
        <v>3907.6480258923921</v>
      </c>
      <c r="V6" s="3">
        <f t="shared" ref="V6:V27" si="3">V5-R6</f>
        <v>88354.519933011092</v>
      </c>
    </row>
    <row r="7" spans="1:22" x14ac:dyDescent="0.3">
      <c r="A7">
        <v>6</v>
      </c>
      <c r="B7" t="s">
        <v>1</v>
      </c>
      <c r="C7" t="s">
        <v>7</v>
      </c>
      <c r="D7" s="1"/>
      <c r="G7" s="2">
        <v>45325</v>
      </c>
      <c r="H7" t="s">
        <v>6</v>
      </c>
      <c r="K7" s="1">
        <v>45325</v>
      </c>
      <c r="L7">
        <v>11000</v>
      </c>
      <c r="O7">
        <v>4</v>
      </c>
      <c r="P7" s="3">
        <f t="shared" si="0"/>
        <v>4522.7291456184148</v>
      </c>
      <c r="Q7" s="3">
        <f t="shared" si="1"/>
        <v>589.0301328867406</v>
      </c>
      <c r="R7" s="3">
        <f t="shared" si="2"/>
        <v>3933.6990127316749</v>
      </c>
      <c r="V7" s="3">
        <f t="shared" si="3"/>
        <v>84420.820920279424</v>
      </c>
    </row>
    <row r="8" spans="1:22" x14ac:dyDescent="0.3">
      <c r="A8">
        <v>7</v>
      </c>
      <c r="B8" t="s">
        <v>2</v>
      </c>
      <c r="C8" t="s">
        <v>13</v>
      </c>
      <c r="D8" s="1"/>
      <c r="G8" s="2">
        <v>45326</v>
      </c>
      <c r="H8" t="s">
        <v>0</v>
      </c>
      <c r="K8" s="1">
        <v>45326</v>
      </c>
      <c r="L8">
        <v>12000</v>
      </c>
      <c r="O8">
        <v>5</v>
      </c>
      <c r="P8" s="3">
        <f t="shared" si="0"/>
        <v>4522.7291456184148</v>
      </c>
      <c r="Q8" s="3">
        <f t="shared" si="1"/>
        <v>562.80547280186283</v>
      </c>
      <c r="R8" s="3">
        <f t="shared" si="2"/>
        <v>3959.9236728165524</v>
      </c>
      <c r="V8" s="3">
        <f t="shared" si="3"/>
        <v>80460.897247462868</v>
      </c>
    </row>
    <row r="9" spans="1:22" x14ac:dyDescent="0.3">
      <c r="A9">
        <v>8</v>
      </c>
      <c r="B9" t="s">
        <v>3</v>
      </c>
      <c r="C9" t="s">
        <v>14</v>
      </c>
      <c r="D9" s="1"/>
      <c r="G9" s="2">
        <v>45327</v>
      </c>
      <c r="H9" t="s">
        <v>1</v>
      </c>
      <c r="K9" s="1">
        <v>45327</v>
      </c>
      <c r="L9">
        <v>13000</v>
      </c>
      <c r="O9">
        <v>6</v>
      </c>
      <c r="P9" s="3">
        <f t="shared" si="0"/>
        <v>4522.7291456184148</v>
      </c>
      <c r="Q9" s="3">
        <f t="shared" si="1"/>
        <v>536.40598164975245</v>
      </c>
      <c r="R9" s="3">
        <f t="shared" si="2"/>
        <v>3986.3231639686624</v>
      </c>
      <c r="V9" s="3">
        <f t="shared" si="3"/>
        <v>76474.574083494212</v>
      </c>
    </row>
    <row r="10" spans="1:22" x14ac:dyDescent="0.3">
      <c r="A10">
        <v>9</v>
      </c>
      <c r="B10" t="s">
        <v>4</v>
      </c>
      <c r="C10" t="s">
        <v>15</v>
      </c>
      <c r="D10" s="1"/>
      <c r="G10" s="2">
        <v>45328</v>
      </c>
      <c r="H10" t="s">
        <v>2</v>
      </c>
      <c r="K10" s="1">
        <v>45328</v>
      </c>
      <c r="L10">
        <v>14000</v>
      </c>
      <c r="O10">
        <v>7</v>
      </c>
      <c r="P10" s="3">
        <f t="shared" si="0"/>
        <v>4522.7291456184148</v>
      </c>
      <c r="Q10" s="3">
        <f t="shared" si="1"/>
        <v>509.83049388996136</v>
      </c>
      <c r="R10" s="3">
        <f t="shared" si="2"/>
        <v>4012.8986517284543</v>
      </c>
      <c r="V10" s="3">
        <f t="shared" si="3"/>
        <v>72461.675431765761</v>
      </c>
    </row>
    <row r="11" spans="1:22" x14ac:dyDescent="0.3">
      <c r="A11">
        <v>10</v>
      </c>
      <c r="B11" t="s">
        <v>5</v>
      </c>
      <c r="C11" t="s">
        <v>16</v>
      </c>
      <c r="D11" s="1"/>
      <c r="G11" s="2">
        <v>45329</v>
      </c>
      <c r="H11" t="s">
        <v>3</v>
      </c>
      <c r="K11" s="1">
        <v>45329</v>
      </c>
      <c r="L11">
        <v>15000</v>
      </c>
      <c r="O11">
        <v>8</v>
      </c>
      <c r="P11" s="3">
        <f t="shared" si="0"/>
        <v>4522.7291456184148</v>
      </c>
      <c r="Q11" s="3">
        <f t="shared" si="1"/>
        <v>483.07783621177168</v>
      </c>
      <c r="R11" s="3">
        <f t="shared" si="2"/>
        <v>4039.6513094066436</v>
      </c>
      <c r="V11" s="3">
        <f t="shared" si="3"/>
        <v>68422.024122359115</v>
      </c>
    </row>
    <row r="12" spans="1:22" x14ac:dyDescent="0.3">
      <c r="A12">
        <v>11</v>
      </c>
      <c r="B12" t="s">
        <v>6</v>
      </c>
      <c r="C12" t="s">
        <v>17</v>
      </c>
      <c r="D12" s="1"/>
      <c r="G12" s="2">
        <v>45330</v>
      </c>
      <c r="H12" t="s">
        <v>4</v>
      </c>
      <c r="K12" s="1">
        <v>45330</v>
      </c>
      <c r="L12">
        <v>16000</v>
      </c>
      <c r="O12">
        <v>9</v>
      </c>
      <c r="P12" s="3">
        <f t="shared" si="0"/>
        <v>4522.7291456184148</v>
      </c>
      <c r="Q12" s="3">
        <f t="shared" si="1"/>
        <v>456.14682748239403</v>
      </c>
      <c r="R12" s="3">
        <f t="shared" si="2"/>
        <v>4066.5823181360211</v>
      </c>
      <c r="V12" s="3">
        <f t="shared" si="3"/>
        <v>64355.441804223097</v>
      </c>
    </row>
    <row r="13" spans="1:22" x14ac:dyDescent="0.3">
      <c r="A13">
        <v>12</v>
      </c>
      <c r="B13" t="s">
        <v>0</v>
      </c>
      <c r="C13" t="s">
        <v>18</v>
      </c>
      <c r="D13" s="1"/>
      <c r="G13" s="2">
        <v>45331</v>
      </c>
      <c r="H13" t="s">
        <v>5</v>
      </c>
      <c r="K13" s="1">
        <v>45331</v>
      </c>
      <c r="L13">
        <v>17000</v>
      </c>
      <c r="O13">
        <v>10</v>
      </c>
      <c r="P13" s="3">
        <f t="shared" si="0"/>
        <v>4522.7291456184148</v>
      </c>
      <c r="Q13" s="3">
        <f t="shared" si="1"/>
        <v>429.03627869482057</v>
      </c>
      <c r="R13" s="3">
        <f t="shared" si="2"/>
        <v>4093.6928669235945</v>
      </c>
      <c r="V13" s="3">
        <f t="shared" si="3"/>
        <v>60261.748937299504</v>
      </c>
    </row>
    <row r="14" spans="1:22" x14ac:dyDescent="0.3">
      <c r="G14" s="2">
        <v>45332</v>
      </c>
      <c r="H14" t="s">
        <v>6</v>
      </c>
      <c r="K14" s="1">
        <v>45332</v>
      </c>
      <c r="L14">
        <v>18000</v>
      </c>
      <c r="O14">
        <v>11</v>
      </c>
      <c r="P14" s="3">
        <f t="shared" si="0"/>
        <v>4522.7291456184148</v>
      </c>
      <c r="Q14" s="3">
        <f t="shared" si="1"/>
        <v>401.74499291532993</v>
      </c>
      <c r="R14" s="3">
        <f t="shared" si="2"/>
        <v>4120.9841527030849</v>
      </c>
      <c r="V14" s="3">
        <f t="shared" si="3"/>
        <v>56140.764784596417</v>
      </c>
    </row>
    <row r="15" spans="1:22" x14ac:dyDescent="0.3">
      <c r="G15" s="2">
        <v>45333</v>
      </c>
      <c r="H15" t="s">
        <v>0</v>
      </c>
      <c r="K15" s="1">
        <v>45333</v>
      </c>
      <c r="L15">
        <v>19000</v>
      </c>
      <c r="O15">
        <v>12</v>
      </c>
      <c r="P15" s="3">
        <f t="shared" si="0"/>
        <v>4522.7291456184148</v>
      </c>
      <c r="Q15" s="3">
        <f t="shared" si="1"/>
        <v>374.2717652306427</v>
      </c>
      <c r="R15" s="3">
        <f t="shared" si="2"/>
        <v>4148.4573803877729</v>
      </c>
      <c r="V15" s="3">
        <f t="shared" si="3"/>
        <v>51992.307404208645</v>
      </c>
    </row>
    <row r="16" spans="1:22" x14ac:dyDescent="0.3">
      <c r="G16" s="2">
        <v>45334</v>
      </c>
      <c r="H16" t="s">
        <v>1</v>
      </c>
      <c r="K16" s="1">
        <v>45334</v>
      </c>
      <c r="L16">
        <v>20000</v>
      </c>
      <c r="O16">
        <v>13</v>
      </c>
      <c r="P16" s="3">
        <f>PMT($S$5/12,$T$5*12,-$U$5)</f>
        <v>4522.7291456184148</v>
      </c>
      <c r="Q16" s="3">
        <f>IPMT($S$5/12,O16,$T$5*12,-$U$5)</f>
        <v>346.61538269472425</v>
      </c>
      <c r="R16" s="3">
        <f>PPMT($S$5/12,O16,$T$5*12,-$U$5)</f>
        <v>4176.113762923691</v>
      </c>
      <c r="V16" s="3">
        <f t="shared" si="3"/>
        <v>47816.193641284954</v>
      </c>
    </row>
    <row r="17" spans="4:22" x14ac:dyDescent="0.3">
      <c r="G17" s="2">
        <v>45335</v>
      </c>
      <c r="H17" t="s">
        <v>2</v>
      </c>
      <c r="K17" s="1">
        <v>45335</v>
      </c>
      <c r="L17">
        <v>21000</v>
      </c>
      <c r="O17">
        <v>14</v>
      </c>
      <c r="P17" s="3">
        <f t="shared" si="0"/>
        <v>4522.7291456184148</v>
      </c>
      <c r="Q17" s="3">
        <f t="shared" si="1"/>
        <v>318.77462427523295</v>
      </c>
      <c r="R17" s="3">
        <f t="shared" si="2"/>
        <v>4203.954521343182</v>
      </c>
      <c r="V17" s="3">
        <f t="shared" si="3"/>
        <v>43612.239119941769</v>
      </c>
    </row>
    <row r="18" spans="4:22" x14ac:dyDescent="0.3">
      <c r="G18" s="2"/>
      <c r="K18" t="s">
        <v>24</v>
      </c>
      <c r="L18">
        <f>SUBTOTAL(4,L4:L17)</f>
        <v>21000</v>
      </c>
      <c r="O18">
        <v>15</v>
      </c>
      <c r="P18" s="3">
        <f t="shared" si="0"/>
        <v>4522.7291456184148</v>
      </c>
      <c r="Q18" s="3">
        <f t="shared" si="1"/>
        <v>290.74826079961173</v>
      </c>
      <c r="R18" s="3">
        <f t="shared" si="2"/>
        <v>4231.980884818804</v>
      </c>
      <c r="V18" s="3">
        <f t="shared" si="3"/>
        <v>39380.258235122965</v>
      </c>
    </row>
    <row r="19" spans="4:22" x14ac:dyDescent="0.3">
      <c r="K19" t="s">
        <v>25</v>
      </c>
      <c r="L19">
        <f>SUBTOTAL(1,L4:L17)</f>
        <v>14500</v>
      </c>
      <c r="O19">
        <v>16</v>
      </c>
      <c r="P19" s="3">
        <f t="shared" si="0"/>
        <v>4522.7291456184148</v>
      </c>
      <c r="Q19" s="3">
        <f t="shared" si="1"/>
        <v>262.53505490081966</v>
      </c>
      <c r="R19" s="3">
        <f t="shared" si="2"/>
        <v>4260.1940907175949</v>
      </c>
      <c r="V19" s="3">
        <f t="shared" si="3"/>
        <v>35120.064144405369</v>
      </c>
    </row>
    <row r="20" spans="4:22" x14ac:dyDescent="0.3">
      <c r="O20">
        <v>17</v>
      </c>
      <c r="P20" s="3">
        <f t="shared" si="0"/>
        <v>4522.7291456184148</v>
      </c>
      <c r="Q20" s="3">
        <f t="shared" si="1"/>
        <v>234.13376096270238</v>
      </c>
      <c r="R20" s="3">
        <f t="shared" si="2"/>
        <v>4288.5953846557122</v>
      </c>
      <c r="V20" s="3">
        <f t="shared" si="3"/>
        <v>30831.468759749656</v>
      </c>
    </row>
    <row r="21" spans="4:22" x14ac:dyDescent="0.3">
      <c r="O21">
        <v>18</v>
      </c>
      <c r="P21" s="3">
        <f t="shared" si="0"/>
        <v>4522.7291456184148</v>
      </c>
      <c r="Q21" s="3">
        <f t="shared" si="1"/>
        <v>205.54312506499764</v>
      </c>
      <c r="R21" s="3">
        <f t="shared" si="2"/>
        <v>4317.1860205534185</v>
      </c>
      <c r="V21" s="3">
        <f t="shared" si="3"/>
        <v>26514.282739196238</v>
      </c>
    </row>
    <row r="22" spans="4:22" x14ac:dyDescent="0.3">
      <c r="O22">
        <v>19</v>
      </c>
      <c r="P22" s="3">
        <f t="shared" si="0"/>
        <v>4522.7291456184148</v>
      </c>
      <c r="Q22" s="3">
        <f t="shared" si="1"/>
        <v>176.76188492797488</v>
      </c>
      <c r="R22" s="3">
        <f t="shared" si="2"/>
        <v>4345.9672606904405</v>
      </c>
      <c r="V22" s="3">
        <f t="shared" si="3"/>
        <v>22168.3154785058</v>
      </c>
    </row>
    <row r="23" spans="4:22" x14ac:dyDescent="0.3">
      <c r="O23">
        <v>20</v>
      </c>
      <c r="P23" s="3">
        <f t="shared" si="0"/>
        <v>4522.7291456184148</v>
      </c>
      <c r="Q23" s="3">
        <f t="shared" si="1"/>
        <v>147.78876985670527</v>
      </c>
      <c r="R23" s="3">
        <f t="shared" si="2"/>
        <v>4374.9403757617101</v>
      </c>
      <c r="V23" s="3">
        <f t="shared" si="3"/>
        <v>17793.375102744089</v>
      </c>
    </row>
    <row r="24" spans="4:22" x14ac:dyDescent="0.3">
      <c r="O24">
        <v>21</v>
      </c>
      <c r="P24" s="3">
        <f t="shared" si="0"/>
        <v>4522.7291456184148</v>
      </c>
      <c r="Q24" s="3">
        <f t="shared" si="1"/>
        <v>118.62250068496053</v>
      </c>
      <c r="R24" s="3">
        <f t="shared" si="2"/>
        <v>4404.1066449334548</v>
      </c>
      <c r="V24" s="3">
        <f t="shared" si="3"/>
        <v>13389.268457810635</v>
      </c>
    </row>
    <row r="25" spans="4:22" x14ac:dyDescent="0.3">
      <c r="D25" t="s">
        <v>36</v>
      </c>
      <c r="E25" t="s">
        <v>37</v>
      </c>
      <c r="F25" t="s">
        <v>38</v>
      </c>
      <c r="G25" t="s">
        <v>39</v>
      </c>
      <c r="O25">
        <v>22</v>
      </c>
      <c r="P25" s="3">
        <f t="shared" si="0"/>
        <v>4522.7291456184148</v>
      </c>
      <c r="Q25" s="3">
        <f t="shared" si="1"/>
        <v>89.261789718737489</v>
      </c>
      <c r="R25" s="3">
        <f t="shared" si="2"/>
        <v>4433.4673558996774</v>
      </c>
      <c r="V25" s="3">
        <f t="shared" si="3"/>
        <v>8955.8011019109581</v>
      </c>
    </row>
    <row r="26" spans="4:22" x14ac:dyDescent="0.3">
      <c r="D26">
        <v>90</v>
      </c>
      <c r="E26">
        <v>100</v>
      </c>
      <c r="F26" t="b">
        <f>D26&gt;E26</f>
        <v>0</v>
      </c>
      <c r="G26" t="str">
        <f>IF(D26&gt;E26,"Yes","No")</f>
        <v>No</v>
      </c>
      <c r="H26" t="str">
        <f>IF(D26&gt;E26,UPPER(G27),UPPER(H27))</f>
        <v/>
      </c>
      <c r="O26">
        <v>23</v>
      </c>
      <c r="P26" s="3">
        <f t="shared" si="0"/>
        <v>4522.7291456184148</v>
      </c>
      <c r="Q26" s="3">
        <f t="shared" si="1"/>
        <v>59.705340679406291</v>
      </c>
      <c r="R26" s="3">
        <f t="shared" si="2"/>
        <v>4463.0238049390082</v>
      </c>
      <c r="V26" s="3">
        <f t="shared" si="3"/>
        <v>4492.7772969719499</v>
      </c>
    </row>
    <row r="27" spans="4:22" x14ac:dyDescent="0.3">
      <c r="D27" t="s">
        <v>41</v>
      </c>
      <c r="E27" t="s">
        <v>37</v>
      </c>
      <c r="F27" t="s">
        <v>42</v>
      </c>
      <c r="O27">
        <v>24</v>
      </c>
      <c r="P27" s="3">
        <f t="shared" si="0"/>
        <v>4522.7291456184148</v>
      </c>
      <c r="Q27" s="3">
        <f t="shared" si="1"/>
        <v>29.951848646479572</v>
      </c>
      <c r="R27" s="3">
        <f t="shared" si="2"/>
        <v>4492.7772969719354</v>
      </c>
      <c r="V27" s="3">
        <f t="shared" si="3"/>
        <v>1.4551915228366852E-11</v>
      </c>
    </row>
    <row r="28" spans="4:22" x14ac:dyDescent="0.3">
      <c r="D28">
        <v>70</v>
      </c>
      <c r="E28">
        <v>80</v>
      </c>
      <c r="F28" t="str">
        <f>IF(D28&gt;E28,IF(D28&gt;90,"You have scored more than 90","You have meet the first condition"),"Your marks is below 90")</f>
        <v>Your marks is below 90</v>
      </c>
      <c r="P28" s="3">
        <f>SUM(P4:P27)</f>
        <v>108545.49949484199</v>
      </c>
      <c r="Q28" s="3">
        <f>SUM(Q4:Q27)</f>
        <v>8545.4994948419717</v>
      </c>
    </row>
    <row r="30" spans="4:22" x14ac:dyDescent="0.3">
      <c r="D30" t="s">
        <v>41</v>
      </c>
      <c r="E30" t="s">
        <v>37</v>
      </c>
    </row>
    <row r="31" spans="4:22" x14ac:dyDescent="0.3">
      <c r="D31">
        <v>50</v>
      </c>
      <c r="E31">
        <v>80</v>
      </c>
      <c r="F31" t="str">
        <f>IF(AND(D31&gt;=45,E31&gt;=79),"You are passing candidate","You didn’t meet two conditions")</f>
        <v>You are passing candidate</v>
      </c>
    </row>
    <row r="33" spans="2:5" x14ac:dyDescent="0.3">
      <c r="B33" t="s">
        <v>43</v>
      </c>
      <c r="C33" t="s">
        <v>20</v>
      </c>
      <c r="D33" t="s">
        <v>41</v>
      </c>
    </row>
    <row r="34" spans="2:5" x14ac:dyDescent="0.3">
      <c r="B34" t="s">
        <v>40</v>
      </c>
      <c r="C34" t="s">
        <v>1</v>
      </c>
      <c r="D34">
        <v>50</v>
      </c>
      <c r="E34">
        <f>SUMIF(D34:D38,"&gt;51")</f>
        <v>120</v>
      </c>
    </row>
    <row r="35" spans="2:5" x14ac:dyDescent="0.3">
      <c r="B35" t="s">
        <v>44</v>
      </c>
      <c r="C35" t="s">
        <v>1</v>
      </c>
      <c r="D35">
        <v>55</v>
      </c>
      <c r="E35">
        <f>SUMIF(C34:C38,"mon",D34:D38)</f>
        <v>170</v>
      </c>
    </row>
    <row r="36" spans="2:5" x14ac:dyDescent="0.3">
      <c r="B36" t="s">
        <v>40</v>
      </c>
      <c r="C36" t="s">
        <v>1</v>
      </c>
      <c r="D36">
        <v>65</v>
      </c>
      <c r="E36">
        <f>AVERAGEIF(D34:D38,"&lt;51")</f>
        <v>42.333333333333336</v>
      </c>
    </row>
    <row r="37" spans="2:5" x14ac:dyDescent="0.3">
      <c r="B37" t="s">
        <v>44</v>
      </c>
      <c r="C37" t="s">
        <v>2</v>
      </c>
      <c r="D37">
        <v>45</v>
      </c>
      <c r="E37">
        <f>SUMIFS(B34:B38,C34:C38,"mon",D34:D38,"&gt;=50")</f>
        <v>0</v>
      </c>
    </row>
    <row r="38" spans="2:5" x14ac:dyDescent="0.3">
      <c r="B38" t="s">
        <v>40</v>
      </c>
      <c r="C38" t="s">
        <v>2</v>
      </c>
      <c r="D38">
        <v>32</v>
      </c>
    </row>
    <row r="50" spans="1:53" x14ac:dyDescent="0.3">
      <c r="F50" s="5" t="s">
        <v>45</v>
      </c>
      <c r="G50" s="4"/>
      <c r="H50" s="4"/>
      <c r="I50" s="4"/>
      <c r="J50" s="4"/>
      <c r="K50" s="4"/>
      <c r="L50" s="4"/>
    </row>
    <row r="51" spans="1:53" x14ac:dyDescent="0.3">
      <c r="F51" s="4"/>
      <c r="G51" s="4"/>
      <c r="H51" s="4"/>
      <c r="I51" s="4"/>
      <c r="J51" s="4"/>
      <c r="K51" s="4"/>
      <c r="L51" s="4"/>
    </row>
    <row r="53" spans="1:53" x14ac:dyDescent="0.3">
      <c r="Z53" s="4" t="s">
        <v>83</v>
      </c>
      <c r="AA53" s="4"/>
      <c r="AB53" s="4"/>
      <c r="AE53" s="4" t="s">
        <v>84</v>
      </c>
      <c r="AF53" s="4"/>
      <c r="AG53" s="4"/>
      <c r="AH53" s="4"/>
      <c r="AI53" s="4"/>
      <c r="AJ53" s="4"/>
      <c r="AM53" s="4" t="s">
        <v>85</v>
      </c>
      <c r="AN53" s="4"/>
      <c r="AO53" s="4"/>
    </row>
    <row r="54" spans="1:53" x14ac:dyDescent="0.3">
      <c r="Z54" t="s">
        <v>43</v>
      </c>
      <c r="AA54" t="s">
        <v>80</v>
      </c>
      <c r="AB54" t="s">
        <v>81</v>
      </c>
      <c r="AF54">
        <v>1</v>
      </c>
      <c r="AG54">
        <v>2</v>
      </c>
      <c r="AH54">
        <v>3</v>
      </c>
      <c r="AI54">
        <v>4</v>
      </c>
      <c r="AJ54">
        <v>5</v>
      </c>
      <c r="AM54" s="1">
        <f ca="1">TODAY()</f>
        <v>45329</v>
      </c>
      <c r="AN54" t="s">
        <v>86</v>
      </c>
    </row>
    <row r="55" spans="1:53" x14ac:dyDescent="0.3">
      <c r="D55" t="s">
        <v>19</v>
      </c>
      <c r="E55" t="s">
        <v>46</v>
      </c>
      <c r="F55" t="s">
        <v>43</v>
      </c>
      <c r="G55" t="s">
        <v>47</v>
      </c>
      <c r="H55" t="s">
        <v>48</v>
      </c>
      <c r="I55" t="s">
        <v>49</v>
      </c>
      <c r="J55" t="s">
        <v>50</v>
      </c>
      <c r="K55" t="s">
        <v>51</v>
      </c>
      <c r="Z55" t="s">
        <v>82</v>
      </c>
      <c r="AA55">
        <v>100</v>
      </c>
      <c r="AE55">
        <v>10</v>
      </c>
      <c r="AF55">
        <f>PRODUCT($AE55,AF$54)</f>
        <v>10</v>
      </c>
      <c r="AG55">
        <f t="shared" ref="AG55:AJ59" si="4">PRODUCT($AE55,AG$54)</f>
        <v>20</v>
      </c>
      <c r="AH55">
        <f t="shared" si="4"/>
        <v>30</v>
      </c>
      <c r="AI55">
        <f t="shared" si="4"/>
        <v>40</v>
      </c>
      <c r="AJ55">
        <f t="shared" si="4"/>
        <v>50</v>
      </c>
      <c r="AM55" s="10">
        <f ca="1">NOW()</f>
        <v>45329.067631712962</v>
      </c>
      <c r="AN55" t="s">
        <v>87</v>
      </c>
    </row>
    <row r="56" spans="1:53" x14ac:dyDescent="0.3">
      <c r="D56">
        <v>1</v>
      </c>
      <c r="E56">
        <v>123</v>
      </c>
      <c r="F56" t="s">
        <v>52</v>
      </c>
      <c r="G56">
        <v>100</v>
      </c>
      <c r="H56">
        <v>50000</v>
      </c>
      <c r="I56" t="s">
        <v>77</v>
      </c>
      <c r="J56">
        <v>9153247</v>
      </c>
      <c r="K56" s="7">
        <v>0.5</v>
      </c>
      <c r="Z56" t="s">
        <v>59</v>
      </c>
      <c r="AA56">
        <v>80</v>
      </c>
      <c r="AB56" s="9">
        <f>AA56/$AA$55</f>
        <v>0.8</v>
      </c>
      <c r="AE56">
        <v>20</v>
      </c>
      <c r="AF56">
        <f t="shared" ref="AF56:AF59" si="5">PRODUCT($AE56,AF$54)</f>
        <v>20</v>
      </c>
      <c r="AG56">
        <f t="shared" si="4"/>
        <v>40</v>
      </c>
      <c r="AH56">
        <f t="shared" si="4"/>
        <v>60</v>
      </c>
      <c r="AI56">
        <f t="shared" si="4"/>
        <v>80</v>
      </c>
      <c r="AJ56">
        <f t="shared" si="4"/>
        <v>100</v>
      </c>
      <c r="AM56">
        <f ca="1">DAY(AM54)</f>
        <v>7</v>
      </c>
      <c r="AN56" t="s">
        <v>20</v>
      </c>
    </row>
    <row r="57" spans="1:53" x14ac:dyDescent="0.3">
      <c r="D57">
        <v>2</v>
      </c>
      <c r="E57">
        <v>124</v>
      </c>
      <c r="F57" t="s">
        <v>53</v>
      </c>
      <c r="G57">
        <v>80</v>
      </c>
      <c r="H57">
        <v>80000</v>
      </c>
      <c r="I57" t="s">
        <v>78</v>
      </c>
      <c r="J57">
        <v>9491659</v>
      </c>
      <c r="K57" s="7">
        <v>0.49652777777777773</v>
      </c>
      <c r="Z57" t="s">
        <v>60</v>
      </c>
      <c r="AA57">
        <v>99</v>
      </c>
      <c r="AB57" s="9">
        <f t="shared" ref="AB57:AB61" si="6">AA57/$AA$55</f>
        <v>0.99</v>
      </c>
      <c r="AE57">
        <v>30</v>
      </c>
      <c r="AF57">
        <f t="shared" si="5"/>
        <v>30</v>
      </c>
      <c r="AG57">
        <f t="shared" si="4"/>
        <v>60</v>
      </c>
      <c r="AH57">
        <f t="shared" si="4"/>
        <v>90</v>
      </c>
      <c r="AI57">
        <f t="shared" si="4"/>
        <v>120</v>
      </c>
      <c r="AJ57">
        <f t="shared" si="4"/>
        <v>150</v>
      </c>
      <c r="AM57">
        <f ca="1">MONTH(AM54)</f>
        <v>2</v>
      </c>
      <c r="AN57" t="s">
        <v>21</v>
      </c>
      <c r="AT57" t="s">
        <v>104</v>
      </c>
      <c r="AU57" t="s">
        <v>105</v>
      </c>
      <c r="AX57" s="4" t="s">
        <v>114</v>
      </c>
      <c r="AY57" s="4"/>
      <c r="AZ57" s="4"/>
      <c r="BA57" s="4"/>
    </row>
    <row r="58" spans="1:53" x14ac:dyDescent="0.3">
      <c r="D58">
        <v>3</v>
      </c>
      <c r="E58">
        <v>125</v>
      </c>
      <c r="F58" t="s">
        <v>54</v>
      </c>
      <c r="G58">
        <v>60</v>
      </c>
      <c r="H58">
        <v>4000</v>
      </c>
      <c r="I58" t="s">
        <v>77</v>
      </c>
      <c r="J58">
        <v>9830071</v>
      </c>
      <c r="K58" s="7">
        <v>0.45555555555555555</v>
      </c>
      <c r="Z58" t="s">
        <v>61</v>
      </c>
      <c r="AA58">
        <v>56</v>
      </c>
      <c r="AB58" s="9">
        <f t="shared" si="6"/>
        <v>0.56000000000000005</v>
      </c>
      <c r="AE58">
        <v>40</v>
      </c>
      <c r="AF58">
        <f t="shared" si="5"/>
        <v>40</v>
      </c>
      <c r="AG58">
        <f t="shared" si="4"/>
        <v>80</v>
      </c>
      <c r="AH58">
        <f t="shared" si="4"/>
        <v>120</v>
      </c>
      <c r="AI58">
        <f t="shared" si="4"/>
        <v>160</v>
      </c>
      <c r="AJ58">
        <f t="shared" si="4"/>
        <v>200</v>
      </c>
      <c r="AM58">
        <f ca="1">YEAR(AM54)</f>
        <v>2024</v>
      </c>
      <c r="AN58" t="s">
        <v>88</v>
      </c>
      <c r="AT58" s="1">
        <v>45329</v>
      </c>
      <c r="AU58" s="11">
        <f>AT58</f>
        <v>45329</v>
      </c>
      <c r="AX58" t="s">
        <v>115</v>
      </c>
      <c r="AY58" t="s">
        <v>118</v>
      </c>
      <c r="AZ58" t="s">
        <v>116</v>
      </c>
      <c r="BA58" t="s">
        <v>117</v>
      </c>
    </row>
    <row r="59" spans="1:53" x14ac:dyDescent="0.3">
      <c r="D59">
        <v>4</v>
      </c>
      <c r="E59">
        <v>126</v>
      </c>
      <c r="F59" t="s">
        <v>55</v>
      </c>
      <c r="G59">
        <v>40</v>
      </c>
      <c r="H59">
        <v>60000</v>
      </c>
      <c r="I59" t="s">
        <v>78</v>
      </c>
      <c r="J59">
        <v>10168483</v>
      </c>
      <c r="K59" s="7">
        <v>0.5</v>
      </c>
      <c r="Z59" t="s">
        <v>62</v>
      </c>
      <c r="AA59">
        <v>58</v>
      </c>
      <c r="AB59" s="9">
        <f t="shared" si="6"/>
        <v>0.57999999999999996</v>
      </c>
      <c r="AE59">
        <v>50</v>
      </c>
      <c r="AF59">
        <f t="shared" si="5"/>
        <v>50</v>
      </c>
      <c r="AG59">
        <f t="shared" si="4"/>
        <v>100</v>
      </c>
      <c r="AH59">
        <f t="shared" si="4"/>
        <v>150</v>
      </c>
      <c r="AI59">
        <f t="shared" si="4"/>
        <v>200</v>
      </c>
      <c r="AJ59">
        <f t="shared" si="4"/>
        <v>250</v>
      </c>
      <c r="AM59" s="1">
        <f ca="1">DATE(AM58,AM57,AM56)</f>
        <v>45329</v>
      </c>
      <c r="AN59" t="s">
        <v>22</v>
      </c>
      <c r="AT59" s="1">
        <v>45330</v>
      </c>
      <c r="AU59" s="11">
        <f t="shared" ref="AU59:AU65" si="7">AT59</f>
        <v>45330</v>
      </c>
      <c r="AX59" t="s">
        <v>50</v>
      </c>
      <c r="AY59">
        <v>152468</v>
      </c>
      <c r="AZ59">
        <v>10</v>
      </c>
      <c r="BA59" s="13">
        <v>100</v>
      </c>
    </row>
    <row r="60" spans="1:53" x14ac:dyDescent="0.3">
      <c r="A60" s="8" t="s">
        <v>79</v>
      </c>
      <c r="B60" s="8"/>
      <c r="D60">
        <v>5</v>
      </c>
      <c r="E60">
        <v>127</v>
      </c>
      <c r="F60" t="s">
        <v>56</v>
      </c>
      <c r="G60">
        <v>20</v>
      </c>
      <c r="H60">
        <v>37000</v>
      </c>
      <c r="I60" t="s">
        <v>77</v>
      </c>
      <c r="J60">
        <v>10506895</v>
      </c>
      <c r="K60" s="7">
        <v>0.49652777777777773</v>
      </c>
      <c r="Z60" t="s">
        <v>63</v>
      </c>
      <c r="AA60">
        <v>26</v>
      </c>
      <c r="AB60" s="9">
        <f t="shared" si="6"/>
        <v>0.26</v>
      </c>
      <c r="AT60" s="1">
        <v>45331</v>
      </c>
      <c r="AU60" s="11">
        <f t="shared" si="7"/>
        <v>45331</v>
      </c>
      <c r="AX60" t="s">
        <v>119</v>
      </c>
      <c r="AY60">
        <v>152478</v>
      </c>
      <c r="AZ60">
        <v>20</v>
      </c>
      <c r="BA60" s="13">
        <v>500</v>
      </c>
    </row>
    <row r="61" spans="1:53" x14ac:dyDescent="0.3">
      <c r="A61" s="8"/>
      <c r="B61" s="8"/>
      <c r="D61">
        <v>6</v>
      </c>
      <c r="E61">
        <v>128</v>
      </c>
      <c r="F61" t="s">
        <v>57</v>
      </c>
      <c r="G61">
        <v>90</v>
      </c>
      <c r="H61">
        <v>32400</v>
      </c>
      <c r="I61" t="s">
        <v>78</v>
      </c>
      <c r="J61">
        <v>10845307</v>
      </c>
      <c r="K61" s="7">
        <v>0.45555555555555555</v>
      </c>
      <c r="Z61" t="s">
        <v>64</v>
      </c>
      <c r="AA61">
        <v>45</v>
      </c>
      <c r="AB61" s="9">
        <f t="shared" si="6"/>
        <v>0.45</v>
      </c>
      <c r="AM61" t="s">
        <v>89</v>
      </c>
      <c r="AT61" s="1">
        <v>45332</v>
      </c>
      <c r="AU61" s="11">
        <f t="shared" si="7"/>
        <v>45332</v>
      </c>
      <c r="AX61" t="s">
        <v>120</v>
      </c>
      <c r="AY61">
        <v>152488</v>
      </c>
      <c r="AZ61">
        <v>30</v>
      </c>
      <c r="BA61" s="13">
        <v>662</v>
      </c>
    </row>
    <row r="62" spans="1:53" x14ac:dyDescent="0.3">
      <c r="A62" s="8"/>
      <c r="B62" s="8"/>
      <c r="D62">
        <v>7</v>
      </c>
      <c r="E62">
        <v>129</v>
      </c>
      <c r="F62" t="s">
        <v>58</v>
      </c>
      <c r="G62">
        <v>70</v>
      </c>
      <c r="H62">
        <v>27800</v>
      </c>
      <c r="I62" t="s">
        <v>77</v>
      </c>
      <c r="J62">
        <v>11183719</v>
      </c>
      <c r="K62" s="7">
        <v>0.5</v>
      </c>
      <c r="AM62" t="s">
        <v>90</v>
      </c>
      <c r="AN62" s="1">
        <f ca="1">AM54+AO62</f>
        <v>45336</v>
      </c>
      <c r="AO62">
        <v>7</v>
      </c>
      <c r="AT62" s="1">
        <v>45333</v>
      </c>
      <c r="AU62" s="11">
        <f t="shared" si="7"/>
        <v>45333</v>
      </c>
      <c r="AX62" t="s">
        <v>121</v>
      </c>
      <c r="AY62">
        <v>152498</v>
      </c>
      <c r="AZ62">
        <v>40</v>
      </c>
      <c r="BA62" s="13">
        <v>516</v>
      </c>
    </row>
    <row r="63" spans="1:53" x14ac:dyDescent="0.3">
      <c r="A63" s="8"/>
      <c r="B63" s="8"/>
      <c r="D63">
        <v>8</v>
      </c>
      <c r="E63">
        <v>130</v>
      </c>
      <c r="F63" t="s">
        <v>59</v>
      </c>
      <c r="G63">
        <v>50</v>
      </c>
      <c r="H63">
        <v>23200</v>
      </c>
      <c r="I63" t="s">
        <v>78</v>
      </c>
      <c r="J63">
        <v>11522131</v>
      </c>
      <c r="K63" s="7">
        <v>0.49652777777777773</v>
      </c>
      <c r="AM63" t="s">
        <v>91</v>
      </c>
      <c r="AN63" s="1">
        <f ca="1">AM54-AO63</f>
        <v>45322</v>
      </c>
      <c r="AO63">
        <v>7</v>
      </c>
      <c r="AT63" s="1">
        <v>45334</v>
      </c>
      <c r="AU63" s="11">
        <f t="shared" si="7"/>
        <v>45334</v>
      </c>
      <c r="AX63" t="s">
        <v>122</v>
      </c>
      <c r="AY63">
        <v>152508</v>
      </c>
      <c r="AZ63">
        <v>50</v>
      </c>
      <c r="BA63" s="13">
        <v>166</v>
      </c>
    </row>
    <row r="64" spans="1:53" x14ac:dyDescent="0.3">
      <c r="A64" s="8"/>
      <c r="B64" s="8"/>
      <c r="D64">
        <v>9</v>
      </c>
      <c r="E64">
        <v>131</v>
      </c>
      <c r="F64" t="s">
        <v>60</v>
      </c>
      <c r="G64">
        <v>30</v>
      </c>
      <c r="H64">
        <v>18600</v>
      </c>
      <c r="I64" t="s">
        <v>77</v>
      </c>
      <c r="J64">
        <v>11860543</v>
      </c>
      <c r="K64" s="7">
        <v>0.45555555555555555</v>
      </c>
      <c r="AT64" s="1">
        <v>45335</v>
      </c>
      <c r="AU64" s="11">
        <f t="shared" si="7"/>
        <v>45335</v>
      </c>
      <c r="AX64" t="s">
        <v>123</v>
      </c>
      <c r="AY64">
        <v>152518</v>
      </c>
      <c r="AZ64">
        <v>60</v>
      </c>
      <c r="BA64" s="13">
        <v>516</v>
      </c>
    </row>
    <row r="65" spans="1:54" x14ac:dyDescent="0.3">
      <c r="A65" s="8"/>
      <c r="B65" s="8"/>
      <c r="D65">
        <v>10</v>
      </c>
      <c r="E65">
        <v>132</v>
      </c>
      <c r="F65" t="s">
        <v>61</v>
      </c>
      <c r="G65">
        <v>10</v>
      </c>
      <c r="H65">
        <v>14000</v>
      </c>
      <c r="I65" t="s">
        <v>78</v>
      </c>
      <c r="J65">
        <v>12198955</v>
      </c>
      <c r="K65" s="7">
        <v>0.5</v>
      </c>
      <c r="AM65" t="s">
        <v>95</v>
      </c>
      <c r="AT65" s="1">
        <v>45336</v>
      </c>
      <c r="AU65" s="11">
        <f t="shared" si="7"/>
        <v>45336</v>
      </c>
    </row>
    <row r="66" spans="1:54" x14ac:dyDescent="0.3">
      <c r="D66">
        <v>11</v>
      </c>
      <c r="E66">
        <v>133</v>
      </c>
      <c r="F66" t="s">
        <v>62</v>
      </c>
      <c r="G66">
        <v>100</v>
      </c>
      <c r="H66">
        <v>9400</v>
      </c>
      <c r="I66" t="s">
        <v>77</v>
      </c>
      <c r="J66">
        <v>12537367</v>
      </c>
      <c r="K66" s="7">
        <v>0.49652777777777773</v>
      </c>
      <c r="AM66" t="s">
        <v>93</v>
      </c>
      <c r="AN66" s="1">
        <f ca="1">EDATE(AM54,AO66)</f>
        <v>45542</v>
      </c>
      <c r="AO66">
        <v>7</v>
      </c>
    </row>
    <row r="67" spans="1:54" x14ac:dyDescent="0.3">
      <c r="D67">
        <v>12</v>
      </c>
      <c r="E67">
        <v>134</v>
      </c>
      <c r="F67" t="s">
        <v>63</v>
      </c>
      <c r="G67">
        <v>70</v>
      </c>
      <c r="H67">
        <v>4800</v>
      </c>
      <c r="I67" t="s">
        <v>78</v>
      </c>
      <c r="J67">
        <v>12875779</v>
      </c>
      <c r="K67" s="7">
        <v>0.45555555555555555</v>
      </c>
      <c r="AM67" t="s">
        <v>94</v>
      </c>
      <c r="AN67" s="1">
        <f ca="1">EDATE(AM54,AO67)</f>
        <v>45114</v>
      </c>
      <c r="AO67">
        <v>-7</v>
      </c>
      <c r="AX67" s="4" t="s">
        <v>125</v>
      </c>
      <c r="AY67" s="4"/>
      <c r="AZ67" s="4"/>
      <c r="BA67" s="4"/>
      <c r="BB67" s="4"/>
    </row>
    <row r="68" spans="1:54" x14ac:dyDescent="0.3">
      <c r="D68">
        <v>13</v>
      </c>
      <c r="E68">
        <v>135</v>
      </c>
      <c r="F68" t="s">
        <v>64</v>
      </c>
      <c r="G68">
        <v>40</v>
      </c>
      <c r="H68">
        <v>200</v>
      </c>
      <c r="I68" t="s">
        <v>77</v>
      </c>
      <c r="J68">
        <v>13214191</v>
      </c>
      <c r="K68" s="7">
        <v>0.5</v>
      </c>
      <c r="AT68" t="s">
        <v>106</v>
      </c>
      <c r="AU68" t="s">
        <v>107</v>
      </c>
      <c r="AX68" t="s">
        <v>115</v>
      </c>
      <c r="AY68" t="s">
        <v>117</v>
      </c>
      <c r="AZ68" t="s">
        <v>124</v>
      </c>
      <c r="BA68" t="s">
        <v>23</v>
      </c>
    </row>
    <row r="69" spans="1:54" x14ac:dyDescent="0.3">
      <c r="D69">
        <v>14</v>
      </c>
      <c r="E69">
        <v>136</v>
      </c>
      <c r="F69" t="s">
        <v>65</v>
      </c>
      <c r="G69">
        <v>10</v>
      </c>
      <c r="H69">
        <v>80000</v>
      </c>
      <c r="I69" t="s">
        <v>78</v>
      </c>
      <c r="J69">
        <v>13552603</v>
      </c>
      <c r="K69" s="7">
        <v>0.49652777777777773</v>
      </c>
      <c r="AM69" t="s">
        <v>96</v>
      </c>
      <c r="AT69" s="1">
        <v>38153</v>
      </c>
      <c r="AU69" s="1">
        <f ca="1">TODAY()</f>
        <v>45329</v>
      </c>
      <c r="AX69" t="s">
        <v>123</v>
      </c>
      <c r="AY69">
        <f>VLOOKUP(AX69,AX58:BA64,4,0)</f>
        <v>516</v>
      </c>
      <c r="AZ69">
        <v>9</v>
      </c>
      <c r="BA69">
        <f>AY69*AZ69</f>
        <v>4644</v>
      </c>
    </row>
    <row r="70" spans="1:54" x14ac:dyDescent="0.3">
      <c r="D70">
        <v>15</v>
      </c>
      <c r="E70">
        <v>137</v>
      </c>
      <c r="F70" t="s">
        <v>66</v>
      </c>
      <c r="G70">
        <v>90</v>
      </c>
      <c r="H70">
        <v>56000</v>
      </c>
      <c r="I70" t="s">
        <v>77</v>
      </c>
      <c r="J70">
        <v>13891015</v>
      </c>
      <c r="K70" s="7">
        <v>0.45555555555555555</v>
      </c>
      <c r="AM70" t="s">
        <v>97</v>
      </c>
      <c r="AN70" s="1">
        <f ca="1">EDATE(AM54,72)</f>
        <v>47521</v>
      </c>
      <c r="AO70">
        <v>7</v>
      </c>
      <c r="AU70" s="12"/>
    </row>
    <row r="71" spans="1:54" x14ac:dyDescent="0.3">
      <c r="D71">
        <v>16</v>
      </c>
      <c r="E71">
        <v>138</v>
      </c>
      <c r="F71" t="s">
        <v>67</v>
      </c>
      <c r="G71">
        <v>60</v>
      </c>
      <c r="H71">
        <v>45000</v>
      </c>
      <c r="I71" t="s">
        <v>78</v>
      </c>
      <c r="J71">
        <v>14229427</v>
      </c>
      <c r="K71" s="7">
        <v>0.5</v>
      </c>
      <c r="AM71" t="s">
        <v>92</v>
      </c>
      <c r="AN71" s="1">
        <f ca="1">EDATE(AM54,-72)</f>
        <v>43138</v>
      </c>
      <c r="AO71">
        <v>-7</v>
      </c>
      <c r="AT71" t="s">
        <v>108</v>
      </c>
      <c r="AU71">
        <f ca="1">DATEDIF(AT69,AU69,"Y")</f>
        <v>19</v>
      </c>
    </row>
    <row r="72" spans="1:54" x14ac:dyDescent="0.3">
      <c r="D72">
        <v>17</v>
      </c>
      <c r="E72">
        <v>139</v>
      </c>
      <c r="F72" t="s">
        <v>68</v>
      </c>
      <c r="G72">
        <v>30</v>
      </c>
      <c r="H72">
        <v>40000</v>
      </c>
      <c r="I72" t="s">
        <v>77</v>
      </c>
      <c r="J72">
        <v>14567839</v>
      </c>
      <c r="K72" s="7">
        <v>0.49652777777777773</v>
      </c>
      <c r="AT72" t="s">
        <v>109</v>
      </c>
      <c r="AU72">
        <f ca="1">DATEDIF(AT69,AU69,"M")</f>
        <v>235</v>
      </c>
    </row>
    <row r="73" spans="1:54" x14ac:dyDescent="0.3">
      <c r="D73">
        <v>18</v>
      </c>
      <c r="E73">
        <v>140</v>
      </c>
      <c r="F73" t="s">
        <v>69</v>
      </c>
      <c r="G73">
        <v>100</v>
      </c>
      <c r="H73">
        <v>35000</v>
      </c>
      <c r="I73" t="s">
        <v>78</v>
      </c>
      <c r="J73">
        <v>14906251</v>
      </c>
      <c r="K73" s="7">
        <v>0.45555555555555555</v>
      </c>
      <c r="AM73" t="s">
        <v>98</v>
      </c>
      <c r="AT73" t="s">
        <v>110</v>
      </c>
      <c r="AU73">
        <f ca="1">DATEDIF(AT69,AU69,"d")</f>
        <v>7176</v>
      </c>
    </row>
    <row r="74" spans="1:54" x14ac:dyDescent="0.3">
      <c r="D74">
        <v>19</v>
      </c>
      <c r="E74">
        <v>141</v>
      </c>
      <c r="F74" t="s">
        <v>70</v>
      </c>
      <c r="G74">
        <v>90</v>
      </c>
      <c r="H74">
        <v>30000</v>
      </c>
      <c r="I74" t="s">
        <v>77</v>
      </c>
      <c r="J74">
        <v>15244663</v>
      </c>
      <c r="K74" s="7">
        <v>0.5</v>
      </c>
      <c r="AM74" t="s">
        <v>99</v>
      </c>
      <c r="AN74" s="1">
        <v>45292</v>
      </c>
    </row>
    <row r="75" spans="1:54" x14ac:dyDescent="0.3">
      <c r="D75">
        <v>20</v>
      </c>
      <c r="E75">
        <v>142</v>
      </c>
      <c r="F75" t="s">
        <v>71</v>
      </c>
      <c r="G75">
        <v>70</v>
      </c>
      <c r="H75">
        <v>25000</v>
      </c>
      <c r="I75" t="s">
        <v>78</v>
      </c>
      <c r="J75">
        <v>15583075</v>
      </c>
      <c r="K75" s="7">
        <v>0.49652777777777773</v>
      </c>
      <c r="AM75" t="s">
        <v>100</v>
      </c>
      <c r="AN75" s="1">
        <v>45657</v>
      </c>
      <c r="AT75" t="s">
        <v>111</v>
      </c>
      <c r="AU75">
        <f ca="1">DATEDIF(AT69,AU69,"y")</f>
        <v>19</v>
      </c>
    </row>
    <row r="76" spans="1:54" x14ac:dyDescent="0.3">
      <c r="D76">
        <v>21</v>
      </c>
      <c r="E76">
        <v>143</v>
      </c>
      <c r="F76" t="s">
        <v>72</v>
      </c>
      <c r="G76">
        <v>60</v>
      </c>
      <c r="H76">
        <v>20000</v>
      </c>
      <c r="I76" t="s">
        <v>77</v>
      </c>
      <c r="J76">
        <v>15921487</v>
      </c>
      <c r="K76" s="7">
        <v>0.45555555555555555</v>
      </c>
      <c r="AM76" t="s">
        <v>98</v>
      </c>
      <c r="AN76">
        <f>NETWORKDAYS(AN74,AN75)</f>
        <v>262</v>
      </c>
      <c r="AP76" s="1">
        <v>45317</v>
      </c>
      <c r="AQ76" t="s">
        <v>101</v>
      </c>
      <c r="AT76" t="s">
        <v>112</v>
      </c>
      <c r="AU76">
        <f ca="1">DATEDIF(AT69,AU69,"ym")</f>
        <v>7</v>
      </c>
    </row>
    <row r="77" spans="1:54" x14ac:dyDescent="0.3">
      <c r="D77">
        <v>22</v>
      </c>
      <c r="E77">
        <v>144</v>
      </c>
      <c r="F77" t="s">
        <v>73</v>
      </c>
      <c r="G77">
        <v>45</v>
      </c>
      <c r="H77">
        <v>15000</v>
      </c>
      <c r="I77" t="s">
        <v>78</v>
      </c>
      <c r="J77">
        <v>16259899</v>
      </c>
      <c r="K77" s="7">
        <v>0.5</v>
      </c>
      <c r="AM77" t="s">
        <v>98</v>
      </c>
      <c r="AN77">
        <f>NETWORKDAYS(AN74,AN75,AP76:AP77)</f>
        <v>260</v>
      </c>
      <c r="AP77" s="1">
        <v>45306</v>
      </c>
      <c r="AQ77" t="s">
        <v>102</v>
      </c>
      <c r="AT77" t="s">
        <v>113</v>
      </c>
      <c r="AU77">
        <f ca="1">DATEDIF(AT69,AU69,"md")</f>
        <v>23</v>
      </c>
    </row>
    <row r="78" spans="1:54" x14ac:dyDescent="0.3">
      <c r="D78">
        <v>23</v>
      </c>
      <c r="E78">
        <v>145</v>
      </c>
      <c r="F78" t="s">
        <v>74</v>
      </c>
      <c r="G78">
        <v>31</v>
      </c>
      <c r="H78">
        <v>10000</v>
      </c>
      <c r="I78" t="s">
        <v>77</v>
      </c>
      <c r="J78">
        <v>16598311</v>
      </c>
      <c r="K78" s="7">
        <v>0.49652777777777773</v>
      </c>
      <c r="AM78" t="s">
        <v>103</v>
      </c>
      <c r="AN78">
        <f>NETWORKDAYS.INTL(AN74,AN75,4,AP76:AP77)</f>
        <v>259</v>
      </c>
    </row>
    <row r="79" spans="1:54" x14ac:dyDescent="0.3">
      <c r="D79">
        <v>24</v>
      </c>
      <c r="E79">
        <v>146</v>
      </c>
      <c r="F79" t="s">
        <v>75</v>
      </c>
      <c r="G79">
        <v>17</v>
      </c>
      <c r="H79">
        <v>5000</v>
      </c>
      <c r="I79" t="s">
        <v>78</v>
      </c>
      <c r="J79">
        <v>16936723</v>
      </c>
      <c r="K79" s="7">
        <v>0.45555555555555555</v>
      </c>
    </row>
    <row r="80" spans="1:54" x14ac:dyDescent="0.3">
      <c r="D80">
        <v>25</v>
      </c>
      <c r="E80">
        <v>147</v>
      </c>
      <c r="F80" t="s">
        <v>76</v>
      </c>
      <c r="G80">
        <v>50</v>
      </c>
      <c r="H80">
        <v>10000</v>
      </c>
      <c r="I80" t="s">
        <v>77</v>
      </c>
      <c r="J80">
        <v>17275135</v>
      </c>
      <c r="K80" s="7">
        <v>0.5</v>
      </c>
    </row>
    <row r="81" spans="11:11" x14ac:dyDescent="0.3">
      <c r="K81" s="6"/>
    </row>
    <row r="82" spans="11:11" x14ac:dyDescent="0.3">
      <c r="K82" s="6"/>
    </row>
  </sheetData>
  <mergeCells count="7">
    <mergeCell ref="AX57:BA57"/>
    <mergeCell ref="AX67:BB67"/>
    <mergeCell ref="F50:L51"/>
    <mergeCell ref="A60:B65"/>
    <mergeCell ref="Z53:AB53"/>
    <mergeCell ref="AE53:AJ53"/>
    <mergeCell ref="AM53:AO53"/>
  </mergeCells>
  <phoneticPr fontId="1" type="noConversion"/>
  <dataValidations count="1">
    <dataValidation type="list" allowBlank="1" showInputMessage="1" showErrorMessage="1" sqref="AX69" xr:uid="{306C402A-8391-47D3-8782-47DB9504149A}">
      <formula1>$AX$59:$AX$64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2024-01-31T04:37:00Z</dcterms:created>
  <dcterms:modified xsi:type="dcterms:W3CDTF">2024-02-06T20:09:26Z</dcterms:modified>
</cp:coreProperties>
</file>