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rasad\Desktop\"/>
    </mc:Choice>
  </mc:AlternateContent>
  <bookViews>
    <workbookView minimized="1" xWindow="0" yWindow="0" windowWidth="19350" windowHeight="8340"/>
  </bookViews>
  <sheets>
    <sheet name="Que.1" sheetId="1" r:id="rId1"/>
    <sheet name="Sheet1" sheetId="2" r:id="rId2"/>
  </sheets>
  <externalReferences>
    <externalReference r:id="rId3"/>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9" i="1" l="1"/>
  <c r="S37" i="2" l="1"/>
  <c r="BH36" i="2"/>
  <c r="I35" i="2"/>
  <c r="I34" i="2"/>
  <c r="BH33" i="2"/>
  <c r="AX33" i="2"/>
  <c r="I33" i="2"/>
  <c r="BH32" i="2"/>
  <c r="AN32" i="2"/>
  <c r="BH31" i="2"/>
  <c r="AX31" i="2"/>
  <c r="AC31" i="2"/>
  <c r="S31" i="2"/>
  <c r="AN30" i="2"/>
  <c r="AC30" i="2"/>
  <c r="S29" i="2"/>
  <c r="AX28" i="2"/>
  <c r="AN28" i="2"/>
  <c r="AC28" i="2"/>
  <c r="BH27" i="2"/>
  <c r="AX27" i="2"/>
  <c r="AW27" i="2"/>
  <c r="AY27" i="2" s="1"/>
  <c r="AN27" i="2"/>
  <c r="AC27" i="2"/>
  <c r="S27" i="2"/>
  <c r="AW26" i="2"/>
  <c r="AY26" i="2" s="1"/>
  <c r="AN26" i="2"/>
  <c r="AC26" i="2"/>
  <c r="S26" i="2"/>
  <c r="E26" i="2"/>
  <c r="D26" i="2"/>
  <c r="C26" i="2"/>
  <c r="BH25" i="2"/>
  <c r="AX25" i="2"/>
  <c r="AN25" i="2"/>
  <c r="AM25" i="2"/>
  <c r="AO25" i="2" s="1"/>
  <c r="AC25" i="2"/>
  <c r="S25" i="2"/>
  <c r="E25" i="2"/>
  <c r="D25" i="2"/>
  <c r="C25" i="2"/>
  <c r="BG24" i="2"/>
  <c r="BI24" i="2" s="1"/>
  <c r="AX24" i="2"/>
  <c r="I24" i="2"/>
  <c r="E24" i="2"/>
  <c r="C24" i="2"/>
  <c r="AN23" i="2"/>
  <c r="S23" i="2"/>
  <c r="BH22" i="2"/>
  <c r="S22" i="2"/>
  <c r="BH21" i="2"/>
  <c r="BG21" i="2"/>
  <c r="BI21" i="2" s="1"/>
  <c r="AW21" i="2"/>
  <c r="AY21" i="2" s="1"/>
  <c r="AN21" i="2"/>
  <c r="E21" i="2"/>
  <c r="D21" i="2"/>
  <c r="BH20" i="2"/>
  <c r="AC20" i="2"/>
  <c r="S20" i="2"/>
  <c r="I20" i="2"/>
  <c r="E20" i="2"/>
  <c r="D20" i="2"/>
  <c r="C20" i="2"/>
  <c r="AX19" i="2"/>
  <c r="AC19" i="2"/>
  <c r="I19" i="2"/>
  <c r="E19" i="2"/>
  <c r="D19" i="2"/>
  <c r="C19" i="2"/>
  <c r="BH18" i="2"/>
  <c r="AX18" i="2"/>
  <c r="S18" i="2"/>
  <c r="I18" i="2"/>
  <c r="D12" i="2"/>
  <c r="D11" i="2"/>
  <c r="D9" i="2"/>
  <c r="C21" i="2" s="1"/>
  <c r="C9" i="2"/>
  <c r="D8" i="2"/>
  <c r="C8" i="2"/>
  <c r="K6" i="2"/>
  <c r="G6" i="2"/>
  <c r="K5" i="2"/>
  <c r="C15" i="2" s="1"/>
  <c r="G5" i="2"/>
  <c r="D5" i="2"/>
  <c r="D4" i="2"/>
  <c r="R39" i="1"/>
  <c r="R40" i="1"/>
  <c r="R41" i="1"/>
  <c r="R42" i="1"/>
  <c r="R43" i="1" s="1"/>
  <c r="R44" i="1" s="1"/>
  <c r="R45" i="1" s="1"/>
  <c r="R46" i="1" s="1"/>
  <c r="R47" i="1" s="1"/>
  <c r="R48" i="1" s="1"/>
  <c r="R49" i="1" s="1"/>
  <c r="R50" i="1" s="1"/>
  <c r="R51" i="1" s="1"/>
  <c r="R52" i="1" s="1"/>
  <c r="R38" i="1"/>
  <c r="M39" i="1"/>
  <c r="M40" i="1"/>
  <c r="M41" i="1" s="1"/>
  <c r="M42" i="1" s="1"/>
  <c r="M43" i="1" s="1"/>
  <c r="M44" i="1" s="1"/>
  <c r="M45" i="1" s="1"/>
  <c r="M46" i="1" s="1"/>
  <c r="M47" i="1" s="1"/>
  <c r="M48" i="1" s="1"/>
  <c r="M49" i="1" s="1"/>
  <c r="M50" i="1" s="1"/>
  <c r="M51" i="1" s="1"/>
  <c r="M52" i="1" s="1"/>
  <c r="M38" i="1"/>
  <c r="G39" i="1"/>
  <c r="G40" i="1"/>
  <c r="G41" i="1" s="1"/>
  <c r="G42" i="1" s="1"/>
  <c r="G43" i="1" s="1"/>
  <c r="G44" i="1" s="1"/>
  <c r="G45" i="1" s="1"/>
  <c r="G46" i="1" s="1"/>
  <c r="G47" i="1" s="1"/>
  <c r="G48" i="1" s="1"/>
  <c r="G49" i="1" s="1"/>
  <c r="G50" i="1" s="1"/>
  <c r="G51" i="1" s="1"/>
  <c r="G52" i="1" s="1"/>
  <c r="G38" i="1"/>
  <c r="B39" i="1"/>
  <c r="B40" i="1"/>
  <c r="B41" i="1"/>
  <c r="B42" i="1"/>
  <c r="B43" i="1" s="1"/>
  <c r="B44" i="1" s="1"/>
  <c r="B45" i="1" s="1"/>
  <c r="B46" i="1" s="1"/>
  <c r="B47" i="1" s="1"/>
  <c r="B48" i="1" s="1"/>
  <c r="B49" i="1" s="1"/>
  <c r="B50" i="1" s="1"/>
  <c r="B51" i="1" s="1"/>
  <c r="B52" i="1" s="1"/>
  <c r="B38" i="1"/>
  <c r="R19" i="1"/>
  <c r="R20" i="1" s="1"/>
  <c r="R21" i="1" s="1"/>
  <c r="R22" i="1" s="1"/>
  <c r="R23" i="1" s="1"/>
  <c r="R24" i="1" s="1"/>
  <c r="R25" i="1" s="1"/>
  <c r="R26" i="1" s="1"/>
  <c r="R27" i="1" s="1"/>
  <c r="R28" i="1" s="1"/>
  <c r="R29" i="1" s="1"/>
  <c r="R30" i="1" s="1"/>
  <c r="R31" i="1" s="1"/>
  <c r="R32" i="1" s="1"/>
  <c r="R18" i="1"/>
  <c r="M19" i="1"/>
  <c r="M20" i="1" s="1"/>
  <c r="M21" i="1" s="1"/>
  <c r="M22" i="1" s="1"/>
  <c r="M23" i="1" s="1"/>
  <c r="M24" i="1" s="1"/>
  <c r="M25" i="1" s="1"/>
  <c r="M26" i="1" s="1"/>
  <c r="M27" i="1" s="1"/>
  <c r="M28" i="1" s="1"/>
  <c r="M29" i="1" s="1"/>
  <c r="M30" i="1" s="1"/>
  <c r="M31" i="1" s="1"/>
  <c r="M32" i="1" s="1"/>
  <c r="M18" i="1"/>
  <c r="G19" i="1"/>
  <c r="G20" i="1"/>
  <c r="G21" i="1"/>
  <c r="G22" i="1"/>
  <c r="G23" i="1" s="1"/>
  <c r="G24" i="1" s="1"/>
  <c r="G25" i="1" s="1"/>
  <c r="G26" i="1" s="1"/>
  <c r="G27" i="1" s="1"/>
  <c r="G28" i="1" s="1"/>
  <c r="G29" i="1" s="1"/>
  <c r="G30" i="1" s="1"/>
  <c r="G31" i="1" s="1"/>
  <c r="G32" i="1" s="1"/>
  <c r="G18" i="1"/>
  <c r="B19" i="1"/>
  <c r="B20" i="1"/>
  <c r="B21" i="1"/>
  <c r="B22" i="1"/>
  <c r="B23" i="1" s="1"/>
  <c r="B24" i="1" s="1"/>
  <c r="B25" i="1" s="1"/>
  <c r="B26" i="1" s="1"/>
  <c r="B27" i="1" s="1"/>
  <c r="B28" i="1" s="1"/>
  <c r="B29" i="1" s="1"/>
  <c r="B30" i="1" s="1"/>
  <c r="B31" i="1" s="1"/>
  <c r="B32" i="1" s="1"/>
  <c r="B18" i="1"/>
  <c r="D17" i="1"/>
  <c r="I3" i="1"/>
  <c r="H3" i="1"/>
  <c r="G3" i="1"/>
  <c r="F3" i="1"/>
  <c r="I2" i="1"/>
  <c r="H2" i="1"/>
  <c r="G2" i="1"/>
  <c r="F2" i="1"/>
  <c r="L37" i="2" l="1"/>
  <c r="N37" i="2" s="1"/>
  <c r="AF34" i="2"/>
  <c r="AH34" i="2" s="1"/>
  <c r="V34" i="2"/>
  <c r="X34" i="2" s="1"/>
  <c r="L33" i="2"/>
  <c r="N33" i="2" s="1"/>
  <c r="AF30" i="2"/>
  <c r="AH30" i="2" s="1"/>
  <c r="V30" i="2"/>
  <c r="X30" i="2" s="1"/>
  <c r="L29" i="2"/>
  <c r="N29" i="2" s="1"/>
  <c r="AF33" i="2"/>
  <c r="AH33" i="2" s="1"/>
  <c r="AF32" i="2"/>
  <c r="AH32" i="2" s="1"/>
  <c r="AF31" i="2"/>
  <c r="AH31" i="2" s="1"/>
  <c r="V29" i="2"/>
  <c r="X29" i="2" s="1"/>
  <c r="AF26" i="2"/>
  <c r="AH26" i="2" s="1"/>
  <c r="V26" i="2"/>
  <c r="X26" i="2" s="1"/>
  <c r="AF24" i="2"/>
  <c r="AH24" i="2" s="1"/>
  <c r="L24" i="2"/>
  <c r="N24" i="2" s="1"/>
  <c r="V23" i="2"/>
  <c r="X23" i="2" s="1"/>
  <c r="V22" i="2"/>
  <c r="X22" i="2" s="1"/>
  <c r="V21" i="2"/>
  <c r="X21" i="2" s="1"/>
  <c r="AF19" i="2"/>
  <c r="AH19" i="2" s="1"/>
  <c r="L19" i="2"/>
  <c r="N19" i="2" s="1"/>
  <c r="D15" i="2"/>
  <c r="M18" i="2"/>
  <c r="V18" i="2"/>
  <c r="X18" i="2" s="1"/>
  <c r="AF18" i="2"/>
  <c r="AH18" i="2" s="1"/>
  <c r="AR19" i="2"/>
  <c r="BB19" i="2"/>
  <c r="W20" i="2"/>
  <c r="AF20" i="2"/>
  <c r="AH20" i="2" s="1"/>
  <c r="L21" i="2"/>
  <c r="N21" i="2" s="1"/>
  <c r="M22" i="2"/>
  <c r="W22" i="2"/>
  <c r="AF22" i="2"/>
  <c r="AH22" i="2" s="1"/>
  <c r="AG23" i="2"/>
  <c r="AR23" i="2"/>
  <c r="M24" i="2"/>
  <c r="V24" i="2"/>
  <c r="X24" i="2" s="1"/>
  <c r="BL25" i="2"/>
  <c r="M26" i="2"/>
  <c r="L27" i="2"/>
  <c r="N27" i="2" s="1"/>
  <c r="V27" i="2"/>
  <c r="X27" i="2" s="1"/>
  <c r="L28" i="2"/>
  <c r="N28" i="2" s="1"/>
  <c r="V28" i="2"/>
  <c r="X28" i="2" s="1"/>
  <c r="AG28" i="2"/>
  <c r="BB30" i="2"/>
  <c r="L31" i="2"/>
  <c r="N31" i="2" s="1"/>
  <c r="M32" i="2"/>
  <c r="AG32" i="2"/>
  <c r="V33" i="2"/>
  <c r="X33" i="2" s="1"/>
  <c r="AG34" i="2"/>
  <c r="AF36" i="2"/>
  <c r="AH36" i="2" s="1"/>
  <c r="BG37" i="2"/>
  <c r="BI37" i="2" s="1"/>
  <c r="AM37" i="2"/>
  <c r="AO37" i="2" s="1"/>
  <c r="BG36" i="2"/>
  <c r="BI36" i="2" s="1"/>
  <c r="AM36" i="2"/>
  <c r="AO36" i="2" s="1"/>
  <c r="BG35" i="2"/>
  <c r="BI35" i="2" s="1"/>
  <c r="AM35" i="2"/>
  <c r="AO35" i="2" s="1"/>
  <c r="BG34" i="2"/>
  <c r="BI34" i="2" s="1"/>
  <c r="AM34" i="2"/>
  <c r="AO34" i="2" s="1"/>
  <c r="BG33" i="2"/>
  <c r="BI33" i="2" s="1"/>
  <c r="AM33" i="2"/>
  <c r="AO33" i="2" s="1"/>
  <c r="BG32" i="2"/>
  <c r="BI32" i="2" s="1"/>
  <c r="AM32" i="2"/>
  <c r="AO32" i="2" s="1"/>
  <c r="BG31" i="2"/>
  <c r="BI31" i="2" s="1"/>
  <c r="AM31" i="2"/>
  <c r="AO31" i="2" s="1"/>
  <c r="BG30" i="2"/>
  <c r="BI30" i="2" s="1"/>
  <c r="AM30" i="2"/>
  <c r="AO30" i="2" s="1"/>
  <c r="BG29" i="2"/>
  <c r="BI29" i="2" s="1"/>
  <c r="AM29" i="2"/>
  <c r="AO29" i="2" s="1"/>
  <c r="BG28" i="2"/>
  <c r="BI28" i="2" s="1"/>
  <c r="AW37" i="2"/>
  <c r="AY37" i="2" s="1"/>
  <c r="AW33" i="2"/>
  <c r="AY33" i="2" s="1"/>
  <c r="AW29" i="2"/>
  <c r="AY29" i="2" s="1"/>
  <c r="AM28" i="2"/>
  <c r="AO28" i="2" s="1"/>
  <c r="BG27" i="2"/>
  <c r="BI27" i="2" s="1"/>
  <c r="AM27" i="2"/>
  <c r="AO27" i="2" s="1"/>
  <c r="BG26" i="2"/>
  <c r="BI26" i="2" s="1"/>
  <c r="AM26" i="2"/>
  <c r="AO26" i="2" s="1"/>
  <c r="AW28" i="2"/>
  <c r="AY28" i="2" s="1"/>
  <c r="AW25" i="2"/>
  <c r="AY25" i="2" s="1"/>
  <c r="AW20" i="2"/>
  <c r="AY20" i="2" s="1"/>
  <c r="BG18" i="2"/>
  <c r="BI18" i="2" s="1"/>
  <c r="AM18" i="2"/>
  <c r="AO18" i="2" s="1"/>
  <c r="AG18" i="2"/>
  <c r="AM19" i="2"/>
  <c r="AO19" i="2" s="1"/>
  <c r="AW19" i="2"/>
  <c r="AY19" i="2" s="1"/>
  <c r="BL19" i="2"/>
  <c r="AR20" i="2"/>
  <c r="M21" i="2"/>
  <c r="W21" i="2"/>
  <c r="AF21" i="2"/>
  <c r="AH21" i="2" s="1"/>
  <c r="AG22" i="2"/>
  <c r="AR22" i="2"/>
  <c r="AM23" i="2"/>
  <c r="AO23" i="2" s="1"/>
  <c r="BB23" i="2"/>
  <c r="BL23" i="2"/>
  <c r="W24" i="2"/>
  <c r="AG24" i="2"/>
  <c r="L25" i="2"/>
  <c r="N25" i="2" s="1"/>
  <c r="V25" i="2"/>
  <c r="X25" i="2" s="1"/>
  <c r="BG25" i="2"/>
  <c r="BI25" i="2" s="1"/>
  <c r="M27" i="2"/>
  <c r="M28" i="2"/>
  <c r="BB29" i="2"/>
  <c r="L30" i="2"/>
  <c r="N30" i="2" s="1"/>
  <c r="M31" i="2"/>
  <c r="AW31" i="2"/>
  <c r="AY31" i="2" s="1"/>
  <c r="L34" i="2"/>
  <c r="N34" i="2" s="1"/>
  <c r="V35" i="2"/>
  <c r="X35" i="2" s="1"/>
  <c r="AW35" i="2"/>
  <c r="AY35" i="2" s="1"/>
  <c r="L36" i="2"/>
  <c r="N36" i="2" s="1"/>
  <c r="AG36" i="2"/>
  <c r="V37" i="2"/>
  <c r="X37" i="2" s="1"/>
  <c r="BL37" i="2"/>
  <c r="AR37" i="2"/>
  <c r="W37" i="2"/>
  <c r="BL36" i="2"/>
  <c r="AR36" i="2"/>
  <c r="W36" i="2"/>
  <c r="BL35" i="2"/>
  <c r="AR35" i="2"/>
  <c r="W35" i="2"/>
  <c r="BL34" i="2"/>
  <c r="AR34" i="2"/>
  <c r="W34" i="2"/>
  <c r="BL33" i="2"/>
  <c r="AR33" i="2"/>
  <c r="W33" i="2"/>
  <c r="BL32" i="2"/>
  <c r="AR32" i="2"/>
  <c r="W32" i="2"/>
  <c r="BL31" i="2"/>
  <c r="AR31" i="2"/>
  <c r="W31" i="2"/>
  <c r="BL30" i="2"/>
  <c r="AR30" i="2"/>
  <c r="W30" i="2"/>
  <c r="BL29" i="2"/>
  <c r="AR29" i="2"/>
  <c r="W29" i="2"/>
  <c r="BL28" i="2"/>
  <c r="AR28" i="2"/>
  <c r="BB36" i="2"/>
  <c r="AG35" i="2"/>
  <c r="M34" i="2"/>
  <c r="BB32" i="2"/>
  <c r="AG31" i="2"/>
  <c r="M30" i="2"/>
  <c r="BB28" i="2"/>
  <c r="W28" i="2"/>
  <c r="BL27" i="2"/>
  <c r="AR27" i="2"/>
  <c r="W27" i="2"/>
  <c r="BL26" i="2"/>
  <c r="AR26" i="2"/>
  <c r="W26" i="2"/>
  <c r="BB35" i="2"/>
  <c r="BB34" i="2"/>
  <c r="BB33" i="2"/>
  <c r="AG30" i="2"/>
  <c r="AG29" i="2"/>
  <c r="AG27" i="2"/>
  <c r="BB25" i="2"/>
  <c r="AG25" i="2"/>
  <c r="M25" i="2"/>
  <c r="BB20" i="2"/>
  <c r="AG20" i="2"/>
  <c r="M20" i="2"/>
  <c r="BL18" i="2"/>
  <c r="AR18" i="2"/>
  <c r="W18" i="2"/>
  <c r="M37" i="2"/>
  <c r="M36" i="2"/>
  <c r="M35" i="2"/>
  <c r="C14" i="2"/>
  <c r="BB18" i="2"/>
  <c r="M19" i="2"/>
  <c r="V19" i="2"/>
  <c r="X19" i="2" s="1"/>
  <c r="BG19" i="2"/>
  <c r="BI19" i="2" s="1"/>
  <c r="AM20" i="2"/>
  <c r="AO20" i="2" s="1"/>
  <c r="BL20" i="2"/>
  <c r="AG21" i="2"/>
  <c r="AR21" i="2"/>
  <c r="AM22" i="2"/>
  <c r="AO22" i="2" s="1"/>
  <c r="BB22" i="2"/>
  <c r="BL22" i="2"/>
  <c r="L23" i="2"/>
  <c r="N23" i="2" s="1"/>
  <c r="AW23" i="2"/>
  <c r="AY23" i="2" s="1"/>
  <c r="BG23" i="2"/>
  <c r="BI23" i="2" s="1"/>
  <c r="AR24" i="2"/>
  <c r="BB24" i="2"/>
  <c r="W25" i="2"/>
  <c r="AF25" i="2"/>
  <c r="AH25" i="2" s="1"/>
  <c r="BB26" i="2"/>
  <c r="BB27" i="2"/>
  <c r="M29" i="2"/>
  <c r="AW30" i="2"/>
  <c r="AY30" i="2" s="1"/>
  <c r="V32" i="2"/>
  <c r="X32" i="2" s="1"/>
  <c r="AW32" i="2"/>
  <c r="AY32" i="2" s="1"/>
  <c r="AG33" i="2"/>
  <c r="AF35" i="2"/>
  <c r="AH35" i="2" s="1"/>
  <c r="AF37" i="2"/>
  <c r="AH37" i="2" s="1"/>
  <c r="BB37" i="2"/>
  <c r="C12" i="2"/>
  <c r="AX37" i="2"/>
  <c r="AX36" i="2"/>
  <c r="AN36" i="2"/>
  <c r="AX35" i="2"/>
  <c r="AN35" i="2"/>
  <c r="AN34" i="2"/>
  <c r="AC32" i="2"/>
  <c r="C11" i="2"/>
  <c r="D14" i="2"/>
  <c r="L18" i="2"/>
  <c r="N18" i="2" s="1"/>
  <c r="AC18" i="2"/>
  <c r="AN18" i="2"/>
  <c r="AW18" i="2"/>
  <c r="AY18" i="2" s="1"/>
  <c r="W19" i="2"/>
  <c r="AG19" i="2"/>
  <c r="L20" i="2"/>
  <c r="N20" i="2" s="1"/>
  <c r="V20" i="2"/>
  <c r="X20" i="2" s="1"/>
  <c r="AN20" i="2"/>
  <c r="AX20" i="2"/>
  <c r="BG20" i="2"/>
  <c r="BI20" i="2" s="1"/>
  <c r="S21" i="2"/>
  <c r="AM21" i="2"/>
  <c r="AO21" i="2" s="1"/>
  <c r="BB21" i="2"/>
  <c r="BL21" i="2"/>
  <c r="L22" i="2"/>
  <c r="N22" i="2" s="1"/>
  <c r="AN22" i="2"/>
  <c r="AW22" i="2"/>
  <c r="AY22" i="2" s="1"/>
  <c r="BG22" i="2"/>
  <c r="BI22" i="2" s="1"/>
  <c r="M23" i="2"/>
  <c r="W23" i="2"/>
  <c r="AF23" i="2"/>
  <c r="AH23" i="2" s="1"/>
  <c r="BH23" i="2"/>
  <c r="AC24" i="2"/>
  <c r="AM24" i="2"/>
  <c r="AO24" i="2" s="1"/>
  <c r="AW24" i="2"/>
  <c r="AY24" i="2" s="1"/>
  <c r="BL24" i="2"/>
  <c r="I25" i="2"/>
  <c r="AR25" i="2"/>
  <c r="L26" i="2"/>
  <c r="N26" i="2" s="1"/>
  <c r="AG26" i="2"/>
  <c r="I27" i="2"/>
  <c r="AF27" i="2"/>
  <c r="AH27" i="2" s="1"/>
  <c r="AF28" i="2"/>
  <c r="AH28" i="2" s="1"/>
  <c r="AF29" i="2"/>
  <c r="AH29" i="2" s="1"/>
  <c r="AX29" i="2"/>
  <c r="S30" i="2"/>
  <c r="V31" i="2"/>
  <c r="X31" i="2" s="1"/>
  <c r="AN31" i="2"/>
  <c r="BB31" i="2"/>
  <c r="L32" i="2"/>
  <c r="N32" i="2" s="1"/>
  <c r="AX32" i="2"/>
  <c r="M33" i="2"/>
  <c r="AW34" i="2"/>
  <c r="AY34" i="2" s="1"/>
  <c r="L35" i="2"/>
  <c r="N35" i="2" s="1"/>
  <c r="BH35" i="2"/>
  <c r="V36" i="2"/>
  <c r="X36" i="2" s="1"/>
  <c r="AW36" i="2"/>
  <c r="AY36" i="2" s="1"/>
  <c r="I37" i="2"/>
  <c r="AG37" i="2"/>
  <c r="BH37" i="2"/>
  <c r="AN37" i="2"/>
  <c r="AC37" i="2"/>
  <c r="S36" i="2"/>
  <c r="I36" i="2"/>
  <c r="BH34" i="2"/>
  <c r="AX34" i="2"/>
  <c r="AN33" i="2"/>
  <c r="AC33" i="2"/>
  <c r="S32" i="2"/>
  <c r="I32" i="2"/>
  <c r="BH30" i="2"/>
  <c r="AX30" i="2"/>
  <c r="AN29" i="2"/>
  <c r="AC29" i="2"/>
  <c r="S19" i="2"/>
  <c r="AN19" i="2"/>
  <c r="BH19" i="2"/>
  <c r="I21" i="2"/>
  <c r="AC21" i="2"/>
  <c r="AX21" i="2"/>
  <c r="I22" i="2"/>
  <c r="AC22" i="2"/>
  <c r="AX22" i="2"/>
  <c r="I23" i="2"/>
  <c r="AC23" i="2"/>
  <c r="AX23" i="2"/>
  <c r="S24" i="2"/>
  <c r="AN24" i="2"/>
  <c r="BH24" i="2"/>
  <c r="I26" i="2"/>
  <c r="AX26" i="2"/>
  <c r="BH26" i="2"/>
  <c r="I28" i="2"/>
  <c r="S28" i="2"/>
  <c r="BH28" i="2"/>
  <c r="I29" i="2"/>
  <c r="BH29" i="2"/>
  <c r="I30" i="2"/>
  <c r="I31" i="2"/>
  <c r="S33" i="2"/>
  <c r="S34" i="2"/>
  <c r="AC34" i="2"/>
  <c r="S35" i="2"/>
  <c r="AC35" i="2"/>
  <c r="AC36" i="2"/>
  <c r="R37" i="2" l="1"/>
  <c r="T37" i="2" s="1"/>
  <c r="R36" i="2"/>
  <c r="T36" i="2" s="1"/>
  <c r="R35" i="2"/>
  <c r="T35" i="2" s="1"/>
  <c r="R34" i="2"/>
  <c r="T34" i="2" s="1"/>
  <c r="R33" i="2"/>
  <c r="T33" i="2" s="1"/>
  <c r="R32" i="2"/>
  <c r="T32" i="2" s="1"/>
  <c r="R31" i="2"/>
  <c r="T31" i="2" s="1"/>
  <c r="R30" i="2"/>
  <c r="T30" i="2" s="1"/>
  <c r="R29" i="2"/>
  <c r="T29" i="2" s="1"/>
  <c r="AB36" i="2"/>
  <c r="AD36" i="2" s="1"/>
  <c r="H35" i="2"/>
  <c r="J35" i="2" s="1"/>
  <c r="AB32" i="2"/>
  <c r="AD32" i="2" s="1"/>
  <c r="H31" i="2"/>
  <c r="J31" i="2" s="1"/>
  <c r="R28" i="2"/>
  <c r="T28" i="2" s="1"/>
  <c r="R27" i="2"/>
  <c r="T27" i="2" s="1"/>
  <c r="AB37" i="2"/>
  <c r="AD37" i="2" s="1"/>
  <c r="H34" i="2"/>
  <c r="J34" i="2" s="1"/>
  <c r="H33" i="2"/>
  <c r="J33" i="2" s="1"/>
  <c r="H32" i="2"/>
  <c r="J32" i="2" s="1"/>
  <c r="AB28" i="2"/>
  <c r="AD28" i="2" s="1"/>
  <c r="H27" i="2"/>
  <c r="J27" i="2" s="1"/>
  <c r="AB25" i="2"/>
  <c r="AD25" i="2" s="1"/>
  <c r="H25" i="2"/>
  <c r="J25" i="2" s="1"/>
  <c r="AB20" i="2"/>
  <c r="AD20" i="2" s="1"/>
  <c r="H20" i="2"/>
  <c r="J20" i="2" s="1"/>
  <c r="R18" i="2"/>
  <c r="T18" i="2" s="1"/>
  <c r="AB35" i="2"/>
  <c r="AD35" i="2" s="1"/>
  <c r="AB34" i="2"/>
  <c r="AD34" i="2" s="1"/>
  <c r="AB33" i="2"/>
  <c r="AD33" i="2" s="1"/>
  <c r="H28" i="2"/>
  <c r="J28" i="2" s="1"/>
  <c r="R25" i="2"/>
  <c r="T25" i="2" s="1"/>
  <c r="AB21" i="2"/>
  <c r="AD21" i="2" s="1"/>
  <c r="H19" i="2"/>
  <c r="J19" i="2" s="1"/>
  <c r="H37" i="2"/>
  <c r="J37" i="2" s="1"/>
  <c r="AB29" i="2"/>
  <c r="AD29" i="2" s="1"/>
  <c r="AB24" i="2"/>
  <c r="AD24" i="2" s="1"/>
  <c r="R24" i="2"/>
  <c r="T24" i="2" s="1"/>
  <c r="AB22" i="2"/>
  <c r="AD22" i="2" s="1"/>
  <c r="R21" i="2"/>
  <c r="T21" i="2" s="1"/>
  <c r="H21" i="2"/>
  <c r="J21" i="2" s="1"/>
  <c r="AB18" i="2"/>
  <c r="AD18" i="2" s="1"/>
  <c r="AB30" i="2"/>
  <c r="AD30" i="2" s="1"/>
  <c r="H29" i="2"/>
  <c r="J29" i="2" s="1"/>
  <c r="AB27" i="2"/>
  <c r="AD27" i="2" s="1"/>
  <c r="AB26" i="2"/>
  <c r="AD26" i="2" s="1"/>
  <c r="R26" i="2"/>
  <c r="T26" i="2" s="1"/>
  <c r="H26" i="2"/>
  <c r="J26" i="2" s="1"/>
  <c r="H24" i="2"/>
  <c r="J24" i="2" s="1"/>
  <c r="AB23" i="2"/>
  <c r="AD23" i="2" s="1"/>
  <c r="R22" i="2"/>
  <c r="T22" i="2" s="1"/>
  <c r="H22" i="2"/>
  <c r="J22" i="2" s="1"/>
  <c r="R20" i="2"/>
  <c r="T20" i="2" s="1"/>
  <c r="H18" i="2"/>
  <c r="J18" i="2" s="1"/>
  <c r="H36" i="2"/>
  <c r="J36" i="2" s="1"/>
  <c r="AB31" i="2"/>
  <c r="AD31" i="2" s="1"/>
  <c r="H30" i="2"/>
  <c r="J30" i="2" s="1"/>
  <c r="R23" i="2"/>
  <c r="T23" i="2" s="1"/>
  <c r="H23" i="2"/>
  <c r="J23" i="2" s="1"/>
  <c r="AB19" i="2"/>
  <c r="AD19" i="2" s="1"/>
  <c r="R19" i="2"/>
  <c r="T19" i="2" s="1"/>
  <c r="BK36" i="2"/>
  <c r="BM36" i="2" s="1"/>
  <c r="BA35" i="2"/>
  <c r="BC35" i="2" s="1"/>
  <c r="AQ35" i="2"/>
  <c r="AS35" i="2" s="1"/>
  <c r="BK32" i="2"/>
  <c r="BM32" i="2" s="1"/>
  <c r="BA31" i="2"/>
  <c r="BC31" i="2" s="1"/>
  <c r="AQ31" i="2"/>
  <c r="AS31" i="2" s="1"/>
  <c r="BK28" i="2"/>
  <c r="BM28" i="2" s="1"/>
  <c r="BK37" i="2"/>
  <c r="BM37" i="2" s="1"/>
  <c r="BA37" i="2"/>
  <c r="BC37" i="2" s="1"/>
  <c r="BA36" i="2"/>
  <c r="BC36" i="2" s="1"/>
  <c r="AQ34" i="2"/>
  <c r="AS34" i="2" s="1"/>
  <c r="AQ33" i="2"/>
  <c r="AS33" i="2" s="1"/>
  <c r="AQ32" i="2"/>
  <c r="AS32" i="2" s="1"/>
  <c r="BA27" i="2"/>
  <c r="BC27" i="2" s="1"/>
  <c r="AQ27" i="2"/>
  <c r="AS27" i="2" s="1"/>
  <c r="BA24" i="2"/>
  <c r="BC24" i="2" s="1"/>
  <c r="BK23" i="2"/>
  <c r="BM23" i="2" s="1"/>
  <c r="AQ23" i="2"/>
  <c r="AS23" i="2" s="1"/>
  <c r="BK22" i="2"/>
  <c r="BM22" i="2" s="1"/>
  <c r="AQ22" i="2"/>
  <c r="AS22" i="2" s="1"/>
  <c r="BK21" i="2"/>
  <c r="BM21" i="2" s="1"/>
  <c r="AQ21" i="2"/>
  <c r="AS21" i="2" s="1"/>
  <c r="BA19" i="2"/>
  <c r="BC19" i="2" s="1"/>
  <c r="BK35" i="2"/>
  <c r="BM35" i="2" s="1"/>
  <c r="BK34" i="2"/>
  <c r="BM34" i="2" s="1"/>
  <c r="BA34" i="2"/>
  <c r="BC34" i="2" s="1"/>
  <c r="BK33" i="2"/>
  <c r="BM33" i="2" s="1"/>
  <c r="BA33" i="2"/>
  <c r="BC33" i="2" s="1"/>
  <c r="BA32" i="2"/>
  <c r="BC32" i="2" s="1"/>
  <c r="BA30" i="2"/>
  <c r="BC30" i="2" s="1"/>
  <c r="BK29" i="2"/>
  <c r="BM29" i="2" s="1"/>
  <c r="AQ28" i="2"/>
  <c r="AS28" i="2" s="1"/>
  <c r="BK25" i="2"/>
  <c r="BM25" i="2" s="1"/>
  <c r="BA25" i="2"/>
  <c r="BC25" i="2" s="1"/>
  <c r="AQ19" i="2"/>
  <c r="AS19" i="2" s="1"/>
  <c r="AQ36" i="2"/>
  <c r="AS36" i="2" s="1"/>
  <c r="BK30" i="2"/>
  <c r="BM30" i="2" s="1"/>
  <c r="AQ29" i="2"/>
  <c r="AS29" i="2" s="1"/>
  <c r="AQ26" i="2"/>
  <c r="AS26" i="2" s="1"/>
  <c r="AQ25" i="2"/>
  <c r="AS25" i="2" s="1"/>
  <c r="BK24" i="2"/>
  <c r="BM24" i="2" s="1"/>
  <c r="BA21" i="2"/>
  <c r="BC21" i="2" s="1"/>
  <c r="BK18" i="2"/>
  <c r="BM18" i="2" s="1"/>
  <c r="BK31" i="2"/>
  <c r="BM31" i="2" s="1"/>
  <c r="AQ30" i="2"/>
  <c r="AS30" i="2" s="1"/>
  <c r="BA28" i="2"/>
  <c r="BC28" i="2" s="1"/>
  <c r="BK27" i="2"/>
  <c r="BM27" i="2" s="1"/>
  <c r="BK26" i="2"/>
  <c r="BM26" i="2" s="1"/>
  <c r="BA26" i="2"/>
  <c r="BC26" i="2" s="1"/>
  <c r="AQ24" i="2"/>
  <c r="AS24" i="2" s="1"/>
  <c r="BA22" i="2"/>
  <c r="BC22" i="2" s="1"/>
  <c r="BK20" i="2"/>
  <c r="BM20" i="2" s="1"/>
  <c r="BA20" i="2"/>
  <c r="BC20" i="2" s="1"/>
  <c r="BA18" i="2"/>
  <c r="BC18" i="2" s="1"/>
  <c r="AQ18" i="2"/>
  <c r="AS18" i="2" s="1"/>
  <c r="AQ37" i="2"/>
  <c r="AS37" i="2" s="1"/>
  <c r="BA29" i="2"/>
  <c r="BC29" i="2" s="1"/>
  <c r="BA23" i="2"/>
  <c r="BC23" i="2" s="1"/>
  <c r="AQ20" i="2"/>
  <c r="AS20" i="2" s="1"/>
  <c r="BK19" i="2"/>
  <c r="BM19" i="2" s="1"/>
  <c r="T38" i="1"/>
  <c r="U38" i="1" s="1"/>
  <c r="T37" i="1"/>
  <c r="O38" i="1"/>
  <c r="P38" i="1"/>
  <c r="O37" i="1"/>
  <c r="D38" i="1"/>
  <c r="E38" i="1"/>
  <c r="D37" i="1"/>
  <c r="I38" i="1"/>
  <c r="J38" i="1"/>
  <c r="I37" i="1"/>
  <c r="T17" i="1"/>
  <c r="O17" i="1"/>
  <c r="I17" i="1"/>
  <c r="L13" i="1"/>
  <c r="L12" i="1"/>
  <c r="I13" i="1"/>
  <c r="I12" i="1"/>
  <c r="I9" i="1"/>
  <c r="I8" i="1"/>
  <c r="K12" i="1"/>
  <c r="H12" i="1"/>
  <c r="C12" i="1"/>
  <c r="C11" i="1"/>
  <c r="R37" i="1" l="1"/>
  <c r="T18" i="1"/>
  <c r="U18" i="1" s="1"/>
  <c r="R17" i="1"/>
  <c r="L9" i="1"/>
  <c r="L8" i="1"/>
  <c r="K8" i="1"/>
  <c r="M37" i="1"/>
  <c r="N18" i="1"/>
  <c r="N17" i="1"/>
  <c r="N19" i="1"/>
  <c r="M17" i="1"/>
  <c r="G37" i="1"/>
  <c r="D39" i="1"/>
  <c r="E39" i="1" s="1"/>
  <c r="C38" i="1"/>
  <c r="E37" i="1"/>
  <c r="C37" i="1"/>
  <c r="B37" i="1"/>
  <c r="I18" i="1"/>
  <c r="J18" i="1"/>
  <c r="I19" i="1"/>
  <c r="J19" i="1" s="1"/>
  <c r="B17" i="1"/>
  <c r="I20" i="1"/>
  <c r="J20" i="1" s="1"/>
  <c r="I32" i="1"/>
  <c r="J32" i="1" s="1"/>
  <c r="I30" i="1" l="1"/>
  <c r="J30" i="1" s="1"/>
  <c r="I27" i="1"/>
  <c r="J27" i="1" s="1"/>
  <c r="I22" i="1"/>
  <c r="J22" i="1" s="1"/>
  <c r="I29" i="1"/>
  <c r="J29" i="1" s="1"/>
  <c r="I24" i="1"/>
  <c r="J24" i="1" s="1"/>
  <c r="I21" i="1"/>
  <c r="J21" i="1" s="1"/>
  <c r="I31" i="1"/>
  <c r="J31" i="1" s="1"/>
  <c r="I26" i="1"/>
  <c r="J26" i="1" s="1"/>
  <c r="I23" i="1"/>
  <c r="J23" i="1" s="1"/>
  <c r="I28" i="1"/>
  <c r="J28" i="1" s="1"/>
  <c r="I25" i="1"/>
  <c r="J25" i="1" s="1"/>
  <c r="P17" i="1"/>
  <c r="O20" i="1"/>
  <c r="P20" i="1" s="1"/>
  <c r="P37" i="1"/>
  <c r="O18" i="1"/>
  <c r="P18" i="1" s="1"/>
  <c r="U37" i="1"/>
  <c r="O19" i="1"/>
  <c r="P19" i="1" s="1"/>
  <c r="U17" i="1"/>
  <c r="S37" i="1"/>
  <c r="S17" i="1"/>
  <c r="N37" i="1"/>
  <c r="J37" i="1"/>
  <c r="H37" i="1"/>
  <c r="D18" i="1"/>
  <c r="E18" i="1" s="1"/>
  <c r="C32" i="1"/>
  <c r="C18" i="1"/>
  <c r="D30" i="1"/>
  <c r="E30" i="1" s="1"/>
  <c r="D27" i="1"/>
  <c r="E27" i="1" s="1"/>
  <c r="C26" i="1"/>
  <c r="D24" i="1"/>
  <c r="E24" i="1" s="1"/>
  <c r="C23" i="1"/>
  <c r="C20" i="1"/>
  <c r="D31" i="1"/>
  <c r="E31" i="1" s="1"/>
  <c r="C30" i="1"/>
  <c r="C27" i="1"/>
  <c r="C24" i="1"/>
  <c r="D21" i="1"/>
  <c r="E21" i="1" s="1"/>
  <c r="C31" i="1"/>
  <c r="C28" i="1"/>
  <c r="D25" i="1"/>
  <c r="E25" i="1" s="1"/>
  <c r="D22" i="1"/>
  <c r="E22" i="1" s="1"/>
  <c r="C21" i="1"/>
  <c r="D19" i="1"/>
  <c r="E19" i="1" s="1"/>
  <c r="D29" i="1"/>
  <c r="E29" i="1" s="1"/>
  <c r="D26" i="1"/>
  <c r="E26" i="1" s="1"/>
  <c r="C25" i="1"/>
  <c r="D23" i="1"/>
  <c r="E23" i="1" s="1"/>
  <c r="C22" i="1"/>
  <c r="D20" i="1"/>
  <c r="E20" i="1" s="1"/>
  <c r="C19" i="1"/>
  <c r="D40" i="1" l="1"/>
  <c r="E40" i="1" s="1"/>
  <c r="N20" i="1"/>
  <c r="S38" i="1"/>
  <c r="T39" i="1"/>
  <c r="U39" i="1" s="1"/>
  <c r="S18" i="1"/>
  <c r="T19" i="1"/>
  <c r="U19" i="1" s="1"/>
  <c r="N38" i="1"/>
  <c r="O39" i="1"/>
  <c r="P39" i="1" s="1"/>
  <c r="H38" i="1"/>
  <c r="I39" i="1"/>
  <c r="J39" i="1" s="1"/>
  <c r="C39" i="1"/>
  <c r="D32" i="1"/>
  <c r="E32" i="1" s="1"/>
  <c r="D28" i="1"/>
  <c r="E28" i="1" s="1"/>
  <c r="C29" i="1"/>
  <c r="D41" i="1" l="1"/>
  <c r="E41" i="1" s="1"/>
  <c r="N21" i="1"/>
  <c r="O21" i="1"/>
  <c r="P21" i="1" s="1"/>
  <c r="S39" i="1"/>
  <c r="T40" i="1"/>
  <c r="U40" i="1" s="1"/>
  <c r="S19" i="1"/>
  <c r="T20" i="1"/>
  <c r="U20" i="1" s="1"/>
  <c r="N39" i="1"/>
  <c r="O40" i="1"/>
  <c r="P40" i="1" s="1"/>
  <c r="H39" i="1"/>
  <c r="I40" i="1"/>
  <c r="J40" i="1" s="1"/>
  <c r="C40" i="1"/>
  <c r="J17" i="1"/>
  <c r="H17" i="1"/>
  <c r="C17" i="1"/>
  <c r="H8" i="1"/>
  <c r="D42" i="1" l="1"/>
  <c r="E42" i="1" s="1"/>
  <c r="N22" i="1"/>
  <c r="O22" i="1"/>
  <c r="P22" i="1" s="1"/>
  <c r="S40" i="1"/>
  <c r="T41" i="1"/>
  <c r="U41" i="1" s="1"/>
  <c r="S20" i="1"/>
  <c r="T21" i="1"/>
  <c r="U21" i="1" s="1"/>
  <c r="N40" i="1"/>
  <c r="O41" i="1"/>
  <c r="P41" i="1" s="1"/>
  <c r="H40" i="1"/>
  <c r="I41" i="1"/>
  <c r="J41" i="1" s="1"/>
  <c r="C41" i="1"/>
  <c r="H19" i="1"/>
  <c r="H18" i="1"/>
  <c r="E17" i="1"/>
  <c r="B3" i="1"/>
  <c r="B2" i="1"/>
  <c r="B12" i="1"/>
  <c r="B11" i="1"/>
  <c r="D3" i="1"/>
  <c r="D2" i="1"/>
  <c r="D43" i="1" l="1"/>
  <c r="E43" i="1" s="1"/>
  <c r="N23" i="1"/>
  <c r="O23" i="1"/>
  <c r="P23" i="1" s="1"/>
  <c r="S41" i="1"/>
  <c r="T42" i="1"/>
  <c r="U42" i="1" s="1"/>
  <c r="S21" i="1"/>
  <c r="T22" i="1"/>
  <c r="U22" i="1" s="1"/>
  <c r="N41" i="1"/>
  <c r="O42" i="1"/>
  <c r="P42" i="1" s="1"/>
  <c r="H41" i="1"/>
  <c r="I42" i="1"/>
  <c r="J42" i="1" s="1"/>
  <c r="C42" i="1"/>
  <c r="H20" i="1"/>
  <c r="C7" i="1"/>
  <c r="C6" i="1"/>
  <c r="C2" i="1"/>
  <c r="D44" i="1" l="1"/>
  <c r="E44" i="1" s="1"/>
  <c r="N24" i="1"/>
  <c r="O24" i="1"/>
  <c r="P24" i="1" s="1"/>
  <c r="S42" i="1"/>
  <c r="T43" i="1"/>
  <c r="U43" i="1" s="1"/>
  <c r="S22" i="1"/>
  <c r="T23" i="1"/>
  <c r="U23" i="1" s="1"/>
  <c r="N42" i="1"/>
  <c r="O43" i="1"/>
  <c r="P43" i="1" s="1"/>
  <c r="H42" i="1"/>
  <c r="I43" i="1"/>
  <c r="J43" i="1" s="1"/>
  <c r="C43" i="1"/>
  <c r="H21" i="1"/>
  <c r="D45" i="1" l="1"/>
  <c r="E45" i="1" s="1"/>
  <c r="N25" i="1"/>
  <c r="O25" i="1"/>
  <c r="P25" i="1" s="1"/>
  <c r="S43" i="1"/>
  <c r="T44" i="1"/>
  <c r="U44" i="1" s="1"/>
  <c r="S23" i="1"/>
  <c r="T24" i="1"/>
  <c r="U24" i="1" s="1"/>
  <c r="N43" i="1"/>
  <c r="O44" i="1"/>
  <c r="P44" i="1" s="1"/>
  <c r="H43" i="1"/>
  <c r="I44" i="1"/>
  <c r="J44" i="1" s="1"/>
  <c r="C44" i="1"/>
  <c r="H22" i="1"/>
  <c r="D46" i="1" l="1"/>
  <c r="E46" i="1" s="1"/>
  <c r="N26" i="1"/>
  <c r="O26" i="1"/>
  <c r="P26" i="1" s="1"/>
  <c r="S44" i="1"/>
  <c r="T45" i="1"/>
  <c r="U45" i="1" s="1"/>
  <c r="S24" i="1"/>
  <c r="T25" i="1"/>
  <c r="U25" i="1" s="1"/>
  <c r="N44" i="1"/>
  <c r="O45" i="1"/>
  <c r="P45" i="1" s="1"/>
  <c r="H44" i="1"/>
  <c r="I45" i="1"/>
  <c r="J45" i="1" s="1"/>
  <c r="C45" i="1"/>
  <c r="H23" i="1"/>
  <c r="D47" i="1" l="1"/>
  <c r="E47" i="1" s="1"/>
  <c r="N27" i="1"/>
  <c r="O27" i="1"/>
  <c r="P27" i="1" s="1"/>
  <c r="S45" i="1"/>
  <c r="T46" i="1"/>
  <c r="U46" i="1" s="1"/>
  <c r="S25" i="1"/>
  <c r="T26" i="1"/>
  <c r="U26" i="1" s="1"/>
  <c r="N45" i="1"/>
  <c r="O46" i="1"/>
  <c r="P46" i="1" s="1"/>
  <c r="H45" i="1"/>
  <c r="I46" i="1"/>
  <c r="J46" i="1" s="1"/>
  <c r="C46" i="1"/>
  <c r="H24" i="1"/>
  <c r="D48" i="1" l="1"/>
  <c r="E48" i="1" s="1"/>
  <c r="N28" i="1"/>
  <c r="O28" i="1"/>
  <c r="P28" i="1" s="1"/>
  <c r="S46" i="1"/>
  <c r="T47" i="1"/>
  <c r="U47" i="1" s="1"/>
  <c r="S26" i="1"/>
  <c r="T27" i="1"/>
  <c r="U27" i="1" s="1"/>
  <c r="N46" i="1"/>
  <c r="O47" i="1"/>
  <c r="P47" i="1" s="1"/>
  <c r="H46" i="1"/>
  <c r="I47" i="1"/>
  <c r="J47" i="1" s="1"/>
  <c r="C47" i="1"/>
  <c r="H25" i="1"/>
  <c r="D49" i="1" l="1"/>
  <c r="N29" i="1"/>
  <c r="O29" i="1"/>
  <c r="P29" i="1" s="1"/>
  <c r="S47" i="1"/>
  <c r="T48" i="1"/>
  <c r="U48" i="1" s="1"/>
  <c r="S27" i="1"/>
  <c r="T28" i="1"/>
  <c r="U28" i="1" s="1"/>
  <c r="N47" i="1"/>
  <c r="O48" i="1"/>
  <c r="P48" i="1" s="1"/>
  <c r="H47" i="1"/>
  <c r="I48" i="1"/>
  <c r="J48" i="1" s="1"/>
  <c r="C48" i="1"/>
  <c r="H26" i="1"/>
  <c r="D50" i="1" l="1"/>
  <c r="E50" i="1" s="1"/>
  <c r="N30" i="1"/>
  <c r="O30" i="1"/>
  <c r="P30" i="1" s="1"/>
  <c r="S48" i="1"/>
  <c r="T49" i="1"/>
  <c r="U49" i="1" s="1"/>
  <c r="S28" i="1"/>
  <c r="T29" i="1"/>
  <c r="U29" i="1" s="1"/>
  <c r="N48" i="1"/>
  <c r="O49" i="1"/>
  <c r="P49" i="1" s="1"/>
  <c r="H48" i="1"/>
  <c r="I49" i="1"/>
  <c r="J49" i="1" s="1"/>
  <c r="C49" i="1"/>
  <c r="H27" i="1"/>
  <c r="D52" i="1" l="1"/>
  <c r="E52" i="1" s="1"/>
  <c r="D51" i="1"/>
  <c r="E51" i="1" s="1"/>
  <c r="N31" i="1"/>
  <c r="O31" i="1"/>
  <c r="P31" i="1" s="1"/>
  <c r="S49" i="1"/>
  <c r="T50" i="1"/>
  <c r="U50" i="1" s="1"/>
  <c r="S29" i="1"/>
  <c r="T30" i="1"/>
  <c r="U30" i="1" s="1"/>
  <c r="N49" i="1"/>
  <c r="O50" i="1"/>
  <c r="P50" i="1" s="1"/>
  <c r="H49" i="1"/>
  <c r="I50" i="1"/>
  <c r="J50" i="1" s="1"/>
  <c r="C50" i="1"/>
  <c r="H28" i="1"/>
  <c r="N32" i="1" l="1"/>
  <c r="O32" i="1"/>
  <c r="P32" i="1" s="1"/>
  <c r="S50" i="1"/>
  <c r="T51" i="1"/>
  <c r="U51" i="1" s="1"/>
  <c r="S30" i="1"/>
  <c r="T31" i="1"/>
  <c r="U31" i="1" s="1"/>
  <c r="N50" i="1"/>
  <c r="O51" i="1"/>
  <c r="P51" i="1" s="1"/>
  <c r="H50" i="1"/>
  <c r="I51" i="1"/>
  <c r="J51" i="1" s="1"/>
  <c r="C51" i="1"/>
  <c r="H29" i="1"/>
  <c r="S51" i="1" l="1"/>
  <c r="T52" i="1"/>
  <c r="U52" i="1" s="1"/>
  <c r="S31" i="1"/>
  <c r="T32" i="1"/>
  <c r="U32" i="1" s="1"/>
  <c r="N51" i="1"/>
  <c r="O52" i="1"/>
  <c r="P52" i="1" s="1"/>
  <c r="H51" i="1"/>
  <c r="I52" i="1"/>
  <c r="J52" i="1" s="1"/>
  <c r="C52" i="1"/>
  <c r="H30" i="1"/>
  <c r="S52" i="1" l="1"/>
  <c r="S32" i="1"/>
  <c r="N52" i="1"/>
  <c r="H52" i="1"/>
  <c r="H31" i="1"/>
  <c r="H32" i="1" l="1"/>
</calcChain>
</file>

<file path=xl/sharedStrings.xml><?xml version="1.0" encoding="utf-8"?>
<sst xmlns="http://schemas.openxmlformats.org/spreadsheetml/2006/main" count="189" uniqueCount="67">
  <si>
    <t>Q.1</t>
  </si>
  <si>
    <t>Methane</t>
  </si>
  <si>
    <t>Benzene</t>
  </si>
  <si>
    <t>Ѡ</t>
  </si>
  <si>
    <t>Tc(K)</t>
  </si>
  <si>
    <t>a(SRK)</t>
  </si>
  <si>
    <t>b(SRK)</t>
  </si>
  <si>
    <t>SRK</t>
  </si>
  <si>
    <t>PR</t>
  </si>
  <si>
    <t>Ԑ</t>
  </si>
  <si>
    <t>Ωa</t>
  </si>
  <si>
    <t>Ωb</t>
  </si>
  <si>
    <t>σ</t>
  </si>
  <si>
    <t>k</t>
  </si>
  <si>
    <t>0.48+1.574*omega-0.176*omega*omega</t>
  </si>
  <si>
    <t>0.37464+1.54226*omega-0.26992*omega*omega</t>
  </si>
  <si>
    <t>R</t>
  </si>
  <si>
    <t>J/mol.K</t>
  </si>
  <si>
    <t>K for methane</t>
  </si>
  <si>
    <t>K for benzene</t>
  </si>
  <si>
    <r>
      <t>Vc(m</t>
    </r>
    <r>
      <rPr>
        <vertAlign val="superscript"/>
        <sz val="11"/>
        <color theme="1"/>
        <rFont val="Calibri"/>
        <family val="2"/>
        <scheme val="minor"/>
      </rPr>
      <t>3</t>
    </r>
    <r>
      <rPr>
        <sz val="11"/>
        <color theme="1"/>
        <rFont val="Calibri"/>
        <family val="2"/>
        <scheme val="minor"/>
      </rPr>
      <t>/mol)</t>
    </r>
  </si>
  <si>
    <r>
      <t>Pc(N/m</t>
    </r>
    <r>
      <rPr>
        <vertAlign val="superscript"/>
        <sz val="11"/>
        <color theme="1"/>
        <rFont val="Calibri"/>
        <family val="2"/>
        <scheme val="minor"/>
      </rPr>
      <t>2</t>
    </r>
    <r>
      <rPr>
        <sz val="11"/>
        <color theme="1"/>
        <rFont val="Calibri"/>
        <family val="2"/>
        <scheme val="minor"/>
      </rPr>
      <t>)</t>
    </r>
  </si>
  <si>
    <t>a(PR)</t>
  </si>
  <si>
    <t>b(PR)</t>
  </si>
  <si>
    <t>Q.2</t>
  </si>
  <si>
    <r>
      <t>V(m</t>
    </r>
    <r>
      <rPr>
        <vertAlign val="superscript"/>
        <sz val="11"/>
        <color theme="1"/>
        <rFont val="Calibri"/>
        <family val="2"/>
        <scheme val="minor"/>
      </rPr>
      <t>3</t>
    </r>
    <r>
      <rPr>
        <sz val="11"/>
        <color theme="1"/>
        <rFont val="Calibri"/>
        <family val="2"/>
        <scheme val="minor"/>
      </rPr>
      <t>/mol)</t>
    </r>
  </si>
  <si>
    <t>Vr</t>
  </si>
  <si>
    <t>P(N/m2)</t>
  </si>
  <si>
    <t>Tr</t>
  </si>
  <si>
    <t>alpha(Tr)</t>
  </si>
  <si>
    <t>Pr</t>
  </si>
  <si>
    <t>SRK,Tr=0.85</t>
  </si>
  <si>
    <t>SRK,Tr=1</t>
  </si>
  <si>
    <t>PR,Tr=0.85</t>
  </si>
  <si>
    <t>PR,Tr=1</t>
  </si>
  <si>
    <t>SRK,Methane</t>
  </si>
  <si>
    <t>SRK,Benzene</t>
  </si>
  <si>
    <t>PR,Methane</t>
  </si>
  <si>
    <t>PR,benzene</t>
  </si>
  <si>
    <t>benzene</t>
  </si>
  <si>
    <t>methane</t>
  </si>
  <si>
    <t>Є</t>
  </si>
  <si>
    <t>Tc</t>
  </si>
  <si>
    <t>Pc</t>
  </si>
  <si>
    <t>pa</t>
  </si>
  <si>
    <t>Vc</t>
  </si>
  <si>
    <t>m3</t>
  </si>
  <si>
    <t>ω</t>
  </si>
  <si>
    <t>α benzene</t>
  </si>
  <si>
    <t>α methane</t>
  </si>
  <si>
    <t>a benzene</t>
  </si>
  <si>
    <t>b benzene</t>
  </si>
  <si>
    <t>a methane</t>
  </si>
  <si>
    <t>tr=0.85</t>
  </si>
  <si>
    <t>tr=1</t>
  </si>
  <si>
    <t>tr=1.2</t>
  </si>
  <si>
    <t>b methane</t>
  </si>
  <si>
    <t>v</t>
  </si>
  <si>
    <t>p</t>
  </si>
  <si>
    <t>vr</t>
  </si>
  <si>
    <t>pr</t>
  </si>
  <si>
    <t>tr</t>
  </si>
  <si>
    <t>t1</t>
  </si>
  <si>
    <t>t2</t>
  </si>
  <si>
    <t>t3</t>
  </si>
  <si>
    <t>α(t)</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</si>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</sst>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theme="1"/>
      <name val="Calibri"/>
      <family val="2"/>
    </font>
    <font>
      <vertAlign val="superscript"/>
      <sz val="11"/>
      <color theme="1"/>
      <name val="Calibri"/>
      <family val="2"/>
      <scheme val="minor"/>
    </font>
    <font>
      <sz val="11"/>
      <color rgb="FF7030A0"/>
      <name val="Calibri"/>
      <family val="2"/>
    </font>
    <font>
      <sz val="10"/>
      <color rgb="FF000000"/>
      <name val="Verdana"/>
      <family val="2"/>
    </font>
    <font>
      <sz val="11"/>
      <name val="Calibri"/>
      <family val="2"/>
      <scheme val="minor"/>
    </font>
    <font>
      <sz val="11"/>
      <name val="Calibri"/>
      <family val="2"/>
    </font>
    <font>
      <sz val="10"/>
      <name val="Verdana"/>
      <family val="2"/>
    </font>
    <font>
      <b/>
      <sz val="22"/>
      <color theme="1"/>
      <name val="Calibri"/>
      <family val="2"/>
      <scheme val="minor"/>
    </font>
    <font>
      <sz val="18"/>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rgb="FFFFFFFF"/>
        <bgColor indexed="64"/>
      </patternFill>
    </fill>
    <fill>
      <patternFill patternType="solid">
        <fgColor rgb="FFFFC000"/>
        <bgColor indexed="64"/>
      </patternFill>
    </fill>
    <fill>
      <patternFill patternType="solid">
        <fgColor theme="9" tint="-0.249977111117893"/>
        <bgColor indexed="64"/>
      </patternFill>
    </fill>
    <fill>
      <patternFill patternType="solid">
        <fgColor rgb="FF0070C0"/>
        <bgColor indexed="64"/>
      </patternFill>
    </fill>
  </fills>
  <borders count="2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theme="4" tint="0.39997558519241921"/>
      </right>
      <top style="thin">
        <color theme="4" tint="0.39997558519241921"/>
      </top>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s>
  <cellStyleXfs count="1">
    <xf numFmtId="0" fontId="0" fillId="0" borderId="0"/>
  </cellStyleXfs>
  <cellXfs count="63">
    <xf numFmtId="0" fontId="0" fillId="0" borderId="0" xfId="0"/>
    <xf numFmtId="0" fontId="1" fillId="0" borderId="0" xfId="0" applyFont="1"/>
    <xf numFmtId="0" fontId="0" fillId="2" borderId="0" xfId="0" applyFill="1"/>
    <xf numFmtId="0" fontId="1" fillId="2" borderId="0" xfId="0" applyFont="1"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3" fillId="3" borderId="0" xfId="0" applyFont="1" applyFill="1"/>
    <xf numFmtId="0" fontId="0" fillId="3" borderId="0" xfId="0" applyFill="1"/>
    <xf numFmtId="0" fontId="0" fillId="2" borderId="8" xfId="0" applyFill="1" applyBorder="1"/>
    <xf numFmtId="0" fontId="0" fillId="2" borderId="9" xfId="0" applyFill="1" applyBorder="1"/>
    <xf numFmtId="0" fontId="0" fillId="2" borderId="10" xfId="0" applyFill="1" applyBorder="1"/>
    <xf numFmtId="0" fontId="1" fillId="2" borderId="11" xfId="0" applyFont="1" applyFill="1" applyBorder="1"/>
    <xf numFmtId="0" fontId="0" fillId="2" borderId="0" xfId="0" applyFill="1" applyBorder="1"/>
    <xf numFmtId="0" fontId="0" fillId="2" borderId="12" xfId="0" applyFill="1" applyBorder="1"/>
    <xf numFmtId="0" fontId="1" fillId="2" borderId="13" xfId="0" applyFont="1" applyFill="1" applyBorder="1"/>
    <xf numFmtId="0" fontId="0" fillId="2" borderId="14" xfId="0" applyFill="1" applyBorder="1"/>
    <xf numFmtId="0" fontId="0" fillId="2" borderId="15" xfId="0" applyFill="1" applyBorder="1"/>
    <xf numFmtId="0" fontId="1" fillId="2" borderId="8" xfId="0" applyFont="1" applyFill="1" applyBorder="1"/>
    <xf numFmtId="0" fontId="0" fillId="0" borderId="0" xfId="0" applyFill="1" applyBorder="1"/>
    <xf numFmtId="0" fontId="4" fillId="0" borderId="0" xfId="0" applyFont="1" applyFill="1" applyBorder="1" applyAlignment="1">
      <alignment horizontal="center" vertical="top" wrapText="1"/>
    </xf>
    <xf numFmtId="0" fontId="4" fillId="4" borderId="16" xfId="0" applyFont="1" applyFill="1" applyBorder="1" applyAlignment="1">
      <alignment horizontal="center" vertical="top" wrapText="1"/>
    </xf>
    <xf numFmtId="0" fontId="5" fillId="0" borderId="0" xfId="0" applyFont="1" applyFill="1" applyBorder="1"/>
    <xf numFmtId="0" fontId="5" fillId="0" borderId="17" xfId="0" applyFont="1" applyBorder="1"/>
    <xf numFmtId="0" fontId="5" fillId="0" borderId="18" xfId="0" applyFont="1" applyBorder="1"/>
    <xf numFmtId="0" fontId="5" fillId="0" borderId="19" xfId="0" applyFont="1" applyBorder="1"/>
    <xf numFmtId="0" fontId="0" fillId="0" borderId="17" xfId="0" applyFont="1" applyBorder="1"/>
    <xf numFmtId="0" fontId="0" fillId="0" borderId="18" xfId="0" applyFont="1" applyBorder="1"/>
    <xf numFmtId="0" fontId="0" fillId="0" borderId="19" xfId="0" applyFont="1" applyBorder="1"/>
    <xf numFmtId="0" fontId="1" fillId="0" borderId="0" xfId="0" applyFont="1" applyFill="1" applyBorder="1"/>
    <xf numFmtId="0" fontId="5" fillId="0" borderId="20" xfId="0" applyFont="1" applyBorder="1"/>
    <xf numFmtId="0" fontId="5" fillId="0" borderId="0" xfId="0" applyFont="1" applyBorder="1"/>
    <xf numFmtId="0" fontId="5" fillId="0" borderId="21" xfId="0" applyFont="1" applyBorder="1"/>
    <xf numFmtId="0" fontId="0" fillId="0" borderId="20" xfId="0" applyFont="1" applyBorder="1"/>
    <xf numFmtId="0" fontId="0" fillId="0" borderId="0" xfId="0" applyFont="1" applyBorder="1"/>
    <xf numFmtId="0" fontId="0" fillId="0" borderId="21" xfId="0" applyFont="1" applyBorder="1"/>
    <xf numFmtId="0" fontId="6" fillId="0" borderId="22" xfId="0" applyFont="1" applyBorder="1"/>
    <xf numFmtId="0" fontId="5" fillId="0" borderId="23" xfId="0" applyFont="1" applyBorder="1"/>
    <xf numFmtId="0" fontId="5" fillId="0" borderId="24" xfId="0" applyFont="1" applyBorder="1"/>
    <xf numFmtId="0" fontId="1" fillId="0" borderId="22" xfId="0" applyFont="1" applyBorder="1"/>
    <xf numFmtId="0" fontId="0" fillId="0" borderId="23" xfId="0" applyFont="1" applyBorder="1"/>
    <xf numFmtId="0" fontId="0" fillId="0" borderId="24" xfId="0" applyFont="1" applyBorder="1"/>
    <xf numFmtId="0" fontId="7" fillId="0" borderId="0" xfId="0" applyFont="1" applyFill="1" applyBorder="1" applyAlignment="1">
      <alignment horizontal="center" vertical="top" wrapText="1"/>
    </xf>
    <xf numFmtId="0" fontId="0" fillId="5" borderId="17" xfId="0" applyFill="1" applyBorder="1"/>
    <xf numFmtId="0" fontId="0" fillId="5" borderId="18" xfId="0" applyFill="1" applyBorder="1"/>
    <xf numFmtId="0" fontId="0" fillId="5" borderId="19" xfId="0" applyFill="1" applyBorder="1"/>
    <xf numFmtId="0" fontId="0" fillId="5" borderId="20" xfId="0" applyFill="1" applyBorder="1"/>
    <xf numFmtId="0" fontId="0" fillId="5" borderId="0" xfId="0" applyFill="1" applyBorder="1"/>
    <xf numFmtId="0" fontId="0" fillId="5" borderId="21" xfId="0" applyFill="1" applyBorder="1"/>
    <xf numFmtId="0" fontId="0" fillId="7" borderId="0" xfId="0" applyFill="1"/>
    <xf numFmtId="0" fontId="0" fillId="5" borderId="22" xfId="0" applyFill="1" applyBorder="1"/>
    <xf numFmtId="0" fontId="0" fillId="5" borderId="23" xfId="0" applyFill="1" applyBorder="1"/>
    <xf numFmtId="0" fontId="0" fillId="5" borderId="24" xfId="0" applyFill="1" applyBorder="1"/>
    <xf numFmtId="0" fontId="6" fillId="0" borderId="0" xfId="0" applyFont="1" applyFill="1" applyBorder="1"/>
    <xf numFmtId="0" fontId="9" fillId="0" borderId="0" xfId="0" applyFont="1" applyAlignment="1"/>
    <xf numFmtId="0" fontId="8" fillId="6" borderId="0" xfId="0" applyFont="1" applyFill="1" applyAlignment="1">
      <alignment horizontal="center"/>
    </xf>
    <xf numFmtId="0" fontId="0" fillId="6" borderId="0" xfId="0" applyFill="1" applyAlignment="1">
      <alignment horizontal="center"/>
    </xf>
    <xf numFmtId="0" fontId="0" fillId="7"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43576695770172"/>
          <c:y val="4.0072859744990891E-2"/>
          <c:w val="0.78613494741728718"/>
          <c:h val="0.89363108299987093"/>
        </c:manualLayout>
      </c:layout>
      <c:scatterChart>
        <c:scatterStyle val="smoothMarker"/>
        <c:varyColors val="0"/>
        <c:ser>
          <c:idx val="0"/>
          <c:order val="0"/>
          <c:tx>
            <c:v>Methane,SRK,Tr=0.85</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Que.1!$C$17:$C$32</c:f>
              <c:numCache>
                <c:formatCode>General</c:formatCode>
                <c:ptCount val="16"/>
                <c:pt idx="0">
                  <c:v>1.0080645161290323</c:v>
                </c:pt>
                <c:pt idx="1">
                  <c:v>3.024193548387097</c:v>
                </c:pt>
                <c:pt idx="2">
                  <c:v>5.040322580645161</c:v>
                </c:pt>
                <c:pt idx="3">
                  <c:v>7.056451612903226</c:v>
                </c:pt>
                <c:pt idx="4">
                  <c:v>9.07258064516129</c:v>
                </c:pt>
                <c:pt idx="5">
                  <c:v>11.088709677419356</c:v>
                </c:pt>
                <c:pt idx="6">
                  <c:v>13.104838709677422</c:v>
                </c:pt>
                <c:pt idx="7">
                  <c:v>15.120967741935486</c:v>
                </c:pt>
                <c:pt idx="8">
                  <c:v>17.137096774193552</c:v>
                </c:pt>
                <c:pt idx="9">
                  <c:v>19.153225806451619</c:v>
                </c:pt>
                <c:pt idx="10">
                  <c:v>21.16935483870968</c:v>
                </c:pt>
                <c:pt idx="11">
                  <c:v>23.185483870967747</c:v>
                </c:pt>
                <c:pt idx="12">
                  <c:v>25.201612903225811</c:v>
                </c:pt>
                <c:pt idx="13">
                  <c:v>27.217741935483875</c:v>
                </c:pt>
                <c:pt idx="14">
                  <c:v>29.233870967741943</c:v>
                </c:pt>
                <c:pt idx="15">
                  <c:v>31.250000000000007</c:v>
                </c:pt>
              </c:numCache>
            </c:numRef>
          </c:xVal>
          <c:yVal>
            <c:numRef>
              <c:f>Que.1!$E$17:$E$32</c:f>
              <c:numCache>
                <c:formatCode>General</c:formatCode>
                <c:ptCount val="16"/>
                <c:pt idx="0">
                  <c:v>4.1739704626403773</c:v>
                </c:pt>
                <c:pt idx="1">
                  <c:v>1.0838945490330523</c:v>
                </c:pt>
                <c:pt idx="2">
                  <c:v>0.62281316139365339</c:v>
                </c:pt>
                <c:pt idx="3">
                  <c:v>0.43694128795582016</c:v>
                </c:pt>
                <c:pt idx="4">
                  <c:v>0.33651269467832079</c:v>
                </c:pt>
                <c:pt idx="5">
                  <c:v>0.27362212380355316</c:v>
                </c:pt>
                <c:pt idx="6">
                  <c:v>0.23053721654715068</c:v>
                </c:pt>
                <c:pt idx="7">
                  <c:v>0.19917487134564898</c:v>
                </c:pt>
                <c:pt idx="8">
                  <c:v>0.17532377575729532</c:v>
                </c:pt>
                <c:pt idx="9">
                  <c:v>0.15657410068015265</c:v>
                </c:pt>
                <c:pt idx="10">
                  <c:v>0.14144728297808623</c:v>
                </c:pt>
                <c:pt idx="11">
                  <c:v>0.12898580385417152</c:v>
                </c:pt>
                <c:pt idx="12">
                  <c:v>0.11854225281438745</c:v>
                </c:pt>
                <c:pt idx="13">
                  <c:v>0.10966318890257411</c:v>
                </c:pt>
                <c:pt idx="14">
                  <c:v>0.10202155910467187</c:v>
                </c:pt>
                <c:pt idx="15">
                  <c:v>9.5375531693147927E-2</c:v>
                </c:pt>
              </c:numCache>
            </c:numRef>
          </c:yVal>
          <c:smooth val="1"/>
        </c:ser>
        <c:ser>
          <c:idx val="1"/>
          <c:order val="1"/>
          <c:tx>
            <c:v>Methane,SRK,Tr=1</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Que.1!$H$17:$H$32</c:f>
              <c:numCache>
                <c:formatCode>General</c:formatCode>
                <c:ptCount val="16"/>
                <c:pt idx="0">
                  <c:v>1.0080645161290323</c:v>
                </c:pt>
                <c:pt idx="1">
                  <c:v>3.024193548387097</c:v>
                </c:pt>
                <c:pt idx="2">
                  <c:v>5.040322580645161</c:v>
                </c:pt>
                <c:pt idx="3">
                  <c:v>7.056451612903226</c:v>
                </c:pt>
                <c:pt idx="4">
                  <c:v>9.07258064516129</c:v>
                </c:pt>
                <c:pt idx="5">
                  <c:v>11.088709677419356</c:v>
                </c:pt>
                <c:pt idx="6">
                  <c:v>13.104838709677422</c:v>
                </c:pt>
                <c:pt idx="7">
                  <c:v>15.120967741935486</c:v>
                </c:pt>
                <c:pt idx="8">
                  <c:v>17.137096774193552</c:v>
                </c:pt>
                <c:pt idx="9">
                  <c:v>19.153225806451619</c:v>
                </c:pt>
                <c:pt idx="10">
                  <c:v>21.16935483870968</c:v>
                </c:pt>
                <c:pt idx="11">
                  <c:v>23.185483870967747</c:v>
                </c:pt>
                <c:pt idx="12">
                  <c:v>25.201612903225811</c:v>
                </c:pt>
                <c:pt idx="13">
                  <c:v>27.217741935483875</c:v>
                </c:pt>
                <c:pt idx="14">
                  <c:v>29.233870967741943</c:v>
                </c:pt>
                <c:pt idx="15">
                  <c:v>31.250000000000007</c:v>
                </c:pt>
              </c:numCache>
            </c:numRef>
          </c:xVal>
          <c:yVal>
            <c:numRef>
              <c:f>Que.1!$J$17:$J$32</c:f>
              <c:numCache>
                <c:formatCode>General</c:formatCode>
                <c:ptCount val="16"/>
                <c:pt idx="0">
                  <c:v>4.9105535032160894</c:v>
                </c:pt>
                <c:pt idx="1">
                  <c:v>1.2751700727216957</c:v>
                </c:pt>
                <c:pt idx="2">
                  <c:v>0.73272138083701255</c:v>
                </c:pt>
                <c:pt idx="3">
                  <c:v>0.51404858832397393</c:v>
                </c:pt>
                <c:pt idx="4">
                  <c:v>0.39589730198557632</c:v>
                </c:pt>
                <c:pt idx="5">
                  <c:v>0.32190839499162827</c:v>
                </c:pt>
                <c:pt idx="6">
                  <c:v>0.27122026875054001</c:v>
                </c:pt>
                <c:pt idx="7">
                  <c:v>0.23432339200102836</c:v>
                </c:pt>
                <c:pt idx="8">
                  <c:v>0.20626327951212908</c:v>
                </c:pt>
                <c:pt idx="9">
                  <c:v>0.18420483821962932</c:v>
                </c:pt>
                <c:pt idx="10">
                  <c:v>0.16640858207909204</c:v>
                </c:pt>
                <c:pt idx="11">
                  <c:v>0.15174801838699714</c:v>
                </c:pt>
                <c:pt idx="12">
                  <c:v>0.13946148773776021</c:v>
                </c:pt>
                <c:pt idx="13">
                  <c:v>0.12901553018235673</c:v>
                </c:pt>
                <c:pt idx="14">
                  <c:v>0.12002537746851676</c:v>
                </c:pt>
                <c:pt idx="15">
                  <c:v>0.112206521681173</c:v>
                </c:pt>
              </c:numCache>
            </c:numRef>
          </c:yVal>
          <c:smooth val="1"/>
        </c:ser>
        <c:ser>
          <c:idx val="2"/>
          <c:order val="2"/>
          <c:tx>
            <c:v>Methane,PR,Tr=0.85</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Que.1!$C$37:$C$52</c:f>
              <c:numCache>
                <c:formatCode>General</c:formatCode>
                <c:ptCount val="16"/>
                <c:pt idx="0">
                  <c:v>1.0080645161290323</c:v>
                </c:pt>
                <c:pt idx="1">
                  <c:v>3.024193548387097</c:v>
                </c:pt>
                <c:pt idx="2">
                  <c:v>5.040322580645161</c:v>
                </c:pt>
                <c:pt idx="3">
                  <c:v>7.056451612903226</c:v>
                </c:pt>
                <c:pt idx="4">
                  <c:v>9.07258064516129</c:v>
                </c:pt>
                <c:pt idx="5">
                  <c:v>11.088709677419356</c:v>
                </c:pt>
                <c:pt idx="6">
                  <c:v>13.104838709677422</c:v>
                </c:pt>
                <c:pt idx="7">
                  <c:v>15.120967741935486</c:v>
                </c:pt>
                <c:pt idx="8">
                  <c:v>17.137096774193552</c:v>
                </c:pt>
                <c:pt idx="9">
                  <c:v>19.153225806451619</c:v>
                </c:pt>
                <c:pt idx="10">
                  <c:v>21.16935483870968</c:v>
                </c:pt>
                <c:pt idx="11">
                  <c:v>23.185483870967747</c:v>
                </c:pt>
                <c:pt idx="12">
                  <c:v>25.201612903225811</c:v>
                </c:pt>
                <c:pt idx="13">
                  <c:v>27.217741935483875</c:v>
                </c:pt>
                <c:pt idx="14">
                  <c:v>29.233870967741943</c:v>
                </c:pt>
                <c:pt idx="15">
                  <c:v>31.250000000000007</c:v>
                </c:pt>
              </c:numCache>
            </c:numRef>
          </c:xVal>
          <c:yVal>
            <c:numRef>
              <c:f>Que.1!$E$37:$E$52</c:f>
              <c:numCache>
                <c:formatCode>General</c:formatCode>
                <c:ptCount val="16"/>
                <c:pt idx="0">
                  <c:v>4.0002440753959991</c:v>
                </c:pt>
                <c:pt idx="1">
                  <c:v>1.0718071161779501</c:v>
                </c:pt>
                <c:pt idx="2">
                  <c:v>0.6188031888219544</c:v>
                </c:pt>
                <c:pt idx="3">
                  <c:v>0.43496382587437937</c:v>
                </c:pt>
                <c:pt idx="4">
                  <c:v>0.3353385599295558</c:v>
                </c:pt>
                <c:pt idx="5">
                  <c:v>0.27284533673961364</c:v>
                </c:pt>
                <c:pt idx="6">
                  <c:v>0.22998554921110623</c:v>
                </c:pt>
                <c:pt idx="7">
                  <c:v>0.19876295663846602</c:v>
                </c:pt>
                <c:pt idx="8">
                  <c:v>0.17500452699455921</c:v>
                </c:pt>
                <c:pt idx="9">
                  <c:v>0.15631943288241298</c:v>
                </c:pt>
                <c:pt idx="10">
                  <c:v>0.14123941200487639</c:v>
                </c:pt>
                <c:pt idx="11">
                  <c:v>0.12881292292713079</c:v>
                </c:pt>
                <c:pt idx="12">
                  <c:v>0.11839621701868425</c:v>
                </c:pt>
                <c:pt idx="13">
                  <c:v>0.10953819824304679</c:v>
                </c:pt>
                <c:pt idx="14">
                  <c:v>0.10191337157850021</c:v>
                </c:pt>
                <c:pt idx="15">
                  <c:v>9.5280973235177646E-2</c:v>
                </c:pt>
              </c:numCache>
            </c:numRef>
          </c:yVal>
          <c:smooth val="1"/>
        </c:ser>
        <c:ser>
          <c:idx val="3"/>
          <c:order val="3"/>
          <c:tx>
            <c:v>Methane,PR,Tr=1</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Que.1!$H$37:$H$52</c:f>
              <c:numCache>
                <c:formatCode>General</c:formatCode>
                <c:ptCount val="16"/>
                <c:pt idx="0">
                  <c:v>1.0080645161290323</c:v>
                </c:pt>
                <c:pt idx="1">
                  <c:v>3.024193548387097</c:v>
                </c:pt>
                <c:pt idx="2">
                  <c:v>5.040322580645161</c:v>
                </c:pt>
                <c:pt idx="3">
                  <c:v>7.056451612903226</c:v>
                </c:pt>
                <c:pt idx="4">
                  <c:v>9.07258064516129</c:v>
                </c:pt>
                <c:pt idx="5">
                  <c:v>11.088709677419356</c:v>
                </c:pt>
                <c:pt idx="6">
                  <c:v>13.104838709677422</c:v>
                </c:pt>
                <c:pt idx="7">
                  <c:v>15.120967741935486</c:v>
                </c:pt>
                <c:pt idx="8">
                  <c:v>17.137096774193552</c:v>
                </c:pt>
                <c:pt idx="9">
                  <c:v>19.153225806451619</c:v>
                </c:pt>
                <c:pt idx="10">
                  <c:v>21.16935483870968</c:v>
                </c:pt>
                <c:pt idx="11">
                  <c:v>23.185483870967747</c:v>
                </c:pt>
                <c:pt idx="12">
                  <c:v>25.201612903225811</c:v>
                </c:pt>
                <c:pt idx="13">
                  <c:v>27.217741935483875</c:v>
                </c:pt>
                <c:pt idx="14">
                  <c:v>29.233870967741943</c:v>
                </c:pt>
                <c:pt idx="15">
                  <c:v>31.250000000000007</c:v>
                </c:pt>
              </c:numCache>
            </c:numRef>
          </c:xVal>
          <c:yVal>
            <c:numRef>
              <c:f>Que.1!$J$37:$J$52</c:f>
              <c:numCache>
                <c:formatCode>General</c:formatCode>
                <c:ptCount val="16"/>
                <c:pt idx="0">
                  <c:v>4.7061695299760391</c:v>
                </c:pt>
                <c:pt idx="1">
                  <c:v>1.2609495685523844</c:v>
                </c:pt>
                <c:pt idx="2">
                  <c:v>0.72800376995328686</c:v>
                </c:pt>
                <c:pt idx="3">
                  <c:v>0.51172216576856955</c:v>
                </c:pt>
                <c:pt idx="4">
                  <c:v>0.39451597014502171</c:v>
                </c:pt>
                <c:pt idx="5">
                  <c:v>0.32099453084854679</c:v>
                </c:pt>
                <c:pt idx="6">
                  <c:v>0.27057125123118536</c:v>
                </c:pt>
                <c:pt idx="7">
                  <c:v>0.2338387892551862</c:v>
                </c:pt>
                <c:pt idx="8">
                  <c:v>0.20588769546044075</c:v>
                </c:pt>
                <c:pt idx="9">
                  <c:v>0.18390523172339665</c:v>
                </c:pt>
                <c:pt idx="10">
                  <c:v>0.16616403062979992</c:v>
                </c:pt>
                <c:pt idx="11">
                  <c:v>0.1515446316642996</c:v>
                </c:pt>
                <c:pt idx="12">
                  <c:v>0.13928968349432677</c:v>
                </c:pt>
                <c:pt idx="13">
                  <c:v>0.12886848489867048</c:v>
                </c:pt>
                <c:pt idx="14">
                  <c:v>0.11989810055635237</c:v>
                </c:pt>
                <c:pt idx="15">
                  <c:v>0.11209527894891171</c:v>
                </c:pt>
              </c:numCache>
            </c:numRef>
          </c:yVal>
          <c:smooth val="1"/>
        </c:ser>
        <c:ser>
          <c:idx val="4"/>
          <c:order val="4"/>
          <c:tx>
            <c:v>Benzene,SRK,Tr=0.85</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Que.1!$N$17:$N$32</c:f>
              <c:numCache>
                <c:formatCode>General</c:formatCode>
                <c:ptCount val="16"/>
                <c:pt idx="0">
                  <c:v>0.38610038610038611</c:v>
                </c:pt>
                <c:pt idx="1">
                  <c:v>1.1583011583011584</c:v>
                </c:pt>
                <c:pt idx="2">
                  <c:v>1.9305019305019304</c:v>
                </c:pt>
                <c:pt idx="3">
                  <c:v>2.7027027027027026</c:v>
                </c:pt>
                <c:pt idx="4">
                  <c:v>3.4749034749034746</c:v>
                </c:pt>
                <c:pt idx="5">
                  <c:v>4.2471042471042475</c:v>
                </c:pt>
                <c:pt idx="6">
                  <c:v>5.0193050193050199</c:v>
                </c:pt>
                <c:pt idx="7">
                  <c:v>5.7915057915057924</c:v>
                </c:pt>
                <c:pt idx="8">
                  <c:v>6.5637065637065648</c:v>
                </c:pt>
                <c:pt idx="9">
                  <c:v>7.3359073359073372</c:v>
                </c:pt>
                <c:pt idx="10">
                  <c:v>8.1081081081081088</c:v>
                </c:pt>
                <c:pt idx="11">
                  <c:v>8.8803088803088812</c:v>
                </c:pt>
                <c:pt idx="12">
                  <c:v>9.6525096525096536</c:v>
                </c:pt>
                <c:pt idx="13">
                  <c:v>10.424710424710426</c:v>
                </c:pt>
                <c:pt idx="14">
                  <c:v>11.196911196911199</c:v>
                </c:pt>
                <c:pt idx="15">
                  <c:v>11.969111969111971</c:v>
                </c:pt>
              </c:numCache>
            </c:numRef>
          </c:xVal>
          <c:yVal>
            <c:numRef>
              <c:f>Que.1!$P$17:$P$32</c:f>
              <c:numCache>
                <c:formatCode>General</c:formatCode>
                <c:ptCount val="16"/>
                <c:pt idx="0">
                  <c:v>50.218577029294622</c:v>
                </c:pt>
                <c:pt idx="1">
                  <c:v>3.9766770508186537</c:v>
                </c:pt>
                <c:pt idx="2">
                  <c:v>2.0703094926761101</c:v>
                </c:pt>
                <c:pt idx="3">
                  <c:v>1.399437232297478</c:v>
                </c:pt>
                <c:pt idx="4">
                  <c:v>1.0569412367194748</c:v>
                </c:pt>
                <c:pt idx="5">
                  <c:v>0.84912718359663808</c:v>
                </c:pt>
                <c:pt idx="6">
                  <c:v>0.70960565314725166</c:v>
                </c:pt>
                <c:pt idx="7">
                  <c:v>0.60946362715804447</c:v>
                </c:pt>
                <c:pt idx="8">
                  <c:v>0.53409084674577223</c:v>
                </c:pt>
                <c:pt idx="9">
                  <c:v>0.47530904214408914</c:v>
                </c:pt>
                <c:pt idx="10">
                  <c:v>0.42818335900739862</c:v>
                </c:pt>
                <c:pt idx="11">
                  <c:v>0.38955951508568926</c:v>
                </c:pt>
                <c:pt idx="12">
                  <c:v>0.35732717417025817</c:v>
                </c:pt>
                <c:pt idx="13">
                  <c:v>0.33002106703996664</c:v>
                </c:pt>
                <c:pt idx="14">
                  <c:v>0.30659201690749649</c:v>
                </c:pt>
                <c:pt idx="15">
                  <c:v>0.28626903258213016</c:v>
                </c:pt>
              </c:numCache>
            </c:numRef>
          </c:yVal>
          <c:smooth val="1"/>
        </c:ser>
        <c:ser>
          <c:idx val="5"/>
          <c:order val="5"/>
          <c:tx>
            <c:v>Benzene,SRK,Tr=1</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Que.1!$S$17:$S$32</c:f>
              <c:numCache>
                <c:formatCode>General</c:formatCode>
                <c:ptCount val="16"/>
                <c:pt idx="0">
                  <c:v>0.38610038610038611</c:v>
                </c:pt>
                <c:pt idx="1">
                  <c:v>1.1583011583011584</c:v>
                </c:pt>
                <c:pt idx="2">
                  <c:v>1.9305019305019304</c:v>
                </c:pt>
                <c:pt idx="3">
                  <c:v>2.7027027027027026</c:v>
                </c:pt>
                <c:pt idx="4">
                  <c:v>3.4749034749034746</c:v>
                </c:pt>
                <c:pt idx="5">
                  <c:v>4.2471042471042475</c:v>
                </c:pt>
                <c:pt idx="6">
                  <c:v>5.0193050193050199</c:v>
                </c:pt>
                <c:pt idx="7">
                  <c:v>5.7915057915057924</c:v>
                </c:pt>
                <c:pt idx="8">
                  <c:v>6.5637065637065648</c:v>
                </c:pt>
                <c:pt idx="9">
                  <c:v>7.3359073359073372</c:v>
                </c:pt>
                <c:pt idx="10">
                  <c:v>8.1081081081081088</c:v>
                </c:pt>
                <c:pt idx="11">
                  <c:v>8.8803088803088812</c:v>
                </c:pt>
                <c:pt idx="12">
                  <c:v>9.6525096525096536</c:v>
                </c:pt>
                <c:pt idx="13">
                  <c:v>10.424710424710426</c:v>
                </c:pt>
                <c:pt idx="14">
                  <c:v>11.196911196911199</c:v>
                </c:pt>
                <c:pt idx="15">
                  <c:v>11.969111969111971</c:v>
                </c:pt>
              </c:numCache>
            </c:numRef>
          </c:xVal>
          <c:yVal>
            <c:numRef>
              <c:f>Que.1!$U$17:$U$32</c:f>
              <c:numCache>
                <c:formatCode>General</c:formatCode>
                <c:ptCount val="16"/>
                <c:pt idx="0">
                  <c:v>59.080679107733438</c:v>
                </c:pt>
                <c:pt idx="1">
                  <c:v>4.6784437635241503</c:v>
                </c:pt>
                <c:pt idx="2">
                  <c:v>2.4356583859207053</c:v>
                </c:pt>
                <c:pt idx="3">
                  <c:v>1.6463968966582552</c:v>
                </c:pt>
                <c:pt idx="4">
                  <c:v>1.2434604276812247</c:v>
                </c:pt>
                <c:pt idx="5">
                  <c:v>0.99897330407496654</c:v>
                </c:pt>
                <c:pt idx="6">
                  <c:v>0.83483032549357605</c:v>
                </c:pt>
                <c:pt idx="7">
                  <c:v>0.71701617611076363</c:v>
                </c:pt>
                <c:pt idx="8">
                  <c:v>0.62834231591498402</c:v>
                </c:pt>
                <c:pt idx="9">
                  <c:v>0.55918725097726996</c:v>
                </c:pt>
                <c:pt idx="10">
                  <c:v>0.50374527024943483</c:v>
                </c:pt>
                <c:pt idx="11">
                  <c:v>0.45830545340254319</c:v>
                </c:pt>
                <c:pt idx="12">
                  <c:v>0.42038505193210096</c:v>
                </c:pt>
                <c:pt idx="13">
                  <c:v>0.38826021967893742</c:v>
                </c:pt>
                <c:pt idx="14">
                  <c:v>0.36069663099885341</c:v>
                </c:pt>
                <c:pt idx="15">
                  <c:v>0.3367872374232333</c:v>
                </c:pt>
              </c:numCache>
            </c:numRef>
          </c:yVal>
          <c:smooth val="1"/>
        </c:ser>
        <c:ser>
          <c:idx val="6"/>
          <c:order val="6"/>
          <c:tx>
            <c:v>Benzene,PR,Tr=0.85</c:v>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Que.1!$N$37:$N$52</c:f>
              <c:numCache>
                <c:formatCode>General</c:formatCode>
                <c:ptCount val="16"/>
                <c:pt idx="0">
                  <c:v>0.38610038610038611</c:v>
                </c:pt>
                <c:pt idx="1">
                  <c:v>1.1583011583011584</c:v>
                </c:pt>
                <c:pt idx="2">
                  <c:v>1.9305019305019304</c:v>
                </c:pt>
                <c:pt idx="3">
                  <c:v>2.7027027027027026</c:v>
                </c:pt>
                <c:pt idx="4">
                  <c:v>3.4749034749034746</c:v>
                </c:pt>
                <c:pt idx="5">
                  <c:v>4.2471042471042475</c:v>
                </c:pt>
                <c:pt idx="6">
                  <c:v>5.0193050193050199</c:v>
                </c:pt>
                <c:pt idx="7">
                  <c:v>5.7915057915057924</c:v>
                </c:pt>
                <c:pt idx="8">
                  <c:v>6.5637065637065648</c:v>
                </c:pt>
                <c:pt idx="9">
                  <c:v>7.3359073359073372</c:v>
                </c:pt>
                <c:pt idx="10">
                  <c:v>8.1081081081081088</c:v>
                </c:pt>
                <c:pt idx="11">
                  <c:v>8.8803088803088812</c:v>
                </c:pt>
                <c:pt idx="12">
                  <c:v>9.6525096525096536</c:v>
                </c:pt>
                <c:pt idx="13">
                  <c:v>10.424710424710426</c:v>
                </c:pt>
                <c:pt idx="14">
                  <c:v>11.196911196911199</c:v>
                </c:pt>
                <c:pt idx="15">
                  <c:v>11.969111969111971</c:v>
                </c:pt>
              </c:numCache>
            </c:numRef>
          </c:xVal>
          <c:yVal>
            <c:numRef>
              <c:f>Que.1!$P$37:$P$52</c:f>
              <c:numCache>
                <c:formatCode>General</c:formatCode>
                <c:ptCount val="16"/>
                <c:pt idx="0">
                  <c:v>33.671755572638347</c:v>
                </c:pt>
                <c:pt idx="1">
                  <c:v>4.5032061133186705</c:v>
                </c:pt>
                <c:pt idx="2">
                  <c:v>-6.8258377896522354E-7</c:v>
                </c:pt>
                <c:pt idx="3">
                  <c:v>-6.1945033284435462E-7</c:v>
                </c:pt>
                <c:pt idx="4">
                  <c:v>-5.853703455262506E-7</c:v>
                </c:pt>
                <c:pt idx="5">
                  <c:v>-5.6404002688822294E-7</c:v>
                </c:pt>
                <c:pt idx="6">
                  <c:v>-5.4943213302747942E-7</c:v>
                </c:pt>
                <c:pt idx="7">
                  <c:v>-5.3880133024008131E-7</c:v>
                </c:pt>
                <c:pt idx="8">
                  <c:v>-5.3071804200419839E-7</c:v>
                </c:pt>
                <c:pt idx="9">
                  <c:v>-5.2436453582626286E-7</c:v>
                </c:pt>
                <c:pt idx="10">
                  <c:v>-5.1923923269012523E-7</c:v>
                </c:pt>
                <c:pt idx="11">
                  <c:v>-5.1501738353332021E-7</c:v>
                </c:pt>
                <c:pt idx="12">
                  <c:v>-5.1147945508965781E-7</c:v>
                </c:pt>
                <c:pt idx="13">
                  <c:v>-5.0847171147013088E-7</c:v>
                </c:pt>
                <c:pt idx="14">
                  <c:v>-5.0588328188606625E-7</c:v>
                </c:pt>
                <c:pt idx="15">
                  <c:v>-5.0363219445387279E-7</c:v>
                </c:pt>
              </c:numCache>
            </c:numRef>
          </c:yVal>
          <c:smooth val="1"/>
        </c:ser>
        <c:ser>
          <c:idx val="7"/>
          <c:order val="7"/>
          <c:tx>
            <c:v>Benzene,PR,Tr=1</c:v>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Que.1!$S$37:$S$52</c:f>
              <c:numCache>
                <c:formatCode>General</c:formatCode>
                <c:ptCount val="16"/>
                <c:pt idx="0">
                  <c:v>0.38610038610038611</c:v>
                </c:pt>
                <c:pt idx="1">
                  <c:v>1.1583011583011584</c:v>
                </c:pt>
                <c:pt idx="2">
                  <c:v>1.9305019305019304</c:v>
                </c:pt>
                <c:pt idx="3">
                  <c:v>2.7027027027027026</c:v>
                </c:pt>
                <c:pt idx="4">
                  <c:v>3.4749034749034746</c:v>
                </c:pt>
                <c:pt idx="5">
                  <c:v>4.2471042471042475</c:v>
                </c:pt>
                <c:pt idx="6">
                  <c:v>5.0193050193050199</c:v>
                </c:pt>
                <c:pt idx="7">
                  <c:v>5.7915057915057924</c:v>
                </c:pt>
                <c:pt idx="8">
                  <c:v>6.5637065637065648</c:v>
                </c:pt>
                <c:pt idx="9">
                  <c:v>7.3359073359073372</c:v>
                </c:pt>
                <c:pt idx="10">
                  <c:v>8.1081081081081088</c:v>
                </c:pt>
                <c:pt idx="11">
                  <c:v>8.8803088803088812</c:v>
                </c:pt>
                <c:pt idx="12">
                  <c:v>9.6525096525096536</c:v>
                </c:pt>
                <c:pt idx="13">
                  <c:v>10.424710424710426</c:v>
                </c:pt>
                <c:pt idx="14">
                  <c:v>11.196911196911199</c:v>
                </c:pt>
                <c:pt idx="15">
                  <c:v>11.969111969111971</c:v>
                </c:pt>
              </c:numCache>
            </c:numRef>
          </c:xVal>
          <c:yVal>
            <c:numRef>
              <c:f>Que.1!$U$37:$U$52</c:f>
              <c:numCache>
                <c:formatCode>General</c:formatCode>
                <c:ptCount val="16"/>
                <c:pt idx="0">
                  <c:v>39.613830531664554</c:v>
                </c:pt>
                <c:pt idx="1">
                  <c:v>4.5032061619546511</c:v>
                </c:pt>
                <c:pt idx="2">
                  <c:v>2.3872938339264955</c:v>
                </c:pt>
                <c:pt idx="3">
                  <c:v>1.6241551977191679</c:v>
                </c:pt>
                <c:pt idx="4">
                  <c:v>1.2307311968140136</c:v>
                </c:pt>
                <c:pt idx="5">
                  <c:v>0.99074098478529282</c:v>
                </c:pt>
                <c:pt idx="6">
                  <c:v>0.82907326691292971</c:v>
                </c:pt>
                <c:pt idx="7">
                  <c:v>0.71276522199199721</c:v>
                </c:pt>
                <c:pt idx="8">
                  <c:v>0.62507537544135938</c:v>
                </c:pt>
                <c:pt idx="9">
                  <c:v>0.55659836225098891</c:v>
                </c:pt>
                <c:pt idx="10">
                  <c:v>0.50164332205084683</c:v>
                </c:pt>
                <c:pt idx="11">
                  <c:v>0.45656494752999482</c:v>
                </c:pt>
                <c:pt idx="12">
                  <c:v>0.41892018397335612</c:v>
                </c:pt>
                <c:pt idx="13">
                  <c:v>0.38701034192135814</c:v>
                </c:pt>
                <c:pt idx="14">
                  <c:v>0.35961766579930476</c:v>
                </c:pt>
                <c:pt idx="15">
                  <c:v>0.33584638174456605</c:v>
                </c:pt>
              </c:numCache>
            </c:numRef>
          </c:yVal>
          <c:smooth val="1"/>
        </c:ser>
        <c:dLbls>
          <c:showLegendKey val="0"/>
          <c:showVal val="0"/>
          <c:showCatName val="0"/>
          <c:showSerName val="0"/>
          <c:showPercent val="0"/>
          <c:showBubbleSize val="0"/>
        </c:dLbls>
        <c:axId val="270025184"/>
        <c:axId val="270024792"/>
      </c:scatterChart>
      <c:valAx>
        <c:axId val="270025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024792"/>
        <c:crosses val="autoZero"/>
        <c:crossBetween val="midCat"/>
      </c:valAx>
      <c:valAx>
        <c:axId val="2700247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025184"/>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sz="3200" i="1"/>
              <a:t>SRK</a:t>
            </a:r>
          </a:p>
        </c:rich>
      </c:tx>
      <c:layout/>
      <c:overlay val="0"/>
    </c:title>
    <c:autoTitleDeleted val="0"/>
    <c:plotArea>
      <c:layout/>
      <c:scatterChart>
        <c:scatterStyle val="smoothMarker"/>
        <c:varyColors val="0"/>
        <c:ser>
          <c:idx val="0"/>
          <c:order val="0"/>
          <c:tx>
            <c:v>Tr 0.85 BENZENE</c:v>
          </c:tx>
          <c:marker>
            <c:symbol val="none"/>
          </c:marker>
          <c:xVal>
            <c:numRef>
              <c:f>[1]Sheet1!$I$20:$I$38</c:f>
              <c:numCache>
                <c:formatCode>General</c:formatCode>
                <c:ptCount val="19"/>
                <c:pt idx="0">
                  <c:v>0.41854797490612305</c:v>
                </c:pt>
                <c:pt idx="1">
                  <c:v>0.62782196235918453</c:v>
                </c:pt>
                <c:pt idx="2">
                  <c:v>0.83709594981224611</c:v>
                </c:pt>
                <c:pt idx="3">
                  <c:v>1.0463699372653077</c:v>
                </c:pt>
                <c:pt idx="4">
                  <c:v>1.2556439247183691</c:v>
                </c:pt>
                <c:pt idx="5">
                  <c:v>1.4649179121714309</c:v>
                </c:pt>
                <c:pt idx="6">
                  <c:v>1.6741918996244922</c:v>
                </c:pt>
                <c:pt idx="7">
                  <c:v>1.8834658870775538</c:v>
                </c:pt>
                <c:pt idx="8">
                  <c:v>2.0927398745306154</c:v>
                </c:pt>
                <c:pt idx="9">
                  <c:v>2.302013861983677</c:v>
                </c:pt>
                <c:pt idx="10">
                  <c:v>2.5112878494367381</c:v>
                </c:pt>
                <c:pt idx="11">
                  <c:v>2.7205618368898001</c:v>
                </c:pt>
                <c:pt idx="12">
                  <c:v>2.9298358243428617</c:v>
                </c:pt>
                <c:pt idx="13">
                  <c:v>3.1391098117959233</c:v>
                </c:pt>
                <c:pt idx="14">
                  <c:v>3.3483837992489844</c:v>
                </c:pt>
                <c:pt idx="15">
                  <c:v>3.557657786702046</c:v>
                </c:pt>
                <c:pt idx="16">
                  <c:v>3.7669317741551076</c:v>
                </c:pt>
                <c:pt idx="17">
                  <c:v>3.9762057616081692</c:v>
                </c:pt>
                <c:pt idx="18">
                  <c:v>4.1854797490612308</c:v>
                </c:pt>
              </c:numCache>
            </c:numRef>
          </c:xVal>
          <c:yVal>
            <c:numRef>
              <c:f>[1]Sheet1!$J$20:$J$38</c:f>
              <c:numCache>
                <c:formatCode>General</c:formatCode>
                <c:ptCount val="19"/>
                <c:pt idx="0">
                  <c:v>0.27697210521228072</c:v>
                </c:pt>
                <c:pt idx="1">
                  <c:v>0.49398588708980556</c:v>
                </c:pt>
                <c:pt idx="2">
                  <c:v>0.50809475787480152</c:v>
                </c:pt>
                <c:pt idx="3">
                  <c:v>0.47831243378530314</c:v>
                </c:pt>
                <c:pt idx="4">
                  <c:v>0.44057860875473137</c:v>
                </c:pt>
                <c:pt idx="5">
                  <c:v>0.40423603793233315</c:v>
                </c:pt>
                <c:pt idx="6">
                  <c:v>0.37159547388612241</c:v>
                </c:pt>
                <c:pt idx="7">
                  <c:v>0.3429067672370974</c:v>
                </c:pt>
                <c:pt idx="8">
                  <c:v>0.31782084679166472</c:v>
                </c:pt>
                <c:pt idx="9">
                  <c:v>0.29585519599059884</c:v>
                </c:pt>
                <c:pt idx="10">
                  <c:v>0.27654336549443431</c:v>
                </c:pt>
                <c:pt idx="11">
                  <c:v>0.25947761127850011</c:v>
                </c:pt>
                <c:pt idx="12">
                  <c:v>0.24431476915057634</c:v>
                </c:pt>
                <c:pt idx="13">
                  <c:v>0.23077020028260314</c:v>
                </c:pt>
                <c:pt idx="14">
                  <c:v>0.21860878845804807</c:v>
                </c:pt>
                <c:pt idx="15">
                  <c:v>0.20763614615750872</c:v>
                </c:pt>
                <c:pt idx="16">
                  <c:v>0.19769099885061042</c:v>
                </c:pt>
                <c:pt idx="17">
                  <c:v>0.18863890446302192</c:v>
                </c:pt>
                <c:pt idx="18">
                  <c:v>0.18036718503302213</c:v>
                </c:pt>
              </c:numCache>
            </c:numRef>
          </c:yVal>
          <c:smooth val="1"/>
        </c:ser>
        <c:ser>
          <c:idx val="1"/>
          <c:order val="1"/>
          <c:tx>
            <c:v>Tr 1 BENZENE</c:v>
          </c:tx>
          <c:marker>
            <c:symbol val="none"/>
          </c:marker>
          <c:xVal>
            <c:numRef>
              <c:f>[1]Sheet1!$S$20:$S$38</c:f>
              <c:numCache>
                <c:formatCode>General</c:formatCode>
                <c:ptCount val="19"/>
                <c:pt idx="0">
                  <c:v>0.41854797490612305</c:v>
                </c:pt>
                <c:pt idx="1">
                  <c:v>0.62782196235918453</c:v>
                </c:pt>
                <c:pt idx="2">
                  <c:v>0.83709594981224611</c:v>
                </c:pt>
                <c:pt idx="3">
                  <c:v>1.0463699372653077</c:v>
                </c:pt>
                <c:pt idx="4">
                  <c:v>1.2556439247183691</c:v>
                </c:pt>
                <c:pt idx="5">
                  <c:v>1.4649179121714309</c:v>
                </c:pt>
                <c:pt idx="6">
                  <c:v>1.6741918996244922</c:v>
                </c:pt>
                <c:pt idx="7">
                  <c:v>1.8834658870775538</c:v>
                </c:pt>
                <c:pt idx="8">
                  <c:v>2.0927398745306154</c:v>
                </c:pt>
                <c:pt idx="9">
                  <c:v>2.302013861983677</c:v>
                </c:pt>
                <c:pt idx="10">
                  <c:v>2.5112878494367381</c:v>
                </c:pt>
                <c:pt idx="11">
                  <c:v>2.7205618368898001</c:v>
                </c:pt>
                <c:pt idx="12">
                  <c:v>2.9298358243428617</c:v>
                </c:pt>
                <c:pt idx="13">
                  <c:v>3.1391098117959233</c:v>
                </c:pt>
                <c:pt idx="14">
                  <c:v>3.3483837992489844</c:v>
                </c:pt>
                <c:pt idx="15">
                  <c:v>3.557657786702046</c:v>
                </c:pt>
                <c:pt idx="16">
                  <c:v>3.7669317741551076</c:v>
                </c:pt>
                <c:pt idx="17">
                  <c:v>3.9762057616081692</c:v>
                </c:pt>
                <c:pt idx="18">
                  <c:v>4.1854797490612308</c:v>
                </c:pt>
              </c:numCache>
            </c:numRef>
          </c:xVal>
          <c:yVal>
            <c:numRef>
              <c:f>[1]Sheet1!$T$20:$T$38</c:f>
              <c:numCache>
                <c:formatCode>General</c:formatCode>
                <c:ptCount val="19"/>
                <c:pt idx="0">
                  <c:v>0.9911794044674429</c:v>
                </c:pt>
                <c:pt idx="1">
                  <c:v>0.89479135195916992</c:v>
                </c:pt>
                <c:pt idx="2">
                  <c:v>0.77969183313899915</c:v>
                </c:pt>
                <c:pt idx="3">
                  <c:v>0.6813837764098496</c:v>
                </c:pt>
                <c:pt idx="4">
                  <c:v>0.60179661567243781</c:v>
                </c:pt>
                <c:pt idx="5">
                  <c:v>0.53746658462116381</c:v>
                </c:pt>
                <c:pt idx="6">
                  <c:v>0.48489243152212907</c:v>
                </c:pt>
                <c:pt idx="7">
                  <c:v>0.44133270798861751</c:v>
                </c:pt>
                <c:pt idx="8">
                  <c:v>0.40475204265965214</c:v>
                </c:pt>
                <c:pt idx="9">
                  <c:v>0.37364927037895534</c:v>
                </c:pt>
                <c:pt idx="10">
                  <c:v>0.34690826032252736</c:v>
                </c:pt>
                <c:pt idx="11">
                  <c:v>0.32368834646827521</c:v>
                </c:pt>
                <c:pt idx="12">
                  <c:v>0.30334727344159351</c:v>
                </c:pt>
                <c:pt idx="13">
                  <c:v>0.28538741871007323</c:v>
                </c:pt>
                <c:pt idx="14">
                  <c:v>0.26941804431645716</c:v>
                </c:pt>
                <c:pt idx="15">
                  <c:v>0.25512850616606692</c:v>
                </c:pt>
                <c:pt idx="16">
                  <c:v>0.24226899091465182</c:v>
                </c:pt>
                <c:pt idx="17">
                  <c:v>0.2306364770868316</c:v>
                </c:pt>
                <c:pt idx="18">
                  <c:v>0.2200643668241169</c:v>
                </c:pt>
              </c:numCache>
            </c:numRef>
          </c:yVal>
          <c:smooth val="1"/>
        </c:ser>
        <c:ser>
          <c:idx val="2"/>
          <c:order val="2"/>
          <c:tx>
            <c:v>Tr 1.2 BENZENE</c:v>
          </c:tx>
          <c:marker>
            <c:symbol val="none"/>
          </c:marker>
          <c:xVal>
            <c:numRef>
              <c:f>[1]Sheet1!$AC$22:$AC$38</c:f>
              <c:numCache>
                <c:formatCode>General</c:formatCode>
                <c:ptCount val="17"/>
                <c:pt idx="0">
                  <c:v>0.83709594981224611</c:v>
                </c:pt>
                <c:pt idx="1">
                  <c:v>1.0463699372653077</c:v>
                </c:pt>
                <c:pt idx="2">
                  <c:v>1.2556439247183691</c:v>
                </c:pt>
                <c:pt idx="3">
                  <c:v>1.4649179121714309</c:v>
                </c:pt>
                <c:pt idx="4">
                  <c:v>1.6741918996244922</c:v>
                </c:pt>
                <c:pt idx="5">
                  <c:v>1.8834658870775538</c:v>
                </c:pt>
                <c:pt idx="6">
                  <c:v>2.0927398745306154</c:v>
                </c:pt>
                <c:pt idx="7">
                  <c:v>2.302013861983677</c:v>
                </c:pt>
                <c:pt idx="8">
                  <c:v>2.5112878494367381</c:v>
                </c:pt>
                <c:pt idx="9">
                  <c:v>2.7205618368898001</c:v>
                </c:pt>
                <c:pt idx="10">
                  <c:v>2.9298358243428617</c:v>
                </c:pt>
                <c:pt idx="11">
                  <c:v>3.1391098117959233</c:v>
                </c:pt>
                <c:pt idx="12">
                  <c:v>3.3483837992489844</c:v>
                </c:pt>
                <c:pt idx="13">
                  <c:v>3.557657786702046</c:v>
                </c:pt>
                <c:pt idx="14">
                  <c:v>3.7669317741551076</c:v>
                </c:pt>
                <c:pt idx="15">
                  <c:v>3.9762057616081692</c:v>
                </c:pt>
                <c:pt idx="16">
                  <c:v>4.1854797490612308</c:v>
                </c:pt>
              </c:numCache>
            </c:numRef>
          </c:xVal>
          <c:yVal>
            <c:numRef>
              <c:f>[1]Sheet1!$AD$22:$AD$38</c:f>
              <c:numCache>
                <c:formatCode>General</c:formatCode>
                <c:ptCount val="17"/>
                <c:pt idx="0">
                  <c:v>1.1279604412173825</c:v>
                </c:pt>
                <c:pt idx="1">
                  <c:v>0.94310505069950901</c:v>
                </c:pt>
                <c:pt idx="2">
                  <c:v>0.81039477560952899</c:v>
                </c:pt>
                <c:pt idx="3">
                  <c:v>0.7103917792619896</c:v>
                </c:pt>
                <c:pt idx="4">
                  <c:v>0.63231933323232459</c:v>
                </c:pt>
                <c:pt idx="5">
                  <c:v>0.56967884563000959</c:v>
                </c:pt>
                <c:pt idx="6">
                  <c:v>0.51831032471381333</c:v>
                </c:pt>
                <c:pt idx="7">
                  <c:v>0.4754255270090792</c:v>
                </c:pt>
                <c:pt idx="8">
                  <c:v>0.43908530530020828</c:v>
                </c:pt>
                <c:pt idx="9">
                  <c:v>0.40789926499037382</c:v>
                </c:pt>
                <c:pt idx="10">
                  <c:v>0.3808445353942933</c:v>
                </c:pt>
                <c:pt idx="11">
                  <c:v>0.35715191528152246</c:v>
                </c:pt>
                <c:pt idx="12">
                  <c:v>0.33623186623262591</c:v>
                </c:pt>
                <c:pt idx="13">
                  <c:v>0.31762497907423926</c:v>
                </c:pt>
                <c:pt idx="14">
                  <c:v>0.30096796587706931</c:v>
                </c:pt>
                <c:pt idx="15">
                  <c:v>0.28596978324997119</c:v>
                </c:pt>
                <c:pt idx="16">
                  <c:v>0.27239453318162921</c:v>
                </c:pt>
              </c:numCache>
            </c:numRef>
          </c:yVal>
          <c:smooth val="1"/>
        </c:ser>
        <c:ser>
          <c:idx val="3"/>
          <c:order val="3"/>
          <c:tx>
            <c:v>Tr 0.85 METHANE</c:v>
          </c:tx>
          <c:spPr>
            <a:ln>
              <a:prstDash val="sysDash"/>
            </a:ln>
          </c:spPr>
          <c:marker>
            <c:symbol val="none"/>
          </c:marker>
          <c:xVal>
            <c:numRef>
              <c:f>[1]Sheet1!$M$19:$M$38</c:f>
              <c:numCache>
                <c:formatCode>General</c:formatCode>
                <c:ptCount val="20"/>
                <c:pt idx="0">
                  <c:v>0.58118027100183356</c:v>
                </c:pt>
                <c:pt idx="1">
                  <c:v>1.1623605420036671</c:v>
                </c:pt>
                <c:pt idx="2">
                  <c:v>1.7435408130055001</c:v>
                </c:pt>
                <c:pt idx="3">
                  <c:v>2.3247210840073342</c:v>
                </c:pt>
                <c:pt idx="4">
                  <c:v>2.9059013550091675</c:v>
                </c:pt>
                <c:pt idx="5">
                  <c:v>3.4870816260110002</c:v>
                </c:pt>
                <c:pt idx="6">
                  <c:v>4.0682618970128344</c:v>
                </c:pt>
                <c:pt idx="7">
                  <c:v>4.6494421680146685</c:v>
                </c:pt>
                <c:pt idx="8">
                  <c:v>5.2306224390165017</c:v>
                </c:pt>
                <c:pt idx="9">
                  <c:v>5.8118027100183349</c:v>
                </c:pt>
                <c:pt idx="10">
                  <c:v>6.3929829810201682</c:v>
                </c:pt>
                <c:pt idx="11">
                  <c:v>6.9741632520220005</c:v>
                </c:pt>
                <c:pt idx="12">
                  <c:v>7.5553435230238355</c:v>
                </c:pt>
                <c:pt idx="13">
                  <c:v>8.1365237940256687</c:v>
                </c:pt>
                <c:pt idx="14">
                  <c:v>8.7177040650275028</c:v>
                </c:pt>
                <c:pt idx="15">
                  <c:v>9.2988843360293369</c:v>
                </c:pt>
                <c:pt idx="16">
                  <c:v>9.8800646070311693</c:v>
                </c:pt>
                <c:pt idx="17">
                  <c:v>10.461244878033003</c:v>
                </c:pt>
                <c:pt idx="18">
                  <c:v>11.042425149034836</c:v>
                </c:pt>
                <c:pt idx="19">
                  <c:v>11.62360542003667</c:v>
                </c:pt>
              </c:numCache>
            </c:numRef>
          </c:xVal>
          <c:yVal>
            <c:numRef>
              <c:f>[1]Sheet1!$N$19:$N$38</c:f>
              <c:numCache>
                <c:formatCode>General</c:formatCode>
                <c:ptCount val="20"/>
                <c:pt idx="0">
                  <c:v>0.53021426991895082</c:v>
                </c:pt>
                <c:pt idx="1">
                  <c:v>0.47241787113382644</c:v>
                </c:pt>
                <c:pt idx="2">
                  <c:v>0.36844096169438062</c:v>
                </c:pt>
                <c:pt idx="3">
                  <c:v>0.29749790763655987</c:v>
                </c:pt>
                <c:pt idx="4">
                  <c:v>0.24844950373655164</c:v>
                </c:pt>
                <c:pt idx="5">
                  <c:v>0.2129500856988229</c:v>
                </c:pt>
                <c:pt idx="6">
                  <c:v>0.18618983324113766</c:v>
                </c:pt>
                <c:pt idx="7">
                  <c:v>0.1653397471138254</c:v>
                </c:pt>
                <c:pt idx="8">
                  <c:v>0.14865538655481847</c:v>
                </c:pt>
                <c:pt idx="9">
                  <c:v>0.13501061909539069</c:v>
                </c:pt>
                <c:pt idx="10">
                  <c:v>0.12364875663826237</c:v>
                </c:pt>
                <c:pt idx="11">
                  <c:v>0.11404364389769694</c:v>
                </c:pt>
                <c:pt idx="12">
                  <c:v>0.10581856717944713</c:v>
                </c:pt>
                <c:pt idx="13">
                  <c:v>9.8696948744889088E-2</c:v>
                </c:pt>
                <c:pt idx="14">
                  <c:v>9.247126721000952E-2</c:v>
                </c:pt>
                <c:pt idx="15">
                  <c:v>8.6982835408666623E-2</c:v>
                </c:pt>
                <c:pt idx="16">
                  <c:v>8.2108270078366394E-2</c:v>
                </c:pt>
                <c:pt idx="17">
                  <c:v>7.7750212619726811E-2</c:v>
                </c:pt>
                <c:pt idx="18">
                  <c:v>7.3830824130666342E-2</c:v>
                </c:pt>
                <c:pt idx="19">
                  <c:v>7.028713503689947E-2</c:v>
                </c:pt>
              </c:numCache>
            </c:numRef>
          </c:yVal>
          <c:smooth val="1"/>
        </c:ser>
        <c:ser>
          <c:idx val="4"/>
          <c:order val="4"/>
          <c:tx>
            <c:v>Tr 1 METHANE</c:v>
          </c:tx>
          <c:spPr>
            <a:ln>
              <a:solidFill>
                <a:schemeClr val="accent1"/>
              </a:solidFill>
              <a:prstDash val="sysDash"/>
            </a:ln>
          </c:spPr>
          <c:marker>
            <c:symbol val="none"/>
          </c:marker>
          <c:xVal>
            <c:numRef>
              <c:f>[1]Sheet1!$W$19:$W$38</c:f>
              <c:numCache>
                <c:formatCode>General</c:formatCode>
                <c:ptCount val="20"/>
                <c:pt idx="0">
                  <c:v>0.58118027100183356</c:v>
                </c:pt>
                <c:pt idx="1">
                  <c:v>1.1623605420036671</c:v>
                </c:pt>
                <c:pt idx="2">
                  <c:v>1.7435408130055001</c:v>
                </c:pt>
                <c:pt idx="3">
                  <c:v>2.3247210840073342</c:v>
                </c:pt>
                <c:pt idx="4">
                  <c:v>2.9059013550091675</c:v>
                </c:pt>
                <c:pt idx="5">
                  <c:v>3.4870816260110002</c:v>
                </c:pt>
                <c:pt idx="6">
                  <c:v>4.0682618970128344</c:v>
                </c:pt>
                <c:pt idx="7">
                  <c:v>4.6494421680146685</c:v>
                </c:pt>
                <c:pt idx="8">
                  <c:v>5.2306224390165017</c:v>
                </c:pt>
                <c:pt idx="9">
                  <c:v>5.8118027100183349</c:v>
                </c:pt>
                <c:pt idx="10">
                  <c:v>6.3929829810201682</c:v>
                </c:pt>
                <c:pt idx="11">
                  <c:v>6.9741632520220005</c:v>
                </c:pt>
                <c:pt idx="12">
                  <c:v>7.5553435230238355</c:v>
                </c:pt>
                <c:pt idx="13">
                  <c:v>8.1365237940256687</c:v>
                </c:pt>
                <c:pt idx="14">
                  <c:v>8.7177040650275028</c:v>
                </c:pt>
                <c:pt idx="15">
                  <c:v>9.2988843360293369</c:v>
                </c:pt>
                <c:pt idx="16">
                  <c:v>9.8800646070311693</c:v>
                </c:pt>
                <c:pt idx="17">
                  <c:v>10.461244878033003</c:v>
                </c:pt>
                <c:pt idx="18">
                  <c:v>11.042425149034836</c:v>
                </c:pt>
                <c:pt idx="19">
                  <c:v>11.62360542003667</c:v>
                </c:pt>
              </c:numCache>
            </c:numRef>
          </c:xVal>
          <c:yVal>
            <c:numRef>
              <c:f>[1]Sheet1!$X$19:$X$38</c:f>
              <c:numCache>
                <c:formatCode>General</c:formatCode>
                <c:ptCount val="20"/>
                <c:pt idx="0">
                  <c:v>0.92067933824830628</c:v>
                </c:pt>
                <c:pt idx="1">
                  <c:v>0.63515895442450865</c:v>
                </c:pt>
                <c:pt idx="2">
                  <c:v>0.46957194222782667</c:v>
                </c:pt>
                <c:pt idx="3">
                  <c:v>0.37055381262069176</c:v>
                </c:pt>
                <c:pt idx="4">
                  <c:v>0.30554477248876982</c:v>
                </c:pt>
                <c:pt idx="5">
                  <c:v>0.25977638086312926</c:v>
                </c:pt>
                <c:pt idx="6">
                  <c:v>0.2258640907722346</c:v>
                </c:pt>
                <c:pt idx="7">
                  <c:v>0.1997504301742693</c:v>
                </c:pt>
                <c:pt idx="8">
                  <c:v>0.17903189138419556</c:v>
                </c:pt>
                <c:pt idx="9">
                  <c:v>0.16219749274704368</c:v>
                </c:pt>
                <c:pt idx="10">
                  <c:v>0.14825091467467405</c:v>
                </c:pt>
                <c:pt idx="11">
                  <c:v>0.13650907594963033</c:v>
                </c:pt>
                <c:pt idx="12">
                  <c:v>0.12648823277598106</c:v>
                </c:pt>
                <c:pt idx="13">
                  <c:v>0.11783632111440681</c:v>
                </c:pt>
                <c:pt idx="14">
                  <c:v>0.1102910637821881</c:v>
                </c:pt>
                <c:pt idx="15">
                  <c:v>0.10365309464870415</c:v>
                </c:pt>
                <c:pt idx="16">
                  <c:v>9.7768181072035609E-2</c:v>
                </c:pt>
                <c:pt idx="17">
                  <c:v>9.2515146737933762E-2</c:v>
                </c:pt>
                <c:pt idx="18">
                  <c:v>8.7797472453720757E-2</c:v>
                </c:pt>
                <c:pt idx="19">
                  <c:v>8.353733225770725E-2</c:v>
                </c:pt>
              </c:numCache>
            </c:numRef>
          </c:yVal>
          <c:smooth val="1"/>
        </c:ser>
        <c:ser>
          <c:idx val="5"/>
          <c:order val="5"/>
          <c:tx>
            <c:v>Tr 1.2 METHANE</c:v>
          </c:tx>
          <c:spPr>
            <a:ln>
              <a:prstDash val="sysDash"/>
            </a:ln>
          </c:spPr>
          <c:marker>
            <c:symbol val="none"/>
          </c:marker>
          <c:xVal>
            <c:numRef>
              <c:f>[1]Sheet1!$AG$19:$AG$38</c:f>
              <c:numCache>
                <c:formatCode>General</c:formatCode>
                <c:ptCount val="20"/>
                <c:pt idx="0">
                  <c:v>0.58118027100183356</c:v>
                </c:pt>
                <c:pt idx="1">
                  <c:v>1.1623605420036671</c:v>
                </c:pt>
                <c:pt idx="2">
                  <c:v>1.7435408130055001</c:v>
                </c:pt>
                <c:pt idx="3">
                  <c:v>2.3247210840073342</c:v>
                </c:pt>
                <c:pt idx="4">
                  <c:v>2.9059013550091675</c:v>
                </c:pt>
                <c:pt idx="5">
                  <c:v>3.4870816260110002</c:v>
                </c:pt>
                <c:pt idx="6">
                  <c:v>4.0682618970128344</c:v>
                </c:pt>
                <c:pt idx="7">
                  <c:v>4.6494421680146685</c:v>
                </c:pt>
                <c:pt idx="8">
                  <c:v>5.2306224390165017</c:v>
                </c:pt>
                <c:pt idx="9">
                  <c:v>5.8118027100183349</c:v>
                </c:pt>
                <c:pt idx="10">
                  <c:v>6.3929829810201682</c:v>
                </c:pt>
                <c:pt idx="11">
                  <c:v>6.9741632520220005</c:v>
                </c:pt>
                <c:pt idx="12">
                  <c:v>7.5553435230238355</c:v>
                </c:pt>
                <c:pt idx="13">
                  <c:v>8.1365237940256687</c:v>
                </c:pt>
                <c:pt idx="14">
                  <c:v>8.7177040650275028</c:v>
                </c:pt>
                <c:pt idx="15">
                  <c:v>9.2988843360293369</c:v>
                </c:pt>
                <c:pt idx="16">
                  <c:v>9.8800646070311693</c:v>
                </c:pt>
                <c:pt idx="17">
                  <c:v>10.461244878033003</c:v>
                </c:pt>
                <c:pt idx="18">
                  <c:v>11.042425149034836</c:v>
                </c:pt>
                <c:pt idx="19">
                  <c:v>11.62360542003667</c:v>
                </c:pt>
              </c:numCache>
            </c:numRef>
          </c:xVal>
          <c:yVal>
            <c:numRef>
              <c:f>[1]Sheet1!$AH$19:$AH$38</c:f>
              <c:numCache>
                <c:formatCode>General</c:formatCode>
                <c:ptCount val="20"/>
                <c:pt idx="0">
                  <c:v>1.4271681699098895</c:v>
                </c:pt>
                <c:pt idx="1">
                  <c:v>0.84836918821037977</c:v>
                </c:pt>
                <c:pt idx="2">
                  <c:v>0.60269445012164935</c:v>
                </c:pt>
                <c:pt idx="3">
                  <c:v>0.46698328191301469</c:v>
                </c:pt>
                <c:pt idx="4">
                  <c:v>0.38104108664151015</c:v>
                </c:pt>
                <c:pt idx="5">
                  <c:v>0.32177132372466916</c:v>
                </c:pt>
                <c:pt idx="6">
                  <c:v>0.27843862550561327</c:v>
                </c:pt>
                <c:pt idx="7">
                  <c:v>0.24538226528324572</c:v>
                </c:pt>
                <c:pt idx="8">
                  <c:v>0.21933669648318349</c:v>
                </c:pt>
                <c:pt idx="9">
                  <c:v>0.19828666383491836</c:v>
                </c:pt>
                <c:pt idx="10">
                  <c:v>0.18092138898956966</c:v>
                </c:pt>
                <c:pt idx="11">
                  <c:v>0.16635160589136877</c:v>
                </c:pt>
                <c:pt idx="12">
                  <c:v>0.15395279403271842</c:v>
                </c:pt>
                <c:pt idx="13">
                  <c:v>0.14327351077141964</c:v>
                </c:pt>
                <c:pt idx="14">
                  <c:v>0.13397933432369716</c:v>
                </c:pt>
                <c:pt idx="15">
                  <c:v>0.12581726324011844</c:v>
                </c:pt>
                <c:pt idx="16">
                  <c:v>0.11859236435096782</c:v>
                </c:pt>
                <c:pt idx="17">
                  <c:v>0.11215202027573776</c:v>
                </c:pt>
                <c:pt idx="18">
                  <c:v>0.10637504008472683</c:v>
                </c:pt>
                <c:pt idx="19">
                  <c:v>0.10116396750572987</c:v>
                </c:pt>
              </c:numCache>
            </c:numRef>
          </c:yVal>
          <c:smooth val="1"/>
        </c:ser>
        <c:dLbls>
          <c:showLegendKey val="0"/>
          <c:showVal val="0"/>
          <c:showCatName val="0"/>
          <c:showSerName val="0"/>
          <c:showPercent val="0"/>
          <c:showBubbleSize val="0"/>
        </c:dLbls>
        <c:axId val="273247408"/>
        <c:axId val="273247800"/>
      </c:scatterChart>
      <c:valAx>
        <c:axId val="273247408"/>
        <c:scaling>
          <c:orientation val="minMax"/>
        </c:scaling>
        <c:delete val="0"/>
        <c:axPos val="b"/>
        <c:title>
          <c:tx>
            <c:rich>
              <a:bodyPr/>
              <a:lstStyle/>
              <a:p>
                <a:pPr>
                  <a:defRPr/>
                </a:pPr>
                <a:r>
                  <a:rPr lang="en-IN" sz="1600"/>
                  <a:t>Vr</a:t>
                </a:r>
              </a:p>
            </c:rich>
          </c:tx>
          <c:layout/>
          <c:overlay val="0"/>
        </c:title>
        <c:numFmt formatCode="General" sourceLinked="1"/>
        <c:majorTickMark val="out"/>
        <c:minorTickMark val="none"/>
        <c:tickLblPos val="nextTo"/>
        <c:txPr>
          <a:bodyPr/>
          <a:lstStyle/>
          <a:p>
            <a:pPr>
              <a:defRPr sz="1000"/>
            </a:pPr>
            <a:endParaRPr lang="en-US"/>
          </a:p>
        </c:txPr>
        <c:crossAx val="273247800"/>
        <c:crosses val="autoZero"/>
        <c:crossBetween val="midCat"/>
      </c:valAx>
      <c:valAx>
        <c:axId val="273247800"/>
        <c:scaling>
          <c:orientation val="minMax"/>
        </c:scaling>
        <c:delete val="0"/>
        <c:axPos val="l"/>
        <c:majorGridlines/>
        <c:title>
          <c:tx>
            <c:rich>
              <a:bodyPr rot="0" vert="horz"/>
              <a:lstStyle/>
              <a:p>
                <a:pPr>
                  <a:defRPr/>
                </a:pPr>
                <a:r>
                  <a:rPr lang="en-IN" sz="1800"/>
                  <a:t>Pr</a:t>
                </a:r>
              </a:p>
            </c:rich>
          </c:tx>
          <c:layout/>
          <c:overlay val="0"/>
        </c:title>
        <c:numFmt formatCode="General" sourceLinked="1"/>
        <c:majorTickMark val="out"/>
        <c:minorTickMark val="none"/>
        <c:tickLblPos val="nextTo"/>
        <c:crossAx val="273247408"/>
        <c:crosses val="autoZero"/>
        <c:crossBetween val="midCat"/>
      </c:valAx>
    </c:plotArea>
    <c:legend>
      <c:legendPos val="r"/>
      <c:layout/>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sz="3600" i="1"/>
              <a:t>PR</a:t>
            </a:r>
          </a:p>
        </c:rich>
      </c:tx>
      <c:overlay val="0"/>
    </c:title>
    <c:autoTitleDeleted val="0"/>
    <c:plotArea>
      <c:layout/>
      <c:scatterChart>
        <c:scatterStyle val="smoothMarker"/>
        <c:varyColors val="0"/>
        <c:ser>
          <c:idx val="0"/>
          <c:order val="0"/>
          <c:tx>
            <c:v>Tr 0.85 BENZENE</c:v>
          </c:tx>
          <c:marker>
            <c:symbol val="none"/>
          </c:marker>
          <c:xVal>
            <c:numRef>
              <c:f>[1]Sheet1!$AN$20:$AN$38</c:f>
              <c:numCache>
                <c:formatCode>General</c:formatCode>
                <c:ptCount val="19"/>
                <c:pt idx="0">
                  <c:v>0.41854797490612305</c:v>
                </c:pt>
                <c:pt idx="1">
                  <c:v>0.62782196235918453</c:v>
                </c:pt>
                <c:pt idx="2">
                  <c:v>0.83709594981224611</c:v>
                </c:pt>
                <c:pt idx="3">
                  <c:v>1.0463699372653077</c:v>
                </c:pt>
                <c:pt idx="4">
                  <c:v>1.2556439247183691</c:v>
                </c:pt>
                <c:pt idx="5">
                  <c:v>1.4649179121714309</c:v>
                </c:pt>
                <c:pt idx="6">
                  <c:v>1.6741918996244922</c:v>
                </c:pt>
                <c:pt idx="7">
                  <c:v>1.8834658870775538</c:v>
                </c:pt>
                <c:pt idx="8">
                  <c:v>2.0927398745306154</c:v>
                </c:pt>
                <c:pt idx="9">
                  <c:v>2.302013861983677</c:v>
                </c:pt>
                <c:pt idx="10">
                  <c:v>2.5112878494367381</c:v>
                </c:pt>
                <c:pt idx="11">
                  <c:v>2.7205618368898001</c:v>
                </c:pt>
                <c:pt idx="12">
                  <c:v>2.9298358243428617</c:v>
                </c:pt>
                <c:pt idx="13">
                  <c:v>3.1391098117959233</c:v>
                </c:pt>
                <c:pt idx="14">
                  <c:v>3.3483837992489844</c:v>
                </c:pt>
                <c:pt idx="15">
                  <c:v>3.557657786702046</c:v>
                </c:pt>
                <c:pt idx="16">
                  <c:v>3.7669317741551076</c:v>
                </c:pt>
                <c:pt idx="17">
                  <c:v>3.9762057616081692</c:v>
                </c:pt>
                <c:pt idx="18">
                  <c:v>4.1854797490612308</c:v>
                </c:pt>
              </c:numCache>
            </c:numRef>
          </c:xVal>
          <c:yVal>
            <c:numRef>
              <c:f>[1]Sheet1!$AO$20:$AO$38</c:f>
              <c:numCache>
                <c:formatCode>General</c:formatCode>
                <c:ptCount val="19"/>
                <c:pt idx="0">
                  <c:v>0.32688354857647545</c:v>
                </c:pt>
                <c:pt idx="1">
                  <c:v>0.50014787726504195</c:v>
                </c:pt>
                <c:pt idx="2">
                  <c:v>0.50392013227634969</c:v>
                </c:pt>
                <c:pt idx="3">
                  <c:v>0.47189942645955391</c:v>
                </c:pt>
                <c:pt idx="4">
                  <c:v>0.43412474899032633</c:v>
                </c:pt>
                <c:pt idx="5">
                  <c:v>0.39833866965373416</c:v>
                </c:pt>
                <c:pt idx="6">
                  <c:v>0.36636918361341042</c:v>
                </c:pt>
                <c:pt idx="7">
                  <c:v>0.33831696509332587</c:v>
                </c:pt>
                <c:pt idx="8">
                  <c:v>0.31379236416374279</c:v>
                </c:pt>
                <c:pt idx="9">
                  <c:v>0.29230875076513402</c:v>
                </c:pt>
                <c:pt idx="10">
                  <c:v>0.27340717948342197</c:v>
                </c:pt>
                <c:pt idx="11">
                  <c:v>0.25669018219518885</c:v>
                </c:pt>
                <c:pt idx="12">
                  <c:v>0.24182455421181534</c:v>
                </c:pt>
                <c:pt idx="13">
                  <c:v>0.22853435174207121</c:v>
                </c:pt>
                <c:pt idx="14">
                  <c:v>0.21659173468348489</c:v>
                </c:pt>
                <c:pt idx="15">
                  <c:v>0.20580829414225937</c:v>
                </c:pt>
                <c:pt idx="16">
                  <c:v>0.19602763371456969</c:v>
                </c:pt>
                <c:pt idx="17">
                  <c:v>0.18711928647895187</c:v>
                </c:pt>
                <c:pt idx="18">
                  <c:v>0.17897381975781673</c:v>
                </c:pt>
              </c:numCache>
            </c:numRef>
          </c:yVal>
          <c:smooth val="1"/>
        </c:ser>
        <c:ser>
          <c:idx val="1"/>
          <c:order val="1"/>
          <c:tx>
            <c:v>Tr 1 BENZENE</c:v>
          </c:tx>
          <c:marker>
            <c:symbol val="none"/>
          </c:marker>
          <c:xVal>
            <c:numRef>
              <c:f>[1]Sheet1!$AX$20:$AX$38</c:f>
              <c:numCache>
                <c:formatCode>General</c:formatCode>
                <c:ptCount val="19"/>
                <c:pt idx="0">
                  <c:v>0.41854797490612305</c:v>
                </c:pt>
                <c:pt idx="1">
                  <c:v>0.62782196235918453</c:v>
                </c:pt>
                <c:pt idx="2">
                  <c:v>0.83709594981224611</c:v>
                </c:pt>
                <c:pt idx="3">
                  <c:v>1.0463699372653077</c:v>
                </c:pt>
                <c:pt idx="4">
                  <c:v>1.2556439247183691</c:v>
                </c:pt>
                <c:pt idx="5">
                  <c:v>1.4649179121714309</c:v>
                </c:pt>
                <c:pt idx="6">
                  <c:v>1.6741918996244922</c:v>
                </c:pt>
                <c:pt idx="7">
                  <c:v>1.8834658870775538</c:v>
                </c:pt>
                <c:pt idx="8">
                  <c:v>2.0927398745306154</c:v>
                </c:pt>
                <c:pt idx="9">
                  <c:v>2.302013861983677</c:v>
                </c:pt>
                <c:pt idx="10">
                  <c:v>2.5112878494367381</c:v>
                </c:pt>
                <c:pt idx="11">
                  <c:v>2.7205618368898001</c:v>
                </c:pt>
                <c:pt idx="12">
                  <c:v>2.9298358243428617</c:v>
                </c:pt>
                <c:pt idx="13">
                  <c:v>3.1391098117959233</c:v>
                </c:pt>
                <c:pt idx="14">
                  <c:v>3.3483837992489844</c:v>
                </c:pt>
                <c:pt idx="15">
                  <c:v>3.557657786702046</c:v>
                </c:pt>
                <c:pt idx="16">
                  <c:v>3.7669317741551076</c:v>
                </c:pt>
                <c:pt idx="17">
                  <c:v>3.9762057616081692</c:v>
                </c:pt>
                <c:pt idx="18">
                  <c:v>4.1854797490612308</c:v>
                </c:pt>
              </c:numCache>
            </c:numRef>
          </c:xVal>
          <c:yVal>
            <c:numRef>
              <c:f>[1]Sheet1!$AY$20:$AY$38</c:f>
              <c:numCache>
                <c:formatCode>General</c:formatCode>
                <c:ptCount val="19"/>
                <c:pt idx="0">
                  <c:v>0.98279971623838536</c:v>
                </c:pt>
                <c:pt idx="1">
                  <c:v>0.87688094431643115</c:v>
                </c:pt>
                <c:pt idx="2">
                  <c:v>0.7627265100909314</c:v>
                </c:pt>
                <c:pt idx="3">
                  <c:v>0.6671383366762027</c:v>
                </c:pt>
                <c:pt idx="4">
                  <c:v>0.59008985534719871</c:v>
                </c:pt>
                <c:pt idx="5">
                  <c:v>0.52781679155196282</c:v>
                </c:pt>
                <c:pt idx="6">
                  <c:v>0.47685866341126248</c:v>
                </c:pt>
                <c:pt idx="7">
                  <c:v>0.43456693178726247</c:v>
                </c:pt>
                <c:pt idx="8">
                  <c:v>0.39898951045117431</c:v>
                </c:pt>
                <c:pt idx="9">
                  <c:v>0.36868960911649823</c:v>
                </c:pt>
                <c:pt idx="10">
                  <c:v>0.34259887104617009</c:v>
                </c:pt>
                <c:pt idx="11">
                  <c:v>0.3199117966561642</c:v>
                </c:pt>
                <c:pt idx="12">
                  <c:v>0.30001212457163773</c:v>
                </c:pt>
                <c:pt idx="13">
                  <c:v>0.2824216231135438</c:v>
                </c:pt>
                <c:pt idx="14">
                  <c:v>0.26676418064034729</c:v>
                </c:pt>
                <c:pt idx="15">
                  <c:v>0.25274031433288441</c:v>
                </c:pt>
                <c:pt idx="16">
                  <c:v>0.24010882619211721</c:v>
                </c:pt>
                <c:pt idx="17">
                  <c:v>0.22867341855745835</c:v>
                </c:pt>
                <c:pt idx="18">
                  <c:v>0.21827279616671949</c:v>
                </c:pt>
              </c:numCache>
            </c:numRef>
          </c:yVal>
          <c:smooth val="1"/>
        </c:ser>
        <c:ser>
          <c:idx val="2"/>
          <c:order val="2"/>
          <c:tx>
            <c:v>Tr 1.2 BENZENE</c:v>
          </c:tx>
          <c:marker>
            <c:symbol val="none"/>
          </c:marker>
          <c:xVal>
            <c:numRef>
              <c:f>[1]Sheet1!$BH$21:$BH$38</c:f>
              <c:numCache>
                <c:formatCode>General</c:formatCode>
                <c:ptCount val="18"/>
                <c:pt idx="0">
                  <c:v>0.62782196235918453</c:v>
                </c:pt>
                <c:pt idx="1">
                  <c:v>0.83709594981224611</c:v>
                </c:pt>
                <c:pt idx="2">
                  <c:v>1.0463699372653077</c:v>
                </c:pt>
                <c:pt idx="3">
                  <c:v>1.2556439247183691</c:v>
                </c:pt>
                <c:pt idx="4">
                  <c:v>1.4649179121714309</c:v>
                </c:pt>
                <c:pt idx="5">
                  <c:v>1.6741918996244922</c:v>
                </c:pt>
                <c:pt idx="6">
                  <c:v>1.8834658870775538</c:v>
                </c:pt>
                <c:pt idx="7">
                  <c:v>2.0927398745306154</c:v>
                </c:pt>
                <c:pt idx="8">
                  <c:v>2.302013861983677</c:v>
                </c:pt>
                <c:pt idx="9">
                  <c:v>2.5112878494367381</c:v>
                </c:pt>
                <c:pt idx="10">
                  <c:v>2.7205618368898001</c:v>
                </c:pt>
                <c:pt idx="11">
                  <c:v>2.9298358243428617</c:v>
                </c:pt>
                <c:pt idx="12">
                  <c:v>3.1391098117959233</c:v>
                </c:pt>
                <c:pt idx="13">
                  <c:v>3.3483837992489844</c:v>
                </c:pt>
                <c:pt idx="14">
                  <c:v>3.557657786702046</c:v>
                </c:pt>
                <c:pt idx="15">
                  <c:v>3.7669317741551076</c:v>
                </c:pt>
                <c:pt idx="16">
                  <c:v>3.9762057616081692</c:v>
                </c:pt>
                <c:pt idx="17">
                  <c:v>4.1854797490612308</c:v>
                </c:pt>
              </c:numCache>
            </c:numRef>
          </c:xVal>
          <c:yVal>
            <c:numRef>
              <c:f>[1]Sheet1!$BI$21:$BI$38</c:f>
              <c:numCache>
                <c:formatCode>General</c:formatCode>
                <c:ptCount val="18"/>
                <c:pt idx="0">
                  <c:v>1.3603000658091462</c:v>
                </c:pt>
                <c:pt idx="1">
                  <c:v>1.0966765065960449</c:v>
                </c:pt>
                <c:pt idx="2">
                  <c:v>0.92012460259066642</c:v>
                </c:pt>
                <c:pt idx="3">
                  <c:v>0.79284648424347892</c:v>
                </c:pt>
                <c:pt idx="4">
                  <c:v>0.69657846569760473</c:v>
                </c:pt>
                <c:pt idx="5">
                  <c:v>0.62117622365438863</c:v>
                </c:pt>
                <c:pt idx="6">
                  <c:v>0.56050680703904976</c:v>
                </c:pt>
                <c:pt idx="7">
                  <c:v>0.51063270002558914</c:v>
                </c:pt>
                <c:pt idx="8">
                  <c:v>0.46890683288074686</c:v>
                </c:pt>
                <c:pt idx="9">
                  <c:v>0.43348290603728051</c:v>
                </c:pt>
                <c:pt idx="10">
                  <c:v>0.40303350594167625</c:v>
                </c:pt>
                <c:pt idx="11">
                  <c:v>0.376579648528373</c:v>
                </c:pt>
                <c:pt idx="12">
                  <c:v>0.35338344346975986</c:v>
                </c:pt>
                <c:pt idx="13">
                  <c:v>0.33287816073982718</c:v>
                </c:pt>
                <c:pt idx="14">
                  <c:v>0.31462131562964152</c:v>
                </c:pt>
                <c:pt idx="15">
                  <c:v>0.29826238744611089</c:v>
                </c:pt>
                <c:pt idx="16">
                  <c:v>0.28352010759530744</c:v>
                </c:pt>
                <c:pt idx="17">
                  <c:v>0.27016616242064062</c:v>
                </c:pt>
              </c:numCache>
            </c:numRef>
          </c:yVal>
          <c:smooth val="1"/>
        </c:ser>
        <c:ser>
          <c:idx val="3"/>
          <c:order val="3"/>
          <c:tx>
            <c:v>Tr 0.85 METHANE</c:v>
          </c:tx>
          <c:spPr>
            <a:ln>
              <a:prstDash val="sysDash"/>
            </a:ln>
          </c:spPr>
          <c:marker>
            <c:symbol val="none"/>
          </c:marker>
          <c:xVal>
            <c:numRef>
              <c:f>[1]Sheet1!$AR$19:$AR$38</c:f>
              <c:numCache>
                <c:formatCode>General</c:formatCode>
                <c:ptCount val="20"/>
                <c:pt idx="0">
                  <c:v>0.58118027100183356</c:v>
                </c:pt>
                <c:pt idx="1">
                  <c:v>1.1623605420036671</c:v>
                </c:pt>
                <c:pt idx="2">
                  <c:v>1.7435408130055001</c:v>
                </c:pt>
                <c:pt idx="3">
                  <c:v>2.3247210840073342</c:v>
                </c:pt>
                <c:pt idx="4">
                  <c:v>2.9059013550091675</c:v>
                </c:pt>
                <c:pt idx="5">
                  <c:v>3.4870816260110002</c:v>
                </c:pt>
                <c:pt idx="6">
                  <c:v>4.0682618970128344</c:v>
                </c:pt>
                <c:pt idx="7">
                  <c:v>4.6494421680146685</c:v>
                </c:pt>
                <c:pt idx="8">
                  <c:v>5.2306224390165017</c:v>
                </c:pt>
                <c:pt idx="9">
                  <c:v>5.8118027100183349</c:v>
                </c:pt>
                <c:pt idx="10">
                  <c:v>6.3929829810201682</c:v>
                </c:pt>
                <c:pt idx="11">
                  <c:v>6.9741632520220005</c:v>
                </c:pt>
                <c:pt idx="12">
                  <c:v>7.5553435230238355</c:v>
                </c:pt>
                <c:pt idx="13">
                  <c:v>8.1365237940256687</c:v>
                </c:pt>
                <c:pt idx="14">
                  <c:v>8.7177040650275028</c:v>
                </c:pt>
                <c:pt idx="15">
                  <c:v>9.2988843360293369</c:v>
                </c:pt>
                <c:pt idx="16">
                  <c:v>9.8800646070311693</c:v>
                </c:pt>
                <c:pt idx="17">
                  <c:v>10.461244878033003</c:v>
                </c:pt>
                <c:pt idx="18">
                  <c:v>11.042425149034836</c:v>
                </c:pt>
                <c:pt idx="19">
                  <c:v>11.62360542003667</c:v>
                </c:pt>
              </c:numCache>
            </c:numRef>
          </c:xVal>
          <c:yVal>
            <c:numRef>
              <c:f>[1]Sheet1!$AS$19:$AS$38</c:f>
              <c:numCache>
                <c:formatCode>General</c:formatCode>
                <c:ptCount val="20"/>
                <c:pt idx="0">
                  <c:v>0.53823545654935256</c:v>
                </c:pt>
                <c:pt idx="1">
                  <c:v>0.46547721102463852</c:v>
                </c:pt>
                <c:pt idx="2">
                  <c:v>0.36335798818325127</c:v>
                </c:pt>
                <c:pt idx="3">
                  <c:v>0.29398747126625185</c:v>
                </c:pt>
                <c:pt idx="4">
                  <c:v>0.24593254994772223</c:v>
                </c:pt>
                <c:pt idx="5">
                  <c:v>0.21107089072099749</c:v>
                </c:pt>
                <c:pt idx="6">
                  <c:v>0.18473798177280318</c:v>
                </c:pt>
                <c:pt idx="7">
                  <c:v>0.16418628582720965</c:v>
                </c:pt>
                <c:pt idx="8">
                  <c:v>0.14771779425167833</c:v>
                </c:pt>
                <c:pt idx="9">
                  <c:v>0.13423393615965601</c:v>
                </c:pt>
                <c:pt idx="10">
                  <c:v>0.12299508133313682</c:v>
                </c:pt>
                <c:pt idx="11">
                  <c:v>0.11348604109844458</c:v>
                </c:pt>
                <c:pt idx="12">
                  <c:v>0.10533739301868841</c:v>
                </c:pt>
                <c:pt idx="13">
                  <c:v>9.8277551644683783E-2</c:v>
                </c:pt>
                <c:pt idx="14">
                  <c:v>9.21025029812471E-2</c:v>
                </c:pt>
                <c:pt idx="15">
                  <c:v>8.6656080495146989E-2</c:v>
                </c:pt>
                <c:pt idx="16">
                  <c:v>8.1816749079928974E-2</c:v>
                </c:pt>
                <c:pt idx="17">
                  <c:v>7.7488529590042543E-2</c:v>
                </c:pt>
                <c:pt idx="18">
                  <c:v>7.3594629277695861E-2</c:v>
                </c:pt>
                <c:pt idx="19">
                  <c:v>7.0072883398199601E-2</c:v>
                </c:pt>
              </c:numCache>
            </c:numRef>
          </c:yVal>
          <c:smooth val="1"/>
        </c:ser>
        <c:ser>
          <c:idx val="4"/>
          <c:order val="4"/>
          <c:tx>
            <c:v>Tr 1 METHANE</c:v>
          </c:tx>
          <c:spPr>
            <a:ln>
              <a:prstDash val="sysDash"/>
            </a:ln>
          </c:spPr>
          <c:marker>
            <c:symbol val="none"/>
          </c:marker>
          <c:xVal>
            <c:numRef>
              <c:f>[1]Sheet1!$BB$19:$BB$38</c:f>
              <c:numCache>
                <c:formatCode>General</c:formatCode>
                <c:ptCount val="20"/>
                <c:pt idx="0">
                  <c:v>0.58118027100183356</c:v>
                </c:pt>
                <c:pt idx="1">
                  <c:v>1.1623605420036671</c:v>
                </c:pt>
                <c:pt idx="2">
                  <c:v>1.7435408130055001</c:v>
                </c:pt>
                <c:pt idx="3">
                  <c:v>2.3247210840073342</c:v>
                </c:pt>
                <c:pt idx="4">
                  <c:v>2.9059013550091675</c:v>
                </c:pt>
                <c:pt idx="5">
                  <c:v>3.4870816260110002</c:v>
                </c:pt>
                <c:pt idx="6">
                  <c:v>4.0682618970128344</c:v>
                </c:pt>
                <c:pt idx="7">
                  <c:v>4.6494421680146685</c:v>
                </c:pt>
                <c:pt idx="8">
                  <c:v>5.2306224390165017</c:v>
                </c:pt>
                <c:pt idx="9">
                  <c:v>5.8118027100183349</c:v>
                </c:pt>
                <c:pt idx="10">
                  <c:v>6.3929829810201682</c:v>
                </c:pt>
                <c:pt idx="11">
                  <c:v>6.9741632520220005</c:v>
                </c:pt>
                <c:pt idx="12">
                  <c:v>7.5553435230238355</c:v>
                </c:pt>
                <c:pt idx="13">
                  <c:v>8.1365237940256687</c:v>
                </c:pt>
                <c:pt idx="14">
                  <c:v>8.7177040650275028</c:v>
                </c:pt>
                <c:pt idx="15">
                  <c:v>9.2988843360293369</c:v>
                </c:pt>
                <c:pt idx="16">
                  <c:v>9.8800646070311693</c:v>
                </c:pt>
                <c:pt idx="17">
                  <c:v>10.461244878033003</c:v>
                </c:pt>
                <c:pt idx="18">
                  <c:v>11.042425149034836</c:v>
                </c:pt>
                <c:pt idx="19">
                  <c:v>11.62360542003667</c:v>
                </c:pt>
              </c:numCache>
            </c:numRef>
          </c:xVal>
          <c:yVal>
            <c:numRef>
              <c:f>[1]Sheet1!$BC$19:$BC$38</c:f>
              <c:numCache>
                <c:formatCode>General</c:formatCode>
                <c:ptCount val="20"/>
                <c:pt idx="0">
                  <c:v>0.90134485786666851</c:v>
                </c:pt>
                <c:pt idx="1">
                  <c:v>0.6214079529699631</c:v>
                </c:pt>
                <c:pt idx="2">
                  <c:v>0.46136184280499937</c:v>
                </c:pt>
                <c:pt idx="3">
                  <c:v>0.3652038759557153</c:v>
                </c:pt>
                <c:pt idx="4">
                  <c:v>0.3017916847065385</c:v>
                </c:pt>
                <c:pt idx="5">
                  <c:v>0.25699507902716623</c:v>
                </c:pt>
                <c:pt idx="6">
                  <c:v>0.22371611902466088</c:v>
                </c:pt>
                <c:pt idx="7">
                  <c:v>0.19803784173194269</c:v>
                </c:pt>
                <c:pt idx="8">
                  <c:v>0.17763150813057249</c:v>
                </c:pt>
                <c:pt idx="9">
                  <c:v>0.16102873113488814</c:v>
                </c:pt>
                <c:pt idx="10">
                  <c:v>0.14725885580340914</c:v>
                </c:pt>
                <c:pt idx="11">
                  <c:v>0.13565499958215602</c:v>
                </c:pt>
                <c:pt idx="12">
                  <c:v>0.12574404832825886</c:v>
                </c:pt>
                <c:pt idx="13">
                  <c:v>0.11718114724546122</c:v>
                </c:pt>
                <c:pt idx="14">
                  <c:v>0.10970904897503075</c:v>
                </c:pt>
                <c:pt idx="15">
                  <c:v>0.10313198378674308</c:v>
                </c:pt>
                <c:pt idx="16">
                  <c:v>9.7298346269787991E-2</c:v>
                </c:pt>
                <c:pt idx="17">
                  <c:v>9.208891598275433E-2</c:v>
                </c:pt>
                <c:pt idx="18">
                  <c:v>8.7408654461514898E-2</c:v>
                </c:pt>
                <c:pt idx="19">
                  <c:v>8.3180873708108741E-2</c:v>
                </c:pt>
              </c:numCache>
            </c:numRef>
          </c:yVal>
          <c:smooth val="1"/>
        </c:ser>
        <c:ser>
          <c:idx val="5"/>
          <c:order val="5"/>
          <c:tx>
            <c:v>Tr 1.2 METHANE</c:v>
          </c:tx>
          <c:spPr>
            <a:ln>
              <a:prstDash val="sysDash"/>
            </a:ln>
          </c:spPr>
          <c:marker>
            <c:symbol val="none"/>
          </c:marker>
          <c:xVal>
            <c:numRef>
              <c:f>[1]Sheet1!$BL$19:$BL$38</c:f>
              <c:numCache>
                <c:formatCode>General</c:formatCode>
                <c:ptCount val="20"/>
                <c:pt idx="0">
                  <c:v>0.58118027100183356</c:v>
                </c:pt>
                <c:pt idx="1">
                  <c:v>1.1623605420036671</c:v>
                </c:pt>
                <c:pt idx="2">
                  <c:v>1.7435408130055001</c:v>
                </c:pt>
                <c:pt idx="3">
                  <c:v>2.3247210840073342</c:v>
                </c:pt>
                <c:pt idx="4">
                  <c:v>2.9059013550091675</c:v>
                </c:pt>
                <c:pt idx="5">
                  <c:v>3.4870816260110002</c:v>
                </c:pt>
                <c:pt idx="6">
                  <c:v>4.0682618970128344</c:v>
                </c:pt>
                <c:pt idx="7">
                  <c:v>4.6494421680146685</c:v>
                </c:pt>
                <c:pt idx="8">
                  <c:v>5.2306224390165017</c:v>
                </c:pt>
                <c:pt idx="9">
                  <c:v>5.8118027100183349</c:v>
                </c:pt>
                <c:pt idx="10">
                  <c:v>6.3929829810201682</c:v>
                </c:pt>
                <c:pt idx="11">
                  <c:v>6.9741632520220005</c:v>
                </c:pt>
                <c:pt idx="12">
                  <c:v>7.5553435230238355</c:v>
                </c:pt>
                <c:pt idx="13">
                  <c:v>8.1365237940256687</c:v>
                </c:pt>
                <c:pt idx="14">
                  <c:v>8.7177040650275028</c:v>
                </c:pt>
                <c:pt idx="15">
                  <c:v>9.2988843360293369</c:v>
                </c:pt>
                <c:pt idx="16">
                  <c:v>9.8800646070311693</c:v>
                </c:pt>
                <c:pt idx="17">
                  <c:v>10.461244878033003</c:v>
                </c:pt>
                <c:pt idx="18">
                  <c:v>11.042425149034836</c:v>
                </c:pt>
                <c:pt idx="19">
                  <c:v>11.62360542003667</c:v>
                </c:pt>
              </c:numCache>
            </c:numRef>
          </c:xVal>
          <c:yVal>
            <c:numRef>
              <c:f>[1]Sheet1!$BM$19:$BM$37</c:f>
              <c:numCache>
                <c:formatCode>General</c:formatCode>
                <c:ptCount val="19"/>
                <c:pt idx="0">
                  <c:v>1.3801899442444023</c:v>
                </c:pt>
                <c:pt idx="1">
                  <c:v>0.82876194893872879</c:v>
                </c:pt>
                <c:pt idx="2">
                  <c:v>0.59220613564921964</c:v>
                </c:pt>
                <c:pt idx="3">
                  <c:v>0.46050456083361435</c:v>
                </c:pt>
                <c:pt idx="4">
                  <c:v>0.37665428434868631</c:v>
                </c:pt>
                <c:pt idx="5">
                  <c:v>0.31860810184909233</c:v>
                </c:pt>
                <c:pt idx="6">
                  <c:v>0.27605125318230983</c:v>
                </c:pt>
                <c:pt idx="7">
                  <c:v>0.24351715801123353</c:v>
                </c:pt>
                <c:pt idx="8">
                  <c:v>0.21783970160526081</c:v>
                </c:pt>
                <c:pt idx="9">
                  <c:v>0.19705876131391323</c:v>
                </c:pt>
                <c:pt idx="10">
                  <c:v>0.17989610207506876</c:v>
                </c:pt>
                <c:pt idx="11">
                  <c:v>0.1654826630369329</c:v>
                </c:pt>
                <c:pt idx="12">
                  <c:v>0.15320700239224358</c:v>
                </c:pt>
                <c:pt idx="13">
                  <c:v>0.14262644442168571</c:v>
                </c:pt>
                <c:pt idx="14">
                  <c:v>0.13341262139829829</c:v>
                </c:pt>
                <c:pt idx="15">
                  <c:v>0.12531682101142863</c:v>
                </c:pt>
                <c:pt idx="16">
                  <c:v>0.1181472173327202</c:v>
                </c:pt>
                <c:pt idx="17">
                  <c:v>0.11175348850770218</c:v>
                </c:pt>
                <c:pt idx="18">
                  <c:v>0.10601616911141838</c:v>
                </c:pt>
              </c:numCache>
            </c:numRef>
          </c:yVal>
          <c:smooth val="1"/>
        </c:ser>
        <c:dLbls>
          <c:showLegendKey val="0"/>
          <c:showVal val="0"/>
          <c:showCatName val="0"/>
          <c:showSerName val="0"/>
          <c:showPercent val="0"/>
          <c:showBubbleSize val="0"/>
        </c:dLbls>
        <c:axId val="273248584"/>
        <c:axId val="273248976"/>
      </c:scatterChart>
      <c:valAx>
        <c:axId val="273248584"/>
        <c:scaling>
          <c:orientation val="minMax"/>
        </c:scaling>
        <c:delete val="0"/>
        <c:axPos val="b"/>
        <c:title>
          <c:tx>
            <c:rich>
              <a:bodyPr/>
              <a:lstStyle/>
              <a:p>
                <a:pPr>
                  <a:defRPr/>
                </a:pPr>
                <a:r>
                  <a:rPr lang="en-IN" sz="1600"/>
                  <a:t>Vr</a:t>
                </a:r>
              </a:p>
            </c:rich>
          </c:tx>
          <c:overlay val="0"/>
        </c:title>
        <c:numFmt formatCode="General" sourceLinked="1"/>
        <c:majorTickMark val="out"/>
        <c:minorTickMark val="none"/>
        <c:tickLblPos val="nextTo"/>
        <c:crossAx val="273248976"/>
        <c:crosses val="autoZero"/>
        <c:crossBetween val="midCat"/>
      </c:valAx>
      <c:valAx>
        <c:axId val="273248976"/>
        <c:scaling>
          <c:orientation val="minMax"/>
        </c:scaling>
        <c:delete val="0"/>
        <c:axPos val="l"/>
        <c:majorGridlines/>
        <c:title>
          <c:tx>
            <c:rich>
              <a:bodyPr rot="0" vert="horz"/>
              <a:lstStyle/>
              <a:p>
                <a:pPr>
                  <a:defRPr/>
                </a:pPr>
                <a:r>
                  <a:rPr lang="en-IN" sz="1600"/>
                  <a:t>Pr</a:t>
                </a:r>
              </a:p>
            </c:rich>
          </c:tx>
          <c:overlay val="0"/>
        </c:title>
        <c:numFmt formatCode="General" sourceLinked="1"/>
        <c:majorTickMark val="out"/>
        <c:minorTickMark val="none"/>
        <c:tickLblPos val="nextTo"/>
        <c:crossAx val="273248584"/>
        <c:crosses val="autoZero"/>
        <c:crossBetween val="midCat"/>
      </c:valAx>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25</xdr:col>
      <xdr:colOff>485775</xdr:colOff>
      <xdr:row>1</xdr:row>
      <xdr:rowOff>180975</xdr:rowOff>
    </xdr:from>
    <xdr:to>
      <xdr:col>34</xdr:col>
      <xdr:colOff>600075</xdr:colOff>
      <xdr:row>19</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302559</xdr:colOff>
      <xdr:row>39</xdr:row>
      <xdr:rowOff>0</xdr:rowOff>
    </xdr:from>
    <xdr:to>
      <xdr:col>26</xdr:col>
      <xdr:colOff>571500</xdr:colOff>
      <xdr:row>69</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254854</xdr:colOff>
      <xdr:row>39</xdr:row>
      <xdr:rowOff>54429</xdr:rowOff>
    </xdr:from>
    <xdr:to>
      <xdr:col>57</xdr:col>
      <xdr:colOff>190500</xdr:colOff>
      <xdr:row>70</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544286</xdr:colOff>
      <xdr:row>44</xdr:row>
      <xdr:rowOff>54429</xdr:rowOff>
    </xdr:from>
    <xdr:to>
      <xdr:col>10</xdr:col>
      <xdr:colOff>54429</xdr:colOff>
      <xdr:row>56</xdr:row>
      <xdr:rowOff>54429</xdr:rowOff>
    </xdr:to>
    <xdr:sp macro="" textlink="">
      <xdr:nvSpPr>
        <xdr:cNvPr id="4" name="TextBox 3"/>
        <xdr:cNvSpPr txBox="1"/>
      </xdr:nvSpPr>
      <xdr:spPr>
        <a:xfrm>
          <a:off x="544286" y="8665029"/>
          <a:ext cx="6634843"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IN" sz="1600"/>
            <a:t>ANS</a:t>
          </a:r>
          <a:r>
            <a:rPr lang="en-IN" sz="1600" baseline="0"/>
            <a:t> </a:t>
          </a:r>
          <a:r>
            <a:rPr lang="en-IN" sz="1600"/>
            <a:t>3:</a:t>
          </a:r>
        </a:p>
        <a:p>
          <a:endParaRPr lang="en-IN" sz="1600"/>
        </a:p>
        <a:p>
          <a:r>
            <a:rPr lang="en-IN" sz="1600"/>
            <a:t>In given figure 1. we get one point of intersection for line I and III while in case of line II we get 3 points of intersection. Out of these three points one point indicates liquid phase(vmin) while other indicates vapour phase(vmax) and the point lying in between indicates that there may exist mixture of liquid + vapour i.e we can not estimate  confidently that how much of it is liquid or vapour, so that point has no phisical significance as such.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SIMLA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19">
          <cell r="M19">
            <v>0.58118027100183356</v>
          </cell>
          <cell r="N19">
            <v>0.53021426991895082</v>
          </cell>
          <cell r="W19">
            <v>0.58118027100183356</v>
          </cell>
          <cell r="X19">
            <v>0.92067933824830628</v>
          </cell>
          <cell r="AG19">
            <v>0.58118027100183356</v>
          </cell>
          <cell r="AH19">
            <v>1.4271681699098895</v>
          </cell>
          <cell r="AR19">
            <v>0.58118027100183356</v>
          </cell>
          <cell r="AS19">
            <v>0.53823545654935256</v>
          </cell>
          <cell r="BB19">
            <v>0.58118027100183356</v>
          </cell>
          <cell r="BC19">
            <v>0.90134485786666851</v>
          </cell>
          <cell r="BL19">
            <v>0.58118027100183356</v>
          </cell>
          <cell r="BM19">
            <v>1.3801899442444023</v>
          </cell>
        </row>
        <row r="20">
          <cell r="I20">
            <v>0.41854797490612305</v>
          </cell>
          <cell r="J20">
            <v>0.27697210521228072</v>
          </cell>
          <cell r="M20">
            <v>1.1623605420036671</v>
          </cell>
          <cell r="N20">
            <v>0.47241787113382644</v>
          </cell>
          <cell r="S20">
            <v>0.41854797490612305</v>
          </cell>
          <cell r="T20">
            <v>0.9911794044674429</v>
          </cell>
          <cell r="W20">
            <v>1.1623605420036671</v>
          </cell>
          <cell r="X20">
            <v>0.63515895442450865</v>
          </cell>
          <cell r="AG20">
            <v>1.1623605420036671</v>
          </cell>
          <cell r="AH20">
            <v>0.84836918821037977</v>
          </cell>
          <cell r="AN20">
            <v>0.41854797490612305</v>
          </cell>
          <cell r="AO20">
            <v>0.32688354857647545</v>
          </cell>
          <cell r="AR20">
            <v>1.1623605420036671</v>
          </cell>
          <cell r="AS20">
            <v>0.46547721102463852</v>
          </cell>
          <cell r="AX20">
            <v>0.41854797490612305</v>
          </cell>
          <cell r="AY20">
            <v>0.98279971623838536</v>
          </cell>
          <cell r="BB20">
            <v>1.1623605420036671</v>
          </cell>
          <cell r="BC20">
            <v>0.6214079529699631</v>
          </cell>
          <cell r="BL20">
            <v>1.1623605420036671</v>
          </cell>
          <cell r="BM20">
            <v>0.82876194893872879</v>
          </cell>
        </row>
        <row r="21">
          <cell r="I21">
            <v>0.62782196235918453</v>
          </cell>
          <cell r="J21">
            <v>0.49398588708980556</v>
          </cell>
          <cell r="M21">
            <v>1.7435408130055001</v>
          </cell>
          <cell r="N21">
            <v>0.36844096169438062</v>
          </cell>
          <cell r="S21">
            <v>0.62782196235918453</v>
          </cell>
          <cell r="T21">
            <v>0.89479135195916992</v>
          </cell>
          <cell r="W21">
            <v>1.7435408130055001</v>
          </cell>
          <cell r="X21">
            <v>0.46957194222782667</v>
          </cell>
          <cell r="AG21">
            <v>1.7435408130055001</v>
          </cell>
          <cell r="AH21">
            <v>0.60269445012164935</v>
          </cell>
          <cell r="AN21">
            <v>0.62782196235918453</v>
          </cell>
          <cell r="AO21">
            <v>0.50014787726504195</v>
          </cell>
          <cell r="AR21">
            <v>1.7435408130055001</v>
          </cell>
          <cell r="AS21">
            <v>0.36335798818325127</v>
          </cell>
          <cell r="AX21">
            <v>0.62782196235918453</v>
          </cell>
          <cell r="AY21">
            <v>0.87688094431643115</v>
          </cell>
          <cell r="BB21">
            <v>1.7435408130055001</v>
          </cell>
          <cell r="BC21">
            <v>0.46136184280499937</v>
          </cell>
          <cell r="BH21">
            <v>0.62782196235918453</v>
          </cell>
          <cell r="BI21">
            <v>1.3603000658091462</v>
          </cell>
          <cell r="BL21">
            <v>1.7435408130055001</v>
          </cell>
          <cell r="BM21">
            <v>0.59220613564921964</v>
          </cell>
        </row>
        <row r="22">
          <cell r="I22">
            <v>0.83709594981224611</v>
          </cell>
          <cell r="J22">
            <v>0.50809475787480152</v>
          </cell>
          <cell r="M22">
            <v>2.3247210840073342</v>
          </cell>
          <cell r="N22">
            <v>0.29749790763655987</v>
          </cell>
          <cell r="S22">
            <v>0.83709594981224611</v>
          </cell>
          <cell r="T22">
            <v>0.77969183313899915</v>
          </cell>
          <cell r="W22">
            <v>2.3247210840073342</v>
          </cell>
          <cell r="X22">
            <v>0.37055381262069176</v>
          </cell>
          <cell r="AC22">
            <v>0.83709594981224611</v>
          </cell>
          <cell r="AD22">
            <v>1.1279604412173825</v>
          </cell>
          <cell r="AG22">
            <v>2.3247210840073342</v>
          </cell>
          <cell r="AH22">
            <v>0.46698328191301469</v>
          </cell>
          <cell r="AN22">
            <v>0.83709594981224611</v>
          </cell>
          <cell r="AO22">
            <v>0.50392013227634969</v>
          </cell>
          <cell r="AR22">
            <v>2.3247210840073342</v>
          </cell>
          <cell r="AS22">
            <v>0.29398747126625185</v>
          </cell>
          <cell r="AX22">
            <v>0.83709594981224611</v>
          </cell>
          <cell r="AY22">
            <v>0.7627265100909314</v>
          </cell>
          <cell r="BB22">
            <v>2.3247210840073342</v>
          </cell>
          <cell r="BC22">
            <v>0.3652038759557153</v>
          </cell>
          <cell r="BH22">
            <v>0.83709594981224611</v>
          </cell>
          <cell r="BI22">
            <v>1.0966765065960449</v>
          </cell>
          <cell r="BL22">
            <v>2.3247210840073342</v>
          </cell>
          <cell r="BM22">
            <v>0.46050456083361435</v>
          </cell>
        </row>
        <row r="23">
          <cell r="I23">
            <v>1.0463699372653077</v>
          </cell>
          <cell r="J23">
            <v>0.47831243378530314</v>
          </cell>
          <cell r="M23">
            <v>2.9059013550091675</v>
          </cell>
          <cell r="N23">
            <v>0.24844950373655164</v>
          </cell>
          <cell r="S23">
            <v>1.0463699372653077</v>
          </cell>
          <cell r="T23">
            <v>0.6813837764098496</v>
          </cell>
          <cell r="W23">
            <v>2.9059013550091675</v>
          </cell>
          <cell r="X23">
            <v>0.30554477248876982</v>
          </cell>
          <cell r="AC23">
            <v>1.0463699372653077</v>
          </cell>
          <cell r="AD23">
            <v>0.94310505069950901</v>
          </cell>
          <cell r="AG23">
            <v>2.9059013550091675</v>
          </cell>
          <cell r="AH23">
            <v>0.38104108664151015</v>
          </cell>
          <cell r="AN23">
            <v>1.0463699372653077</v>
          </cell>
          <cell r="AO23">
            <v>0.47189942645955391</v>
          </cell>
          <cell r="AR23">
            <v>2.9059013550091675</v>
          </cell>
          <cell r="AS23">
            <v>0.24593254994772223</v>
          </cell>
          <cell r="AX23">
            <v>1.0463699372653077</v>
          </cell>
          <cell r="AY23">
            <v>0.6671383366762027</v>
          </cell>
          <cell r="BB23">
            <v>2.9059013550091675</v>
          </cell>
          <cell r="BC23">
            <v>0.3017916847065385</v>
          </cell>
          <cell r="BH23">
            <v>1.0463699372653077</v>
          </cell>
          <cell r="BI23">
            <v>0.92012460259066642</v>
          </cell>
          <cell r="BL23">
            <v>2.9059013550091675</v>
          </cell>
          <cell r="BM23">
            <v>0.37665428434868631</v>
          </cell>
        </row>
        <row r="24">
          <cell r="I24">
            <v>1.2556439247183691</v>
          </cell>
          <cell r="J24">
            <v>0.44057860875473137</v>
          </cell>
          <cell r="M24">
            <v>3.4870816260110002</v>
          </cell>
          <cell r="N24">
            <v>0.2129500856988229</v>
          </cell>
          <cell r="S24">
            <v>1.2556439247183691</v>
          </cell>
          <cell r="T24">
            <v>0.60179661567243781</v>
          </cell>
          <cell r="W24">
            <v>3.4870816260110002</v>
          </cell>
          <cell r="X24">
            <v>0.25977638086312926</v>
          </cell>
          <cell r="AC24">
            <v>1.2556439247183691</v>
          </cell>
          <cell r="AD24">
            <v>0.81039477560952899</v>
          </cell>
          <cell r="AG24">
            <v>3.4870816260110002</v>
          </cell>
          <cell r="AH24">
            <v>0.32177132372466916</v>
          </cell>
          <cell r="AN24">
            <v>1.2556439247183691</v>
          </cell>
          <cell r="AO24">
            <v>0.43412474899032633</v>
          </cell>
          <cell r="AR24">
            <v>3.4870816260110002</v>
          </cell>
          <cell r="AS24">
            <v>0.21107089072099749</v>
          </cell>
          <cell r="AX24">
            <v>1.2556439247183691</v>
          </cell>
          <cell r="AY24">
            <v>0.59008985534719871</v>
          </cell>
          <cell r="BB24">
            <v>3.4870816260110002</v>
          </cell>
          <cell r="BC24">
            <v>0.25699507902716623</v>
          </cell>
          <cell r="BH24">
            <v>1.2556439247183691</v>
          </cell>
          <cell r="BI24">
            <v>0.79284648424347892</v>
          </cell>
          <cell r="BL24">
            <v>3.4870816260110002</v>
          </cell>
          <cell r="BM24">
            <v>0.31860810184909233</v>
          </cell>
        </row>
        <row r="25">
          <cell r="I25">
            <v>1.4649179121714309</v>
          </cell>
          <cell r="J25">
            <v>0.40423603793233315</v>
          </cell>
          <cell r="M25">
            <v>4.0682618970128344</v>
          </cell>
          <cell r="N25">
            <v>0.18618983324113766</v>
          </cell>
          <cell r="S25">
            <v>1.4649179121714309</v>
          </cell>
          <cell r="T25">
            <v>0.53746658462116381</v>
          </cell>
          <cell r="W25">
            <v>4.0682618970128344</v>
          </cell>
          <cell r="X25">
            <v>0.2258640907722346</v>
          </cell>
          <cell r="AC25">
            <v>1.4649179121714309</v>
          </cell>
          <cell r="AD25">
            <v>0.7103917792619896</v>
          </cell>
          <cell r="AG25">
            <v>4.0682618970128344</v>
          </cell>
          <cell r="AH25">
            <v>0.27843862550561327</v>
          </cell>
          <cell r="AN25">
            <v>1.4649179121714309</v>
          </cell>
          <cell r="AO25">
            <v>0.39833866965373416</v>
          </cell>
          <cell r="AR25">
            <v>4.0682618970128344</v>
          </cell>
          <cell r="AS25">
            <v>0.18473798177280318</v>
          </cell>
          <cell r="AX25">
            <v>1.4649179121714309</v>
          </cell>
          <cell r="AY25">
            <v>0.52781679155196282</v>
          </cell>
          <cell r="BB25">
            <v>4.0682618970128344</v>
          </cell>
          <cell r="BC25">
            <v>0.22371611902466088</v>
          </cell>
          <cell r="BH25">
            <v>1.4649179121714309</v>
          </cell>
          <cell r="BI25">
            <v>0.69657846569760473</v>
          </cell>
          <cell r="BL25">
            <v>4.0682618970128344</v>
          </cell>
          <cell r="BM25">
            <v>0.27605125318230983</v>
          </cell>
        </row>
        <row r="26">
          <cell r="I26">
            <v>1.6741918996244922</v>
          </cell>
          <cell r="J26">
            <v>0.37159547388612241</v>
          </cell>
          <cell r="M26">
            <v>4.6494421680146685</v>
          </cell>
          <cell r="N26">
            <v>0.1653397471138254</v>
          </cell>
          <cell r="S26">
            <v>1.6741918996244922</v>
          </cell>
          <cell r="T26">
            <v>0.48489243152212907</v>
          </cell>
          <cell r="W26">
            <v>4.6494421680146685</v>
          </cell>
          <cell r="X26">
            <v>0.1997504301742693</v>
          </cell>
          <cell r="AC26">
            <v>1.6741918996244922</v>
          </cell>
          <cell r="AD26">
            <v>0.63231933323232459</v>
          </cell>
          <cell r="AG26">
            <v>4.6494421680146685</v>
          </cell>
          <cell r="AH26">
            <v>0.24538226528324572</v>
          </cell>
          <cell r="AN26">
            <v>1.6741918996244922</v>
          </cell>
          <cell r="AO26">
            <v>0.36636918361341042</v>
          </cell>
          <cell r="AR26">
            <v>4.6494421680146685</v>
          </cell>
          <cell r="AS26">
            <v>0.16418628582720965</v>
          </cell>
          <cell r="AX26">
            <v>1.6741918996244922</v>
          </cell>
          <cell r="AY26">
            <v>0.47685866341126248</v>
          </cell>
          <cell r="BB26">
            <v>4.6494421680146685</v>
          </cell>
          <cell r="BC26">
            <v>0.19803784173194269</v>
          </cell>
          <cell r="BH26">
            <v>1.6741918996244922</v>
          </cell>
          <cell r="BI26">
            <v>0.62117622365438863</v>
          </cell>
          <cell r="BL26">
            <v>4.6494421680146685</v>
          </cell>
          <cell r="BM26">
            <v>0.24351715801123353</v>
          </cell>
        </row>
        <row r="27">
          <cell r="I27">
            <v>1.8834658870775538</v>
          </cell>
          <cell r="J27">
            <v>0.3429067672370974</v>
          </cell>
          <cell r="M27">
            <v>5.2306224390165017</v>
          </cell>
          <cell r="N27">
            <v>0.14865538655481847</v>
          </cell>
          <cell r="S27">
            <v>1.8834658870775538</v>
          </cell>
          <cell r="T27">
            <v>0.44133270798861751</v>
          </cell>
          <cell r="W27">
            <v>5.2306224390165017</v>
          </cell>
          <cell r="X27">
            <v>0.17903189138419556</v>
          </cell>
          <cell r="AC27">
            <v>1.8834658870775538</v>
          </cell>
          <cell r="AD27">
            <v>0.56967884563000959</v>
          </cell>
          <cell r="AG27">
            <v>5.2306224390165017</v>
          </cell>
          <cell r="AH27">
            <v>0.21933669648318349</v>
          </cell>
          <cell r="AN27">
            <v>1.8834658870775538</v>
          </cell>
          <cell r="AO27">
            <v>0.33831696509332587</v>
          </cell>
          <cell r="AR27">
            <v>5.2306224390165017</v>
          </cell>
          <cell r="AS27">
            <v>0.14771779425167833</v>
          </cell>
          <cell r="AX27">
            <v>1.8834658870775538</v>
          </cell>
          <cell r="AY27">
            <v>0.43456693178726247</v>
          </cell>
          <cell r="BB27">
            <v>5.2306224390165017</v>
          </cell>
          <cell r="BC27">
            <v>0.17763150813057249</v>
          </cell>
          <cell r="BH27">
            <v>1.8834658870775538</v>
          </cell>
          <cell r="BI27">
            <v>0.56050680703904976</v>
          </cell>
          <cell r="BL27">
            <v>5.2306224390165017</v>
          </cell>
          <cell r="BM27">
            <v>0.21783970160526081</v>
          </cell>
        </row>
        <row r="28">
          <cell r="I28">
            <v>2.0927398745306154</v>
          </cell>
          <cell r="J28">
            <v>0.31782084679166472</v>
          </cell>
          <cell r="M28">
            <v>5.8118027100183349</v>
          </cell>
          <cell r="N28">
            <v>0.13501061909539069</v>
          </cell>
          <cell r="S28">
            <v>2.0927398745306154</v>
          </cell>
          <cell r="T28">
            <v>0.40475204265965214</v>
          </cell>
          <cell r="W28">
            <v>5.8118027100183349</v>
          </cell>
          <cell r="X28">
            <v>0.16219749274704368</v>
          </cell>
          <cell r="AC28">
            <v>2.0927398745306154</v>
          </cell>
          <cell r="AD28">
            <v>0.51831032471381333</v>
          </cell>
          <cell r="AG28">
            <v>5.8118027100183349</v>
          </cell>
          <cell r="AH28">
            <v>0.19828666383491836</v>
          </cell>
          <cell r="AN28">
            <v>2.0927398745306154</v>
          </cell>
          <cell r="AO28">
            <v>0.31379236416374279</v>
          </cell>
          <cell r="AR28">
            <v>5.8118027100183349</v>
          </cell>
          <cell r="AS28">
            <v>0.13423393615965601</v>
          </cell>
          <cell r="AX28">
            <v>2.0927398745306154</v>
          </cell>
          <cell r="AY28">
            <v>0.39898951045117431</v>
          </cell>
          <cell r="BB28">
            <v>5.8118027100183349</v>
          </cell>
          <cell r="BC28">
            <v>0.16102873113488814</v>
          </cell>
          <cell r="BH28">
            <v>2.0927398745306154</v>
          </cell>
          <cell r="BI28">
            <v>0.51063270002558914</v>
          </cell>
          <cell r="BL28">
            <v>5.8118027100183349</v>
          </cell>
          <cell r="BM28">
            <v>0.19705876131391323</v>
          </cell>
        </row>
        <row r="29">
          <cell r="I29">
            <v>2.302013861983677</v>
          </cell>
          <cell r="J29">
            <v>0.29585519599059884</v>
          </cell>
          <cell r="M29">
            <v>6.3929829810201682</v>
          </cell>
          <cell r="N29">
            <v>0.12364875663826237</v>
          </cell>
          <cell r="S29">
            <v>2.302013861983677</v>
          </cell>
          <cell r="T29">
            <v>0.37364927037895534</v>
          </cell>
          <cell r="W29">
            <v>6.3929829810201682</v>
          </cell>
          <cell r="X29">
            <v>0.14825091467467405</v>
          </cell>
          <cell r="AC29">
            <v>2.302013861983677</v>
          </cell>
          <cell r="AD29">
            <v>0.4754255270090792</v>
          </cell>
          <cell r="AG29">
            <v>6.3929829810201682</v>
          </cell>
          <cell r="AH29">
            <v>0.18092138898956966</v>
          </cell>
          <cell r="AN29">
            <v>2.302013861983677</v>
          </cell>
          <cell r="AO29">
            <v>0.29230875076513402</v>
          </cell>
          <cell r="AR29">
            <v>6.3929829810201682</v>
          </cell>
          <cell r="AS29">
            <v>0.12299508133313682</v>
          </cell>
          <cell r="AX29">
            <v>2.302013861983677</v>
          </cell>
          <cell r="AY29">
            <v>0.36868960911649823</v>
          </cell>
          <cell r="BB29">
            <v>6.3929829810201682</v>
          </cell>
          <cell r="BC29">
            <v>0.14725885580340914</v>
          </cell>
          <cell r="BH29">
            <v>2.302013861983677</v>
          </cell>
          <cell r="BI29">
            <v>0.46890683288074686</v>
          </cell>
          <cell r="BL29">
            <v>6.3929829810201682</v>
          </cell>
          <cell r="BM29">
            <v>0.17989610207506876</v>
          </cell>
        </row>
        <row r="30">
          <cell r="I30">
            <v>2.5112878494367381</v>
          </cell>
          <cell r="J30">
            <v>0.27654336549443431</v>
          </cell>
          <cell r="M30">
            <v>6.9741632520220005</v>
          </cell>
          <cell r="N30">
            <v>0.11404364389769694</v>
          </cell>
          <cell r="S30">
            <v>2.5112878494367381</v>
          </cell>
          <cell r="T30">
            <v>0.34690826032252736</v>
          </cell>
          <cell r="W30">
            <v>6.9741632520220005</v>
          </cell>
          <cell r="X30">
            <v>0.13650907594963033</v>
          </cell>
          <cell r="AC30">
            <v>2.5112878494367381</v>
          </cell>
          <cell r="AD30">
            <v>0.43908530530020828</v>
          </cell>
          <cell r="AG30">
            <v>6.9741632520220005</v>
          </cell>
          <cell r="AH30">
            <v>0.16635160589136877</v>
          </cell>
          <cell r="AN30">
            <v>2.5112878494367381</v>
          </cell>
          <cell r="AO30">
            <v>0.27340717948342197</v>
          </cell>
          <cell r="AR30">
            <v>6.9741632520220005</v>
          </cell>
          <cell r="AS30">
            <v>0.11348604109844458</v>
          </cell>
          <cell r="AX30">
            <v>2.5112878494367381</v>
          </cell>
          <cell r="AY30">
            <v>0.34259887104617009</v>
          </cell>
          <cell r="BB30">
            <v>6.9741632520220005</v>
          </cell>
          <cell r="BC30">
            <v>0.13565499958215602</v>
          </cell>
          <cell r="BH30">
            <v>2.5112878494367381</v>
          </cell>
          <cell r="BI30">
            <v>0.43348290603728051</v>
          </cell>
          <cell r="BL30">
            <v>6.9741632520220005</v>
          </cell>
          <cell r="BM30">
            <v>0.1654826630369329</v>
          </cell>
        </row>
        <row r="31">
          <cell r="I31">
            <v>2.7205618368898001</v>
          </cell>
          <cell r="J31">
            <v>0.25947761127850011</v>
          </cell>
          <cell r="M31">
            <v>7.5553435230238355</v>
          </cell>
          <cell r="N31">
            <v>0.10581856717944713</v>
          </cell>
          <cell r="S31">
            <v>2.7205618368898001</v>
          </cell>
          <cell r="T31">
            <v>0.32368834646827521</v>
          </cell>
          <cell r="W31">
            <v>7.5553435230238355</v>
          </cell>
          <cell r="X31">
            <v>0.12648823277598106</v>
          </cell>
          <cell r="AC31">
            <v>2.7205618368898001</v>
          </cell>
          <cell r="AD31">
            <v>0.40789926499037382</v>
          </cell>
          <cell r="AG31">
            <v>7.5553435230238355</v>
          </cell>
          <cell r="AH31">
            <v>0.15395279403271842</v>
          </cell>
          <cell r="AN31">
            <v>2.7205618368898001</v>
          </cell>
          <cell r="AO31">
            <v>0.25669018219518885</v>
          </cell>
          <cell r="AR31">
            <v>7.5553435230238355</v>
          </cell>
          <cell r="AS31">
            <v>0.10533739301868841</v>
          </cell>
          <cell r="AX31">
            <v>2.7205618368898001</v>
          </cell>
          <cell r="AY31">
            <v>0.3199117966561642</v>
          </cell>
          <cell r="BB31">
            <v>7.5553435230238355</v>
          </cell>
          <cell r="BC31">
            <v>0.12574404832825886</v>
          </cell>
          <cell r="BH31">
            <v>2.7205618368898001</v>
          </cell>
          <cell r="BI31">
            <v>0.40303350594167625</v>
          </cell>
          <cell r="BL31">
            <v>7.5553435230238355</v>
          </cell>
          <cell r="BM31">
            <v>0.15320700239224358</v>
          </cell>
        </row>
        <row r="32">
          <cell r="I32">
            <v>2.9298358243428617</v>
          </cell>
          <cell r="J32">
            <v>0.24431476915057634</v>
          </cell>
          <cell r="M32">
            <v>8.1365237940256687</v>
          </cell>
          <cell r="N32">
            <v>9.8696948744889088E-2</v>
          </cell>
          <cell r="S32">
            <v>2.9298358243428617</v>
          </cell>
          <cell r="T32">
            <v>0.30334727344159351</v>
          </cell>
          <cell r="W32">
            <v>8.1365237940256687</v>
          </cell>
          <cell r="X32">
            <v>0.11783632111440681</v>
          </cell>
          <cell r="AC32">
            <v>2.9298358243428617</v>
          </cell>
          <cell r="AD32">
            <v>0.3808445353942933</v>
          </cell>
          <cell r="AG32">
            <v>8.1365237940256687</v>
          </cell>
          <cell r="AH32">
            <v>0.14327351077141964</v>
          </cell>
          <cell r="AN32">
            <v>2.9298358243428617</v>
          </cell>
          <cell r="AO32">
            <v>0.24182455421181534</v>
          </cell>
          <cell r="AR32">
            <v>8.1365237940256687</v>
          </cell>
          <cell r="AS32">
            <v>9.8277551644683783E-2</v>
          </cell>
          <cell r="AX32">
            <v>2.9298358243428617</v>
          </cell>
          <cell r="AY32">
            <v>0.30001212457163773</v>
          </cell>
          <cell r="BB32">
            <v>8.1365237940256687</v>
          </cell>
          <cell r="BC32">
            <v>0.11718114724546122</v>
          </cell>
          <cell r="BH32">
            <v>2.9298358243428617</v>
          </cell>
          <cell r="BI32">
            <v>0.376579648528373</v>
          </cell>
          <cell r="BL32">
            <v>8.1365237940256687</v>
          </cell>
          <cell r="BM32">
            <v>0.14262644442168571</v>
          </cell>
        </row>
        <row r="33">
          <cell r="I33">
            <v>3.1391098117959233</v>
          </cell>
          <cell r="J33">
            <v>0.23077020028260314</v>
          </cell>
          <cell r="M33">
            <v>8.7177040650275028</v>
          </cell>
          <cell r="N33">
            <v>9.247126721000952E-2</v>
          </cell>
          <cell r="S33">
            <v>3.1391098117959233</v>
          </cell>
          <cell r="T33">
            <v>0.28538741871007323</v>
          </cell>
          <cell r="W33">
            <v>8.7177040650275028</v>
          </cell>
          <cell r="X33">
            <v>0.1102910637821881</v>
          </cell>
          <cell r="AC33">
            <v>3.1391098117959233</v>
          </cell>
          <cell r="AD33">
            <v>0.35715191528152246</v>
          </cell>
          <cell r="AG33">
            <v>8.7177040650275028</v>
          </cell>
          <cell r="AH33">
            <v>0.13397933432369716</v>
          </cell>
          <cell r="AN33">
            <v>3.1391098117959233</v>
          </cell>
          <cell r="AO33">
            <v>0.22853435174207121</v>
          </cell>
          <cell r="AR33">
            <v>8.7177040650275028</v>
          </cell>
          <cell r="AS33">
            <v>9.21025029812471E-2</v>
          </cell>
          <cell r="AX33">
            <v>3.1391098117959233</v>
          </cell>
          <cell r="AY33">
            <v>0.2824216231135438</v>
          </cell>
          <cell r="BB33">
            <v>8.7177040650275028</v>
          </cell>
          <cell r="BC33">
            <v>0.10970904897503075</v>
          </cell>
          <cell r="BH33">
            <v>3.1391098117959233</v>
          </cell>
          <cell r="BI33">
            <v>0.35338344346975986</v>
          </cell>
          <cell r="BL33">
            <v>8.7177040650275028</v>
          </cell>
          <cell r="BM33">
            <v>0.13341262139829829</v>
          </cell>
        </row>
        <row r="34">
          <cell r="I34">
            <v>3.3483837992489844</v>
          </cell>
          <cell r="J34">
            <v>0.21860878845804807</v>
          </cell>
          <cell r="M34">
            <v>9.2988843360293369</v>
          </cell>
          <cell r="N34">
            <v>8.6982835408666623E-2</v>
          </cell>
          <cell r="S34">
            <v>3.3483837992489844</v>
          </cell>
          <cell r="T34">
            <v>0.26941804431645716</v>
          </cell>
          <cell r="W34">
            <v>9.2988843360293369</v>
          </cell>
          <cell r="X34">
            <v>0.10365309464870415</v>
          </cell>
          <cell r="AC34">
            <v>3.3483837992489844</v>
          </cell>
          <cell r="AD34">
            <v>0.33623186623262591</v>
          </cell>
          <cell r="AG34">
            <v>9.2988843360293369</v>
          </cell>
          <cell r="AH34">
            <v>0.12581726324011844</v>
          </cell>
          <cell r="AN34">
            <v>3.3483837992489844</v>
          </cell>
          <cell r="AO34">
            <v>0.21659173468348489</v>
          </cell>
          <cell r="AR34">
            <v>9.2988843360293369</v>
          </cell>
          <cell r="AS34">
            <v>8.6656080495146989E-2</v>
          </cell>
          <cell r="AX34">
            <v>3.3483837992489844</v>
          </cell>
          <cell r="AY34">
            <v>0.26676418064034729</v>
          </cell>
          <cell r="BB34">
            <v>9.2988843360293369</v>
          </cell>
          <cell r="BC34">
            <v>0.10313198378674308</v>
          </cell>
          <cell r="BH34">
            <v>3.3483837992489844</v>
          </cell>
          <cell r="BI34">
            <v>0.33287816073982718</v>
          </cell>
          <cell r="BL34">
            <v>9.2988843360293369</v>
          </cell>
          <cell r="BM34">
            <v>0.12531682101142863</v>
          </cell>
        </row>
        <row r="35">
          <cell r="I35">
            <v>3.557657786702046</v>
          </cell>
          <cell r="J35">
            <v>0.20763614615750872</v>
          </cell>
          <cell r="M35">
            <v>9.8800646070311693</v>
          </cell>
          <cell r="N35">
            <v>8.2108270078366394E-2</v>
          </cell>
          <cell r="S35">
            <v>3.557657786702046</v>
          </cell>
          <cell r="T35">
            <v>0.25512850616606692</v>
          </cell>
          <cell r="W35">
            <v>9.8800646070311693</v>
          </cell>
          <cell r="X35">
            <v>9.7768181072035609E-2</v>
          </cell>
          <cell r="AC35">
            <v>3.557657786702046</v>
          </cell>
          <cell r="AD35">
            <v>0.31762497907423926</v>
          </cell>
          <cell r="AG35">
            <v>9.8800646070311693</v>
          </cell>
          <cell r="AH35">
            <v>0.11859236435096782</v>
          </cell>
          <cell r="AN35">
            <v>3.557657786702046</v>
          </cell>
          <cell r="AO35">
            <v>0.20580829414225937</v>
          </cell>
          <cell r="AR35">
            <v>9.8800646070311693</v>
          </cell>
          <cell r="AS35">
            <v>8.1816749079928974E-2</v>
          </cell>
          <cell r="AX35">
            <v>3.557657786702046</v>
          </cell>
          <cell r="AY35">
            <v>0.25274031433288441</v>
          </cell>
          <cell r="BB35">
            <v>9.8800646070311693</v>
          </cell>
          <cell r="BC35">
            <v>9.7298346269787991E-2</v>
          </cell>
          <cell r="BH35">
            <v>3.557657786702046</v>
          </cell>
          <cell r="BI35">
            <v>0.31462131562964152</v>
          </cell>
          <cell r="BL35">
            <v>9.8800646070311693</v>
          </cell>
          <cell r="BM35">
            <v>0.1181472173327202</v>
          </cell>
        </row>
        <row r="36">
          <cell r="I36">
            <v>3.7669317741551076</v>
          </cell>
          <cell r="J36">
            <v>0.19769099885061042</v>
          </cell>
          <cell r="M36">
            <v>10.461244878033003</v>
          </cell>
          <cell r="N36">
            <v>7.7750212619726811E-2</v>
          </cell>
          <cell r="S36">
            <v>3.7669317741551076</v>
          </cell>
          <cell r="T36">
            <v>0.24226899091465182</v>
          </cell>
          <cell r="W36">
            <v>10.461244878033003</v>
          </cell>
          <cell r="X36">
            <v>9.2515146737933762E-2</v>
          </cell>
          <cell r="AC36">
            <v>3.7669317741551076</v>
          </cell>
          <cell r="AD36">
            <v>0.30096796587706931</v>
          </cell>
          <cell r="AG36">
            <v>10.461244878033003</v>
          </cell>
          <cell r="AH36">
            <v>0.11215202027573776</v>
          </cell>
          <cell r="AN36">
            <v>3.7669317741551076</v>
          </cell>
          <cell r="AO36">
            <v>0.19602763371456969</v>
          </cell>
          <cell r="AR36">
            <v>10.461244878033003</v>
          </cell>
          <cell r="AS36">
            <v>7.7488529590042543E-2</v>
          </cell>
          <cell r="AX36">
            <v>3.7669317741551076</v>
          </cell>
          <cell r="AY36">
            <v>0.24010882619211721</v>
          </cell>
          <cell r="BB36">
            <v>10.461244878033003</v>
          </cell>
          <cell r="BC36">
            <v>9.208891598275433E-2</v>
          </cell>
          <cell r="BH36">
            <v>3.7669317741551076</v>
          </cell>
          <cell r="BI36">
            <v>0.29826238744611089</v>
          </cell>
          <cell r="BL36">
            <v>10.461244878033003</v>
          </cell>
          <cell r="BM36">
            <v>0.11175348850770218</v>
          </cell>
        </row>
        <row r="37">
          <cell r="I37">
            <v>3.9762057616081692</v>
          </cell>
          <cell r="J37">
            <v>0.18863890446302192</v>
          </cell>
          <cell r="M37">
            <v>11.042425149034836</v>
          </cell>
          <cell r="N37">
            <v>7.3830824130666342E-2</v>
          </cell>
          <cell r="S37">
            <v>3.9762057616081692</v>
          </cell>
          <cell r="T37">
            <v>0.2306364770868316</v>
          </cell>
          <cell r="W37">
            <v>11.042425149034836</v>
          </cell>
          <cell r="X37">
            <v>8.7797472453720757E-2</v>
          </cell>
          <cell r="AC37">
            <v>3.9762057616081692</v>
          </cell>
          <cell r="AD37">
            <v>0.28596978324997119</v>
          </cell>
          <cell r="AG37">
            <v>11.042425149034836</v>
          </cell>
          <cell r="AH37">
            <v>0.10637504008472683</v>
          </cell>
          <cell r="AN37">
            <v>3.9762057616081692</v>
          </cell>
          <cell r="AO37">
            <v>0.18711928647895187</v>
          </cell>
          <cell r="AR37">
            <v>11.042425149034836</v>
          </cell>
          <cell r="AS37">
            <v>7.3594629277695861E-2</v>
          </cell>
          <cell r="AX37">
            <v>3.9762057616081692</v>
          </cell>
          <cell r="AY37">
            <v>0.22867341855745835</v>
          </cell>
          <cell r="BB37">
            <v>11.042425149034836</v>
          </cell>
          <cell r="BC37">
            <v>8.7408654461514898E-2</v>
          </cell>
          <cell r="BH37">
            <v>3.9762057616081692</v>
          </cell>
          <cell r="BI37">
            <v>0.28352010759530744</v>
          </cell>
          <cell r="BL37">
            <v>11.042425149034836</v>
          </cell>
          <cell r="BM37">
            <v>0.10601616911141838</v>
          </cell>
        </row>
        <row r="38">
          <cell r="I38">
            <v>4.1854797490612308</v>
          </cell>
          <cell r="J38">
            <v>0.18036718503302213</v>
          </cell>
          <cell r="M38">
            <v>11.62360542003667</v>
          </cell>
          <cell r="N38">
            <v>7.028713503689947E-2</v>
          </cell>
          <cell r="S38">
            <v>4.1854797490612308</v>
          </cell>
          <cell r="T38">
            <v>0.2200643668241169</v>
          </cell>
          <cell r="W38">
            <v>11.62360542003667</v>
          </cell>
          <cell r="X38">
            <v>8.353733225770725E-2</v>
          </cell>
          <cell r="AC38">
            <v>4.1854797490612308</v>
          </cell>
          <cell r="AD38">
            <v>0.27239453318162921</v>
          </cell>
          <cell r="AG38">
            <v>11.62360542003667</v>
          </cell>
          <cell r="AH38">
            <v>0.10116396750572987</v>
          </cell>
          <cell r="AN38">
            <v>4.1854797490612308</v>
          </cell>
          <cell r="AO38">
            <v>0.17897381975781673</v>
          </cell>
          <cell r="AR38">
            <v>11.62360542003667</v>
          </cell>
          <cell r="AS38">
            <v>7.0072883398199601E-2</v>
          </cell>
          <cell r="AX38">
            <v>4.1854797490612308</v>
          </cell>
          <cell r="AY38">
            <v>0.21827279616671949</v>
          </cell>
          <cell r="BB38">
            <v>11.62360542003667</v>
          </cell>
          <cell r="BC38">
            <v>8.3180873708108741E-2</v>
          </cell>
          <cell r="BH38">
            <v>4.1854797490612308</v>
          </cell>
          <cell r="BI38">
            <v>0.27016616242064062</v>
          </cell>
          <cell r="BL38">
            <v>11.62360542003667</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tabSelected="1" workbookViewId="0"/>
  </sheetViews>
  <sheetFormatPr defaultRowHeight="15" x14ac:dyDescent="0.25"/>
  <cols>
    <col min="1" max="1" width="15.28515625" customWidth="1"/>
    <col min="2" max="2" width="16.7109375" customWidth="1"/>
    <col min="3" max="3" width="21.28515625" customWidth="1"/>
    <col min="4" max="4" width="14.28515625" customWidth="1"/>
    <col min="6" max="6" width="11" bestFit="1" customWidth="1"/>
    <col min="7" max="7" width="12" bestFit="1" customWidth="1"/>
    <col min="8" max="8" width="13.5703125" customWidth="1"/>
    <col min="9" max="9" width="15.42578125" customWidth="1"/>
    <col min="10" max="10" width="13.140625" customWidth="1"/>
    <col min="11" max="11" width="13.28515625" customWidth="1"/>
    <col min="12" max="12" width="12.85546875" customWidth="1"/>
    <col min="13" max="13" width="11.5703125" customWidth="1"/>
    <col min="14" max="14" width="13.5703125" customWidth="1"/>
    <col min="15" max="15" width="13.42578125" customWidth="1"/>
    <col min="16" max="16" width="13.28515625" customWidth="1"/>
    <col min="18" max="18" width="15.28515625" customWidth="1"/>
    <col min="19" max="19" width="15" customWidth="1"/>
    <col min="20" max="20" width="16.140625" customWidth="1"/>
    <col min="21" max="21" width="12.42578125" customWidth="1"/>
  </cols>
  <sheetData>
    <row r="1" spans="1:21" ht="17.25" x14ac:dyDescent="0.25">
      <c r="A1" t="s">
        <v>0</v>
      </c>
      <c r="B1" t="s">
        <v>21</v>
      </c>
      <c r="C1" t="s">
        <v>4</v>
      </c>
      <c r="D1" t="s">
        <v>20</v>
      </c>
      <c r="E1" s="1" t="s">
        <v>3</v>
      </c>
      <c r="F1" s="1" t="s">
        <v>5</v>
      </c>
      <c r="G1" s="1" t="s">
        <v>6</v>
      </c>
      <c r="H1" s="1" t="s">
        <v>22</v>
      </c>
      <c r="I1" s="1" t="s">
        <v>23</v>
      </c>
      <c r="M1" s="3" t="s">
        <v>13</v>
      </c>
      <c r="N1" s="2" t="s">
        <v>14</v>
      </c>
      <c r="O1" s="2" t="s">
        <v>15</v>
      </c>
    </row>
    <row r="2" spans="1:21" x14ac:dyDescent="0.25">
      <c r="A2" t="s">
        <v>1</v>
      </c>
      <c r="B2">
        <f>45.99*10^(5)</f>
        <v>4599000</v>
      </c>
      <c r="C2">
        <f>-82.59+273.15</f>
        <v>190.55999999999997</v>
      </c>
      <c r="D2">
        <f>99.2*10^(-6)</f>
        <v>9.9199999999999999E-5</v>
      </c>
      <c r="E2">
        <v>1.0999999999999999E-2</v>
      </c>
      <c r="F2">
        <f>$B$8*POWER($E$6,2)*POWER(C2,2)/B2</f>
        <v>0.23331137854759829</v>
      </c>
      <c r="G2">
        <f>($B$9*$E$6*C2)/(B2)</f>
        <v>2.9846732850097845E-5</v>
      </c>
      <c r="H2">
        <f>$C$8*POWER($E$6,2)*POWER(C2,2)/B2</f>
        <v>0.2495511560077924</v>
      </c>
      <c r="I2">
        <f>($C$9*$E$6*C2)/(B2)</f>
        <v>2.680005111733855E-5</v>
      </c>
    </row>
    <row r="3" spans="1:21" x14ac:dyDescent="0.25">
      <c r="A3" t="s">
        <v>2</v>
      </c>
      <c r="B3">
        <f>48.9*10^(5)</f>
        <v>4890000</v>
      </c>
      <c r="C3">
        <v>562.1</v>
      </c>
      <c r="D3">
        <f>259*10^(-6)</f>
        <v>2.5900000000000001E-4</v>
      </c>
      <c r="E3">
        <v>0.21199999999999999</v>
      </c>
      <c r="F3">
        <f>$B$8*(POWER($E$6,2)*POWER(C3,2)/B3)</f>
        <v>1.9092119874287554</v>
      </c>
      <c r="G3">
        <f>($B$9*$E$6*C3)/(B3)</f>
        <v>8.2800543970552163E-5</v>
      </c>
      <c r="H3">
        <f>$C$8*POWER($E$6,2)*POWER(C3,2)/B3</f>
        <v>2.0421038249087373</v>
      </c>
      <c r="I3">
        <f>($C$9*$E$6*C3)/(B3)</f>
        <v>7.4348466282699396E-5</v>
      </c>
    </row>
    <row r="5" spans="1:21" x14ac:dyDescent="0.25">
      <c r="A5" s="14"/>
      <c r="B5" s="15" t="s">
        <v>7</v>
      </c>
      <c r="C5" s="16" t="s">
        <v>8</v>
      </c>
    </row>
    <row r="6" spans="1:21" x14ac:dyDescent="0.25">
      <c r="A6" s="17" t="s">
        <v>9</v>
      </c>
      <c r="B6" s="18">
        <v>0</v>
      </c>
      <c r="C6" s="19">
        <f>1-POWER(2,0.5)</f>
        <v>-0.41421356237309515</v>
      </c>
      <c r="D6" t="s">
        <v>16</v>
      </c>
      <c r="E6">
        <v>8.3140000000000001</v>
      </c>
      <c r="F6" t="s">
        <v>17</v>
      </c>
      <c r="H6" t="s">
        <v>35</v>
      </c>
      <c r="K6" t="s">
        <v>36</v>
      </c>
    </row>
    <row r="7" spans="1:21" x14ac:dyDescent="0.25">
      <c r="A7" s="17" t="s">
        <v>12</v>
      </c>
      <c r="B7" s="18">
        <v>1</v>
      </c>
      <c r="C7" s="19">
        <f>1+POWER(2,0.5)</f>
        <v>2.4142135623730949</v>
      </c>
      <c r="H7" t="s">
        <v>28</v>
      </c>
      <c r="I7" t="s">
        <v>29</v>
      </c>
      <c r="K7" t="s">
        <v>28</v>
      </c>
      <c r="L7" t="s">
        <v>29</v>
      </c>
    </row>
    <row r="8" spans="1:21" x14ac:dyDescent="0.25">
      <c r="A8" s="17" t="s">
        <v>10</v>
      </c>
      <c r="B8" s="18">
        <v>0.42748000000000003</v>
      </c>
      <c r="C8" s="19">
        <v>0.457235</v>
      </c>
      <c r="H8">
        <f>0.85</f>
        <v>0.85</v>
      </c>
      <c r="I8">
        <f>POWER(1+$B$12*(1-H8^0.5),2)</f>
        <v>1.079129300782973</v>
      </c>
      <c r="K8">
        <f>0.85</f>
        <v>0.85</v>
      </c>
      <c r="L8">
        <f>POWER(1+$B$11*(1-K8^0.5),2)</f>
        <v>1.1297295812677861</v>
      </c>
    </row>
    <row r="9" spans="1:21" x14ac:dyDescent="0.25">
      <c r="A9" s="20" t="s">
        <v>11</v>
      </c>
      <c r="B9" s="21">
        <v>8.6639999999999995E-2</v>
      </c>
      <c r="C9" s="22">
        <v>7.7796000000000004E-2</v>
      </c>
      <c r="H9">
        <v>1</v>
      </c>
      <c r="I9">
        <f>POWER(1+$B$12*(1-H9^0.5),2)</f>
        <v>1</v>
      </c>
      <c r="K9">
        <v>1</v>
      </c>
      <c r="L9">
        <f>POWER(1+$B$11*(1-K9^0.5),2)</f>
        <v>1</v>
      </c>
    </row>
    <row r="10" spans="1:21" ht="21.75" customHeight="1" x14ac:dyDescent="0.25">
      <c r="H10" t="s">
        <v>37</v>
      </c>
      <c r="K10" t="s">
        <v>38</v>
      </c>
    </row>
    <row r="11" spans="1:21" x14ac:dyDescent="0.25">
      <c r="A11" s="23" t="s">
        <v>19</v>
      </c>
      <c r="B11" s="15">
        <f>0.48+1.574*E3-0.176*POWER(E3,2)</f>
        <v>0.80577785599999996</v>
      </c>
      <c r="C11" s="16">
        <f>0.37464+1.226*E2-0.26992*E2*E2</f>
        <v>0.38809333967999998</v>
      </c>
      <c r="H11" t="s">
        <v>28</v>
      </c>
      <c r="I11" t="s">
        <v>29</v>
      </c>
      <c r="K11" t="s">
        <v>28</v>
      </c>
      <c r="L11" t="s">
        <v>29</v>
      </c>
    </row>
    <row r="12" spans="1:21" x14ac:dyDescent="0.25">
      <c r="A12" s="20" t="s">
        <v>18</v>
      </c>
      <c r="B12" s="21">
        <f>0.48+1.574*E2-0.176*POWER(E2,2)</f>
        <v>0.49729270399999997</v>
      </c>
      <c r="C12" s="22">
        <f>0.37464+1.226*E3-0.26992*E3*E3</f>
        <v>0.62242071552</v>
      </c>
      <c r="H12">
        <f>0.85</f>
        <v>0.85</v>
      </c>
      <c r="I12">
        <f>POWER(1+$C$12*(1-H12^0.5),2)</f>
        <v>1.0995140808838662</v>
      </c>
      <c r="K12">
        <f>0.85</f>
        <v>0.85</v>
      </c>
      <c r="L12">
        <f>POWER(1+$C$11*(1-K12^0.5),2)</f>
        <v>1.061495340694208</v>
      </c>
    </row>
    <row r="13" spans="1:21" x14ac:dyDescent="0.25">
      <c r="H13">
        <v>1</v>
      </c>
      <c r="I13">
        <f>POWER(1+$C$12*(1-H13^0.5),2)</f>
        <v>1</v>
      </c>
      <c r="K13">
        <v>1</v>
      </c>
      <c r="L13">
        <f>POWER(1+$C$11*(1-K13^0.5),2)</f>
        <v>1</v>
      </c>
    </row>
    <row r="14" spans="1:21" ht="15.75" thickBot="1" x14ac:dyDescent="0.3">
      <c r="A14" s="3" t="s">
        <v>24</v>
      </c>
    </row>
    <row r="15" spans="1:21" x14ac:dyDescent="0.25">
      <c r="A15" s="12" t="s">
        <v>1</v>
      </c>
      <c r="B15" s="4"/>
      <c r="C15" s="5" t="s">
        <v>31</v>
      </c>
      <c r="D15" s="5"/>
      <c r="E15" s="6"/>
      <c r="G15" s="4"/>
      <c r="H15" s="5"/>
      <c r="I15" s="5" t="s">
        <v>32</v>
      </c>
      <c r="J15" s="6"/>
      <c r="L15" s="13" t="s">
        <v>2</v>
      </c>
      <c r="M15" s="4"/>
      <c r="N15" s="5" t="s">
        <v>31</v>
      </c>
      <c r="O15" s="5"/>
      <c r="P15" s="6"/>
      <c r="R15" s="4"/>
      <c r="S15" s="5"/>
      <c r="T15" s="5" t="s">
        <v>32</v>
      </c>
      <c r="U15" s="6"/>
    </row>
    <row r="16" spans="1:21" ht="17.25" x14ac:dyDescent="0.25">
      <c r="B16" s="7" t="s">
        <v>25</v>
      </c>
      <c r="C16" s="8" t="s">
        <v>26</v>
      </c>
      <c r="D16" s="8" t="s">
        <v>27</v>
      </c>
      <c r="E16" s="9" t="s">
        <v>30</v>
      </c>
      <c r="G16" s="7" t="s">
        <v>25</v>
      </c>
      <c r="H16" s="8" t="s">
        <v>26</v>
      </c>
      <c r="I16" s="8" t="s">
        <v>27</v>
      </c>
      <c r="J16" s="9" t="s">
        <v>30</v>
      </c>
      <c r="M16" s="7" t="s">
        <v>25</v>
      </c>
      <c r="N16" s="8" t="s">
        <v>26</v>
      </c>
      <c r="O16" s="8" t="s">
        <v>27</v>
      </c>
      <c r="P16" s="9" t="s">
        <v>30</v>
      </c>
      <c r="R16" s="7" t="s">
        <v>25</v>
      </c>
      <c r="S16" s="8" t="s">
        <v>26</v>
      </c>
      <c r="T16" s="8" t="s">
        <v>27</v>
      </c>
      <c r="U16" s="9" t="s">
        <v>30</v>
      </c>
    </row>
    <row r="17" spans="2:21" x14ac:dyDescent="0.25">
      <c r="B17" s="7">
        <f>10^-4</f>
        <v>1E-4</v>
      </c>
      <c r="C17" s="8">
        <f>B17/$D$2</f>
        <v>1.0080645161290323</v>
      </c>
      <c r="D17" s="8">
        <f>($E$6*$H$8*$C$2/(B17-$G$2))-($F$2*$I$8/(B17+$B$6*$G$2)*(B17+$B$7*$G$2))</f>
        <v>19196090.157683097</v>
      </c>
      <c r="E17" s="9">
        <f>D17/$B$2</f>
        <v>4.1739704626403773</v>
      </c>
      <c r="G17" s="7">
        <v>1E-4</v>
      </c>
      <c r="H17" s="8">
        <f>G17/$D$2</f>
        <v>1.0080645161290323</v>
      </c>
      <c r="I17" s="8">
        <f>($E$6*$H$9*$C$2/(G17-$G$2))-($F$2*$I$9/(G17+$B$6*$G$2)*(G17+$B$7*$G$2))</f>
        <v>22583635.561290797</v>
      </c>
      <c r="J17" s="9">
        <f>I17/$B$2</f>
        <v>4.9105535032160894</v>
      </c>
      <c r="M17" s="7">
        <f>10^-4</f>
        <v>1E-4</v>
      </c>
      <c r="N17" s="8">
        <f>M17/$D$3</f>
        <v>0.38610038610038611</v>
      </c>
      <c r="O17" s="8">
        <f t="shared" ref="O17:O32" si="0">($E$6*$K$8*$C$3/(M17-$G$3))-($F$3*$L$8/(M17+$B$6*$G$3)*(M17+$B$7*$G$3))</f>
        <v>230955235.75772595</v>
      </c>
      <c r="P17" s="9">
        <f>O17/$B$2</f>
        <v>50.218577029294622</v>
      </c>
      <c r="R17" s="7">
        <f>10^-4</f>
        <v>1E-4</v>
      </c>
      <c r="S17" s="8">
        <f>R17/$D$3</f>
        <v>0.38610038610038611</v>
      </c>
      <c r="T17" s="8">
        <f t="shared" ref="T17:T32" si="1">($E$6*$K$9*$C$3/(R17-$G$3))-($F$3*$L$9/(R17+$B$6*$G$3)*(R17+$B$7*$G$3))</f>
        <v>271712043.21646607</v>
      </c>
      <c r="U17" s="9">
        <f>T17/$B$2</f>
        <v>59.080679107733438</v>
      </c>
    </row>
    <row r="18" spans="2:21" x14ac:dyDescent="0.25">
      <c r="B18" s="7">
        <f>2*10^-4+B17</f>
        <v>3.0000000000000003E-4</v>
      </c>
      <c r="C18" s="8">
        <f t="shared" ref="C18:C32" si="2">B18/$D$2</f>
        <v>3.024193548387097</v>
      </c>
      <c r="D18" s="8">
        <f t="shared" ref="D18:D32" si="3">($E$6*$H$8*$C$2/(B18-$G$2))-($F$2*$I$8/(B18+$B$6*$G$2)*(B18+$B$7*$G$2))</f>
        <v>4984831.0310030077</v>
      </c>
      <c r="E18" s="9">
        <f t="shared" ref="E18:E32" si="4">D18/$B$2</f>
        <v>1.0838945490330523</v>
      </c>
      <c r="G18" s="7">
        <f>0.0002+G17</f>
        <v>3.0000000000000003E-4</v>
      </c>
      <c r="H18" s="8">
        <f t="shared" ref="H18:H32" si="5">G18/$D$2</f>
        <v>3.024193548387097</v>
      </c>
      <c r="I18" s="8">
        <f t="shared" ref="I18:I32" si="6">($E$6*$H$9*$C$2/(G18-$G$2))-($F$2*$I$9/(G18+$B$6*$G$2)*(G18+$B$7*$G$2))</f>
        <v>5864507.1644470785</v>
      </c>
      <c r="J18" s="9">
        <f t="shared" ref="J18:J32" si="7">I18/$B$2</f>
        <v>1.2751700727216957</v>
      </c>
      <c r="M18" s="7">
        <f>2*10^-4+M17</f>
        <v>3.0000000000000003E-4</v>
      </c>
      <c r="N18" s="8">
        <f t="shared" ref="N18:N32" si="8">M18/$D$3</f>
        <v>1.1583011583011584</v>
      </c>
      <c r="O18" s="8">
        <f t="shared" si="0"/>
        <v>18288737.756714988</v>
      </c>
      <c r="P18" s="9">
        <f t="shared" ref="P18:P32" si="9">O18/$B$2</f>
        <v>3.9766770508186537</v>
      </c>
      <c r="R18" s="7">
        <f>2*10^-4+R17</f>
        <v>3.0000000000000003E-4</v>
      </c>
      <c r="S18" s="8">
        <f t="shared" ref="S18:S32" si="10">R18/$D$3</f>
        <v>1.1583011583011584</v>
      </c>
      <c r="T18" s="8">
        <f t="shared" si="1"/>
        <v>21516162.868447568</v>
      </c>
      <c r="U18" s="9">
        <f t="shared" ref="U18:U32" si="11">T18/$B$2</f>
        <v>4.6784437635241503</v>
      </c>
    </row>
    <row r="19" spans="2:21" x14ac:dyDescent="0.25">
      <c r="B19" s="7">
        <f t="shared" ref="B19:B32" si="12">2*10^-4+B18</f>
        <v>5.0000000000000001E-4</v>
      </c>
      <c r="C19" s="8">
        <f t="shared" si="2"/>
        <v>5.040322580645161</v>
      </c>
      <c r="D19" s="8">
        <f t="shared" si="3"/>
        <v>2864317.7292494122</v>
      </c>
      <c r="E19" s="9">
        <f t="shared" si="4"/>
        <v>0.62281316139365339</v>
      </c>
      <c r="G19" s="7">
        <f t="shared" ref="G19:G32" si="13">0.0002+G18</f>
        <v>5.0000000000000001E-4</v>
      </c>
      <c r="H19" s="8">
        <f t="shared" si="5"/>
        <v>5.040322580645161</v>
      </c>
      <c r="I19" s="8">
        <f t="shared" si="6"/>
        <v>3369785.6304694205</v>
      </c>
      <c r="J19" s="9">
        <f t="shared" si="7"/>
        <v>0.73272138083701255</v>
      </c>
      <c r="M19" s="7">
        <f t="shared" ref="M19:M32" si="14">2*10^-4+M18</f>
        <v>5.0000000000000001E-4</v>
      </c>
      <c r="N19" s="8">
        <f t="shared" si="8"/>
        <v>1.9305019305019304</v>
      </c>
      <c r="O19" s="8">
        <f t="shared" si="0"/>
        <v>9521353.3568174299</v>
      </c>
      <c r="P19" s="9">
        <f t="shared" si="9"/>
        <v>2.0703094926761101</v>
      </c>
      <c r="R19" s="7">
        <f t="shared" ref="R19:R32" si="15">2*10^-4+R18</f>
        <v>5.0000000000000001E-4</v>
      </c>
      <c r="S19" s="8">
        <f t="shared" si="10"/>
        <v>1.9305019305019304</v>
      </c>
      <c r="T19" s="8">
        <f t="shared" si="1"/>
        <v>11201592.916849324</v>
      </c>
      <c r="U19" s="9">
        <f t="shared" si="11"/>
        <v>2.4356583859207053</v>
      </c>
    </row>
    <row r="20" spans="2:21" x14ac:dyDescent="0.25">
      <c r="B20" s="7">
        <f t="shared" si="12"/>
        <v>6.9999999999999999E-4</v>
      </c>
      <c r="C20" s="8">
        <f t="shared" si="2"/>
        <v>7.056451612903226</v>
      </c>
      <c r="D20" s="8">
        <f t="shared" si="3"/>
        <v>2009492.9833088168</v>
      </c>
      <c r="E20" s="9">
        <f t="shared" si="4"/>
        <v>0.43694128795582016</v>
      </c>
      <c r="G20" s="7">
        <f t="shared" si="13"/>
        <v>6.9999999999999999E-4</v>
      </c>
      <c r="H20" s="8">
        <f t="shared" si="5"/>
        <v>7.056451612903226</v>
      </c>
      <c r="I20" s="8">
        <f t="shared" si="6"/>
        <v>2364109.4577019559</v>
      </c>
      <c r="J20" s="9">
        <f t="shared" si="7"/>
        <v>0.51404858832397393</v>
      </c>
      <c r="M20" s="7">
        <f t="shared" si="14"/>
        <v>6.9999999999999999E-4</v>
      </c>
      <c r="N20" s="8">
        <f t="shared" si="8"/>
        <v>2.7027027027027026</v>
      </c>
      <c r="O20" s="8">
        <f t="shared" si="0"/>
        <v>6436011.8313361015</v>
      </c>
      <c r="P20" s="9">
        <f t="shared" si="9"/>
        <v>1.399437232297478</v>
      </c>
      <c r="R20" s="7">
        <f t="shared" si="15"/>
        <v>6.9999999999999999E-4</v>
      </c>
      <c r="S20" s="8">
        <f t="shared" si="10"/>
        <v>2.7027027027027026</v>
      </c>
      <c r="T20" s="8">
        <f t="shared" si="1"/>
        <v>7571779.327731315</v>
      </c>
      <c r="U20" s="9">
        <f t="shared" si="11"/>
        <v>1.6463968966582552</v>
      </c>
    </row>
    <row r="21" spans="2:21" x14ac:dyDescent="0.25">
      <c r="B21" s="7">
        <f t="shared" si="12"/>
        <v>8.9999999999999998E-4</v>
      </c>
      <c r="C21" s="8">
        <f t="shared" si="2"/>
        <v>9.07258064516129</v>
      </c>
      <c r="D21" s="8">
        <f t="shared" si="3"/>
        <v>1547621.8828255972</v>
      </c>
      <c r="E21" s="9">
        <f t="shared" si="4"/>
        <v>0.33651269467832079</v>
      </c>
      <c r="G21" s="7">
        <f t="shared" si="13"/>
        <v>8.9999999999999998E-4</v>
      </c>
      <c r="H21" s="8">
        <f t="shared" si="5"/>
        <v>9.07258064516129</v>
      </c>
      <c r="I21" s="8">
        <f t="shared" si="6"/>
        <v>1820731.6918316656</v>
      </c>
      <c r="J21" s="9">
        <f t="shared" si="7"/>
        <v>0.39589730198557632</v>
      </c>
      <c r="M21" s="7">
        <f t="shared" si="14"/>
        <v>8.9999999999999998E-4</v>
      </c>
      <c r="N21" s="8">
        <f t="shared" si="8"/>
        <v>3.4749034749034746</v>
      </c>
      <c r="O21" s="8">
        <f t="shared" si="0"/>
        <v>4860872.7476728652</v>
      </c>
      <c r="P21" s="9">
        <f t="shared" si="9"/>
        <v>1.0569412367194748</v>
      </c>
      <c r="R21" s="7">
        <f t="shared" si="15"/>
        <v>8.9999999999999998E-4</v>
      </c>
      <c r="S21" s="8">
        <f t="shared" si="10"/>
        <v>3.4749034749034746</v>
      </c>
      <c r="T21" s="8">
        <f t="shared" si="1"/>
        <v>5718674.5069059525</v>
      </c>
      <c r="U21" s="9">
        <f t="shared" si="11"/>
        <v>1.2434604276812247</v>
      </c>
    </row>
    <row r="22" spans="2:21" x14ac:dyDescent="0.25">
      <c r="B22" s="7">
        <f t="shared" si="12"/>
        <v>1.1000000000000001E-3</v>
      </c>
      <c r="C22" s="8">
        <f t="shared" si="2"/>
        <v>11.088709677419356</v>
      </c>
      <c r="D22" s="8">
        <f t="shared" si="3"/>
        <v>1258388.147372541</v>
      </c>
      <c r="E22" s="9">
        <f t="shared" si="4"/>
        <v>0.27362212380355316</v>
      </c>
      <c r="G22" s="7">
        <f t="shared" si="13"/>
        <v>1.1000000000000001E-3</v>
      </c>
      <c r="H22" s="8">
        <f t="shared" si="5"/>
        <v>11.088709677419356</v>
      </c>
      <c r="I22" s="8">
        <f t="shared" si="6"/>
        <v>1480456.7085664985</v>
      </c>
      <c r="J22" s="9">
        <f t="shared" si="7"/>
        <v>0.32190839499162827</v>
      </c>
      <c r="M22" s="7">
        <f t="shared" si="14"/>
        <v>1.1000000000000001E-3</v>
      </c>
      <c r="N22" s="8">
        <f t="shared" si="8"/>
        <v>4.2471042471042475</v>
      </c>
      <c r="O22" s="8">
        <f t="shared" si="0"/>
        <v>3905135.9173609386</v>
      </c>
      <c r="P22" s="9">
        <f t="shared" si="9"/>
        <v>0.84912718359663808</v>
      </c>
      <c r="R22" s="7">
        <f t="shared" si="15"/>
        <v>1.1000000000000001E-3</v>
      </c>
      <c r="S22" s="8">
        <f t="shared" si="10"/>
        <v>4.2471042471042475</v>
      </c>
      <c r="T22" s="8">
        <f t="shared" si="1"/>
        <v>4594278.2254407713</v>
      </c>
      <c r="U22" s="9">
        <f t="shared" si="11"/>
        <v>0.99897330407496654</v>
      </c>
    </row>
    <row r="23" spans="2:21" x14ac:dyDescent="0.25">
      <c r="B23" s="7">
        <f t="shared" si="12"/>
        <v>1.3000000000000002E-3</v>
      </c>
      <c r="C23" s="8">
        <f t="shared" si="2"/>
        <v>13.104838709677422</v>
      </c>
      <c r="D23" s="8">
        <f t="shared" si="3"/>
        <v>1060240.6589003459</v>
      </c>
      <c r="E23" s="9">
        <f t="shared" si="4"/>
        <v>0.23053721654715068</v>
      </c>
      <c r="G23" s="7">
        <f t="shared" si="13"/>
        <v>1.3000000000000002E-3</v>
      </c>
      <c r="H23" s="8">
        <f t="shared" si="5"/>
        <v>13.104838709677422</v>
      </c>
      <c r="I23" s="8">
        <f t="shared" si="6"/>
        <v>1247342.0159837336</v>
      </c>
      <c r="J23" s="9">
        <f t="shared" si="7"/>
        <v>0.27122026875054001</v>
      </c>
      <c r="M23" s="7">
        <f t="shared" si="14"/>
        <v>1.3000000000000002E-3</v>
      </c>
      <c r="N23" s="8">
        <f t="shared" si="8"/>
        <v>5.0193050193050199</v>
      </c>
      <c r="O23" s="8">
        <f t="shared" si="0"/>
        <v>3263476.3988242103</v>
      </c>
      <c r="P23" s="9">
        <f t="shared" si="9"/>
        <v>0.70960565314725166</v>
      </c>
      <c r="R23" s="7">
        <f t="shared" si="15"/>
        <v>1.3000000000000002E-3</v>
      </c>
      <c r="S23" s="8">
        <f t="shared" si="10"/>
        <v>5.0193050193050199</v>
      </c>
      <c r="T23" s="8">
        <f t="shared" si="1"/>
        <v>3839384.6669449564</v>
      </c>
      <c r="U23" s="9">
        <f t="shared" si="11"/>
        <v>0.83483032549357605</v>
      </c>
    </row>
    <row r="24" spans="2:21" x14ac:dyDescent="0.25">
      <c r="B24" s="7">
        <f t="shared" si="12"/>
        <v>1.5000000000000002E-3</v>
      </c>
      <c r="C24" s="8">
        <f t="shared" si="2"/>
        <v>15.120967741935486</v>
      </c>
      <c r="D24" s="8">
        <f t="shared" si="3"/>
        <v>916005.23331863969</v>
      </c>
      <c r="E24" s="9">
        <f t="shared" si="4"/>
        <v>0.19917487134564898</v>
      </c>
      <c r="G24" s="7">
        <f t="shared" si="13"/>
        <v>1.5000000000000002E-3</v>
      </c>
      <c r="H24" s="8">
        <f t="shared" si="5"/>
        <v>15.120967741935486</v>
      </c>
      <c r="I24" s="8">
        <f t="shared" si="6"/>
        <v>1077653.2798127295</v>
      </c>
      <c r="J24" s="9">
        <f t="shared" si="7"/>
        <v>0.23432339200102836</v>
      </c>
      <c r="M24" s="7">
        <f t="shared" si="14"/>
        <v>1.5000000000000002E-3</v>
      </c>
      <c r="N24" s="8">
        <f t="shared" si="8"/>
        <v>5.7915057915057924</v>
      </c>
      <c r="O24" s="8">
        <f t="shared" si="0"/>
        <v>2802923.2212998467</v>
      </c>
      <c r="P24" s="9">
        <f t="shared" si="9"/>
        <v>0.60946362715804447</v>
      </c>
      <c r="R24" s="7">
        <f t="shared" si="15"/>
        <v>1.5000000000000002E-3</v>
      </c>
      <c r="S24" s="8">
        <f t="shared" si="10"/>
        <v>5.7915057915057924</v>
      </c>
      <c r="T24" s="8">
        <f t="shared" si="1"/>
        <v>3297557.3939334019</v>
      </c>
      <c r="U24" s="9">
        <f t="shared" si="11"/>
        <v>0.71701617611076363</v>
      </c>
    </row>
    <row r="25" spans="2:21" x14ac:dyDescent="0.25">
      <c r="B25" s="7">
        <f t="shared" si="12"/>
        <v>1.7000000000000003E-3</v>
      </c>
      <c r="C25" s="8">
        <f t="shared" si="2"/>
        <v>17.137096774193552</v>
      </c>
      <c r="D25" s="8">
        <f t="shared" si="3"/>
        <v>806314.04470780119</v>
      </c>
      <c r="E25" s="9">
        <f t="shared" si="4"/>
        <v>0.17532377575729532</v>
      </c>
      <c r="G25" s="7">
        <f t="shared" si="13"/>
        <v>1.7000000000000003E-3</v>
      </c>
      <c r="H25" s="8">
        <f t="shared" si="5"/>
        <v>17.137096774193552</v>
      </c>
      <c r="I25" s="8">
        <f t="shared" si="6"/>
        <v>948604.82247628167</v>
      </c>
      <c r="J25" s="9">
        <f t="shared" si="7"/>
        <v>0.20626327951212908</v>
      </c>
      <c r="M25" s="7">
        <f t="shared" si="14"/>
        <v>1.7000000000000003E-3</v>
      </c>
      <c r="N25" s="8">
        <f t="shared" si="8"/>
        <v>6.5637065637065648</v>
      </c>
      <c r="O25" s="8">
        <f t="shared" si="0"/>
        <v>2456283.8041838063</v>
      </c>
      <c r="P25" s="9">
        <f t="shared" si="9"/>
        <v>0.53409084674577223</v>
      </c>
      <c r="R25" s="7">
        <f t="shared" si="15"/>
        <v>1.7000000000000003E-3</v>
      </c>
      <c r="S25" s="8">
        <f t="shared" si="10"/>
        <v>6.5637065637065648</v>
      </c>
      <c r="T25" s="8">
        <f t="shared" si="1"/>
        <v>2889746.3108930117</v>
      </c>
      <c r="U25" s="9">
        <f t="shared" si="11"/>
        <v>0.62834231591498402</v>
      </c>
    </row>
    <row r="26" spans="2:21" x14ac:dyDescent="0.25">
      <c r="B26" s="7">
        <f t="shared" si="12"/>
        <v>1.9000000000000004E-3</v>
      </c>
      <c r="C26" s="8">
        <f t="shared" si="2"/>
        <v>19.153225806451619</v>
      </c>
      <c r="D26" s="8">
        <f t="shared" si="3"/>
        <v>720084.28902802209</v>
      </c>
      <c r="E26" s="9">
        <f t="shared" si="4"/>
        <v>0.15657410068015265</v>
      </c>
      <c r="G26" s="7">
        <f t="shared" si="13"/>
        <v>1.9000000000000004E-3</v>
      </c>
      <c r="H26" s="8">
        <f t="shared" si="5"/>
        <v>19.153225806451619</v>
      </c>
      <c r="I26" s="8">
        <f t="shared" si="6"/>
        <v>847158.0509720752</v>
      </c>
      <c r="J26" s="9">
        <f t="shared" si="7"/>
        <v>0.18420483821962932</v>
      </c>
      <c r="M26" s="7">
        <f t="shared" si="14"/>
        <v>1.9000000000000004E-3</v>
      </c>
      <c r="N26" s="8">
        <f t="shared" si="8"/>
        <v>7.3359073359073372</v>
      </c>
      <c r="O26" s="8">
        <f t="shared" si="0"/>
        <v>2185946.2848206661</v>
      </c>
      <c r="P26" s="9">
        <f t="shared" si="9"/>
        <v>0.47530904214408914</v>
      </c>
      <c r="R26" s="7">
        <f t="shared" si="15"/>
        <v>1.9000000000000004E-3</v>
      </c>
      <c r="S26" s="8">
        <f t="shared" si="10"/>
        <v>7.3359073359073372</v>
      </c>
      <c r="T26" s="8">
        <f t="shared" si="1"/>
        <v>2571702.1672444646</v>
      </c>
      <c r="U26" s="9">
        <f t="shared" si="11"/>
        <v>0.55918725097726996</v>
      </c>
    </row>
    <row r="27" spans="2:21" x14ac:dyDescent="0.25">
      <c r="B27" s="7">
        <f t="shared" si="12"/>
        <v>2.1000000000000003E-3</v>
      </c>
      <c r="C27" s="8">
        <f t="shared" si="2"/>
        <v>21.16935483870968</v>
      </c>
      <c r="D27" s="8">
        <f t="shared" si="3"/>
        <v>650516.05441621854</v>
      </c>
      <c r="E27" s="9">
        <f t="shared" si="4"/>
        <v>0.14144728297808623</v>
      </c>
      <c r="G27" s="7">
        <f t="shared" si="13"/>
        <v>2.1000000000000003E-3</v>
      </c>
      <c r="H27" s="8">
        <f t="shared" si="5"/>
        <v>21.16935483870968</v>
      </c>
      <c r="I27" s="8">
        <f t="shared" si="6"/>
        <v>765313.06898174423</v>
      </c>
      <c r="J27" s="9">
        <f t="shared" si="7"/>
        <v>0.16640858207909204</v>
      </c>
      <c r="M27" s="7">
        <f t="shared" si="14"/>
        <v>2.1000000000000003E-3</v>
      </c>
      <c r="N27" s="8">
        <f t="shared" si="8"/>
        <v>8.1081081081081088</v>
      </c>
      <c r="O27" s="8">
        <f t="shared" si="0"/>
        <v>1969215.2680750263</v>
      </c>
      <c r="P27" s="9">
        <f t="shared" si="9"/>
        <v>0.42818335900739862</v>
      </c>
      <c r="R27" s="7">
        <f t="shared" si="15"/>
        <v>2.1000000000000003E-3</v>
      </c>
      <c r="S27" s="8">
        <f t="shared" si="10"/>
        <v>8.1081081081081088</v>
      </c>
      <c r="T27" s="8">
        <f t="shared" si="1"/>
        <v>2316724.4978771508</v>
      </c>
      <c r="U27" s="9">
        <f t="shared" si="11"/>
        <v>0.50374527024943483</v>
      </c>
    </row>
    <row r="28" spans="2:21" x14ac:dyDescent="0.25">
      <c r="B28" s="7">
        <f t="shared" si="12"/>
        <v>2.3000000000000004E-3</v>
      </c>
      <c r="C28" s="8">
        <f t="shared" si="2"/>
        <v>23.185483870967747</v>
      </c>
      <c r="D28" s="8">
        <f t="shared" si="3"/>
        <v>593205.71192533476</v>
      </c>
      <c r="E28" s="9">
        <f t="shared" si="4"/>
        <v>0.12898580385417152</v>
      </c>
      <c r="G28" s="7">
        <f t="shared" si="13"/>
        <v>2.3000000000000004E-3</v>
      </c>
      <c r="H28" s="8">
        <f t="shared" si="5"/>
        <v>23.185483870967747</v>
      </c>
      <c r="I28" s="8">
        <f t="shared" si="6"/>
        <v>697889.13656179979</v>
      </c>
      <c r="J28" s="9">
        <f t="shared" si="7"/>
        <v>0.15174801838699714</v>
      </c>
      <c r="M28" s="7">
        <f t="shared" si="14"/>
        <v>2.3000000000000004E-3</v>
      </c>
      <c r="N28" s="8">
        <f t="shared" si="8"/>
        <v>8.8803088803088812</v>
      </c>
      <c r="O28" s="8">
        <f t="shared" si="0"/>
        <v>1791584.209879085</v>
      </c>
      <c r="P28" s="9">
        <f t="shared" si="9"/>
        <v>0.38955951508568926</v>
      </c>
      <c r="R28" s="7">
        <f t="shared" si="15"/>
        <v>2.3000000000000004E-3</v>
      </c>
      <c r="S28" s="8">
        <f t="shared" si="10"/>
        <v>8.8803088803088812</v>
      </c>
      <c r="T28" s="8">
        <f t="shared" si="1"/>
        <v>2107746.7801982961</v>
      </c>
      <c r="U28" s="9">
        <f t="shared" si="11"/>
        <v>0.45830545340254319</v>
      </c>
    </row>
    <row r="29" spans="2:21" x14ac:dyDescent="0.25">
      <c r="B29" s="7">
        <f t="shared" si="12"/>
        <v>2.5000000000000005E-3</v>
      </c>
      <c r="C29" s="8">
        <f t="shared" si="2"/>
        <v>25.201612903225811</v>
      </c>
      <c r="D29" s="8">
        <f t="shared" si="3"/>
        <v>545175.82069336786</v>
      </c>
      <c r="E29" s="9">
        <f t="shared" si="4"/>
        <v>0.11854225281438745</v>
      </c>
      <c r="G29" s="7">
        <f t="shared" si="13"/>
        <v>2.5000000000000005E-3</v>
      </c>
      <c r="H29" s="8">
        <f t="shared" si="5"/>
        <v>25.201612903225811</v>
      </c>
      <c r="I29" s="8">
        <f t="shared" si="6"/>
        <v>641383.38210595923</v>
      </c>
      <c r="J29" s="9">
        <f t="shared" si="7"/>
        <v>0.13946148773776021</v>
      </c>
      <c r="M29" s="7">
        <f t="shared" si="14"/>
        <v>2.5000000000000005E-3</v>
      </c>
      <c r="N29" s="8">
        <f t="shared" si="8"/>
        <v>9.6525096525096536</v>
      </c>
      <c r="O29" s="8">
        <f t="shared" si="0"/>
        <v>1643347.6740090174</v>
      </c>
      <c r="P29" s="9">
        <f t="shared" si="9"/>
        <v>0.35732717417025817</v>
      </c>
      <c r="R29" s="7">
        <f t="shared" si="15"/>
        <v>2.5000000000000005E-3</v>
      </c>
      <c r="S29" s="8">
        <f t="shared" si="10"/>
        <v>9.6525096525096536</v>
      </c>
      <c r="T29" s="8">
        <f t="shared" si="1"/>
        <v>1933350.8538357322</v>
      </c>
      <c r="U29" s="9">
        <f t="shared" si="11"/>
        <v>0.42038505193210096</v>
      </c>
    </row>
    <row r="30" spans="2:21" x14ac:dyDescent="0.25">
      <c r="B30" s="7">
        <f t="shared" si="12"/>
        <v>2.7000000000000006E-3</v>
      </c>
      <c r="C30" s="8">
        <f t="shared" si="2"/>
        <v>27.217741935483875</v>
      </c>
      <c r="D30" s="8">
        <f t="shared" si="3"/>
        <v>504341.00576293835</v>
      </c>
      <c r="E30" s="9">
        <f t="shared" si="4"/>
        <v>0.10966318890257411</v>
      </c>
      <c r="G30" s="7">
        <f t="shared" si="13"/>
        <v>2.7000000000000006E-3</v>
      </c>
      <c r="H30" s="8">
        <f t="shared" si="5"/>
        <v>27.217741935483875</v>
      </c>
      <c r="I30" s="8">
        <f t="shared" si="6"/>
        <v>593342.42330865865</v>
      </c>
      <c r="J30" s="9">
        <f t="shared" si="7"/>
        <v>0.12901553018235673</v>
      </c>
      <c r="M30" s="7">
        <f t="shared" si="14"/>
        <v>2.7000000000000006E-3</v>
      </c>
      <c r="N30" s="8">
        <f t="shared" si="8"/>
        <v>10.424710424710426</v>
      </c>
      <c r="O30" s="8">
        <f t="shared" si="0"/>
        <v>1517766.8873168067</v>
      </c>
      <c r="P30" s="9">
        <f t="shared" si="9"/>
        <v>0.33002106703996664</v>
      </c>
      <c r="R30" s="7">
        <f t="shared" si="15"/>
        <v>2.7000000000000006E-3</v>
      </c>
      <c r="S30" s="8">
        <f t="shared" si="10"/>
        <v>10.424710424710426</v>
      </c>
      <c r="T30" s="8">
        <f t="shared" si="1"/>
        <v>1785608.7503034333</v>
      </c>
      <c r="U30" s="9">
        <f t="shared" si="11"/>
        <v>0.38826021967893742</v>
      </c>
    </row>
    <row r="31" spans="2:21" x14ac:dyDescent="0.25">
      <c r="B31" s="7">
        <f t="shared" si="12"/>
        <v>2.9000000000000007E-3</v>
      </c>
      <c r="C31" s="8">
        <f t="shared" si="2"/>
        <v>29.233870967741943</v>
      </c>
      <c r="D31" s="8">
        <f t="shared" si="3"/>
        <v>469197.15032238589</v>
      </c>
      <c r="E31" s="9">
        <f t="shared" si="4"/>
        <v>0.10202155910467187</v>
      </c>
      <c r="G31" s="7">
        <f t="shared" si="13"/>
        <v>2.9000000000000007E-3</v>
      </c>
      <c r="H31" s="8">
        <f t="shared" si="5"/>
        <v>29.233870967741943</v>
      </c>
      <c r="I31" s="8">
        <f t="shared" si="6"/>
        <v>551996.71097770857</v>
      </c>
      <c r="J31" s="9">
        <f t="shared" si="7"/>
        <v>0.12002537746851676</v>
      </c>
      <c r="M31" s="7">
        <f t="shared" si="14"/>
        <v>2.9000000000000007E-3</v>
      </c>
      <c r="N31" s="8">
        <f t="shared" si="8"/>
        <v>11.196911196911199</v>
      </c>
      <c r="O31" s="8">
        <f t="shared" si="0"/>
        <v>1410016.6857575763</v>
      </c>
      <c r="P31" s="9">
        <f t="shared" si="9"/>
        <v>0.30659201690749649</v>
      </c>
      <c r="R31" s="7">
        <f t="shared" si="15"/>
        <v>2.9000000000000007E-3</v>
      </c>
      <c r="S31" s="8">
        <f t="shared" si="10"/>
        <v>11.196911196911199</v>
      </c>
      <c r="T31" s="8">
        <f t="shared" si="1"/>
        <v>1658843.8059637267</v>
      </c>
      <c r="U31" s="9">
        <f t="shared" si="11"/>
        <v>0.36069663099885341</v>
      </c>
    </row>
    <row r="32" spans="2:21" ht="15.75" thickBot="1" x14ac:dyDescent="0.3">
      <c r="B32" s="7">
        <f t="shared" si="12"/>
        <v>3.1000000000000008E-3</v>
      </c>
      <c r="C32" s="10">
        <f t="shared" si="2"/>
        <v>31.250000000000007</v>
      </c>
      <c r="D32" s="10">
        <f t="shared" si="3"/>
        <v>438632.07025678729</v>
      </c>
      <c r="E32" s="11">
        <f t="shared" si="4"/>
        <v>9.5375531693147927E-2</v>
      </c>
      <c r="G32" s="7">
        <f t="shared" si="13"/>
        <v>3.1000000000000008E-3</v>
      </c>
      <c r="H32" s="10">
        <f t="shared" si="5"/>
        <v>31.250000000000007</v>
      </c>
      <c r="I32" s="10">
        <f t="shared" si="6"/>
        <v>516037.7932117146</v>
      </c>
      <c r="J32" s="11">
        <f t="shared" si="7"/>
        <v>0.112206521681173</v>
      </c>
      <c r="M32" s="7">
        <f t="shared" si="14"/>
        <v>3.1000000000000008E-3</v>
      </c>
      <c r="N32" s="10">
        <f t="shared" si="8"/>
        <v>11.969111969111971</v>
      </c>
      <c r="O32" s="10">
        <f t="shared" si="0"/>
        <v>1316551.2808452167</v>
      </c>
      <c r="P32" s="11">
        <f t="shared" si="9"/>
        <v>0.28626903258213016</v>
      </c>
      <c r="R32" s="7">
        <f t="shared" si="15"/>
        <v>3.1000000000000008E-3</v>
      </c>
      <c r="S32" s="10">
        <f t="shared" si="10"/>
        <v>11.969111969111971</v>
      </c>
      <c r="T32" s="10">
        <f t="shared" si="1"/>
        <v>1548884.50490945</v>
      </c>
      <c r="U32" s="11">
        <f t="shared" si="11"/>
        <v>0.3367872374232333</v>
      </c>
    </row>
    <row r="34" spans="1:21" ht="15.75" thickBot="1" x14ac:dyDescent="0.3">
      <c r="A34" s="12" t="s">
        <v>1</v>
      </c>
      <c r="L34" s="13" t="s">
        <v>2</v>
      </c>
    </row>
    <row r="35" spans="1:21" x14ac:dyDescent="0.25">
      <c r="B35" s="4"/>
      <c r="C35" s="5" t="s">
        <v>33</v>
      </c>
      <c r="D35" s="5"/>
      <c r="E35" s="6"/>
      <c r="G35" s="4"/>
      <c r="H35" s="5"/>
      <c r="I35" s="5" t="s">
        <v>34</v>
      </c>
      <c r="J35" s="6"/>
      <c r="M35" s="4"/>
      <c r="N35" s="5" t="s">
        <v>33</v>
      </c>
      <c r="O35" s="5"/>
      <c r="P35" s="6"/>
      <c r="R35" s="4"/>
      <c r="S35" s="5"/>
      <c r="T35" s="5" t="s">
        <v>34</v>
      </c>
      <c r="U35" s="6"/>
    </row>
    <row r="36" spans="1:21" ht="17.25" x14ac:dyDescent="0.25">
      <c r="B36" s="7" t="s">
        <v>25</v>
      </c>
      <c r="C36" s="8" t="s">
        <v>26</v>
      </c>
      <c r="D36" s="8" t="s">
        <v>27</v>
      </c>
      <c r="E36" s="9" t="s">
        <v>30</v>
      </c>
      <c r="G36" s="7" t="s">
        <v>25</v>
      </c>
      <c r="H36" s="8" t="s">
        <v>26</v>
      </c>
      <c r="I36" s="8" t="s">
        <v>27</v>
      </c>
      <c r="J36" s="9" t="s">
        <v>30</v>
      </c>
      <c r="M36" s="7" t="s">
        <v>25</v>
      </c>
      <c r="N36" s="8" t="s">
        <v>26</v>
      </c>
      <c r="O36" s="8" t="s">
        <v>27</v>
      </c>
      <c r="P36" s="9" t="s">
        <v>30</v>
      </c>
      <c r="R36" s="7" t="s">
        <v>25</v>
      </c>
      <c r="S36" s="8" t="s">
        <v>26</v>
      </c>
      <c r="T36" s="8" t="s">
        <v>27</v>
      </c>
      <c r="U36" s="9" t="s">
        <v>30</v>
      </c>
    </row>
    <row r="37" spans="1:21" x14ac:dyDescent="0.25">
      <c r="B37" s="7">
        <f>10^-4</f>
        <v>1E-4</v>
      </c>
      <c r="C37" s="8">
        <f>B37/$D$2</f>
        <v>1.0080645161290323</v>
      </c>
      <c r="D37" s="8">
        <f>($E$6*$H$12*$C$2/(B37-$I$2))-($H$2*$I$12/(B37+$C$6*$I$2)*(B37+$C$7*$I$2))</f>
        <v>18397122.502746202</v>
      </c>
      <c r="E37" s="9">
        <f>D37/$B$2</f>
        <v>4.0002440753959991</v>
      </c>
      <c r="G37" s="7">
        <f>10^-4</f>
        <v>1E-4</v>
      </c>
      <c r="H37" s="8">
        <f>G37/$D$2</f>
        <v>1.0080645161290323</v>
      </c>
      <c r="I37" s="8">
        <f>($E$6*$H$13*$C$2/(G37-$I$2))-($H$2*$I$13/(G37+$C$6*$I$2)*(G37+$C$7*$I$2))</f>
        <v>21643673.668359805</v>
      </c>
      <c r="J37" s="9">
        <f>I37/$B$2</f>
        <v>4.7061695299760391</v>
      </c>
      <c r="M37" s="7">
        <f>10^-4</f>
        <v>1E-4</v>
      </c>
      <c r="N37" s="8">
        <f>M37/$D$3</f>
        <v>0.38610038610038611</v>
      </c>
      <c r="O37" s="8">
        <f>($E$6*K12*$C$3/(M37-$I$3))-($H$3*$L$12/(M37+$C$6*$I$3)*(M37+$C$7*$I$3))</f>
        <v>154856403.87856376</v>
      </c>
      <c r="P37" s="9">
        <f>O37/$B$2</f>
        <v>33.671755572638347</v>
      </c>
      <c r="R37" s="7">
        <f>10^-4</f>
        <v>1E-4</v>
      </c>
      <c r="S37" s="8">
        <f>R37/$D$3</f>
        <v>0.38610038610038611</v>
      </c>
      <c r="T37" s="8">
        <f>($E$6*$K$13*$C$3/(R37-$I$3))-($H$3*$L$13/(R37+$C$6*$I$3)*(R37+$C$7*$I$3))</f>
        <v>182184006.61512527</v>
      </c>
      <c r="U37" s="9">
        <f>T37/$B$2</f>
        <v>39.613830531664554</v>
      </c>
    </row>
    <row r="38" spans="1:21" x14ac:dyDescent="0.25">
      <c r="B38" s="7">
        <f>2*10^-4+B37</f>
        <v>3.0000000000000003E-4</v>
      </c>
      <c r="C38" s="8">
        <f t="shared" ref="C38:C52" si="16">B38/$D$2</f>
        <v>3.024193548387097</v>
      </c>
      <c r="D38" s="8">
        <f t="shared" ref="D38:D52" si="17">($E$6*$H$12*$C$2/(B38-$I$2))-($H$2*$I$12/(B38+$C$6*$I$2)*(B38+$C$7*$I$2))</f>
        <v>4929240.9273023922</v>
      </c>
      <c r="E38" s="9">
        <f t="shared" ref="E38:E52" si="18">D38/$B$2</f>
        <v>1.0718071161779501</v>
      </c>
      <c r="G38" s="7">
        <f>2*10^-4+G37</f>
        <v>3.0000000000000003E-4</v>
      </c>
      <c r="H38" s="8">
        <f t="shared" ref="H38:H52" si="19">G38/$D$2</f>
        <v>3.024193548387097</v>
      </c>
      <c r="I38" s="8">
        <f t="shared" ref="I38:I52" si="20">($E$6*$H$13*$C$2/(G38-$I$2))-($H$2*$I$13/(G38+$C$6*$I$2)*(G38+$C$7*$I$2))</f>
        <v>5799107.0657724161</v>
      </c>
      <c r="J38" s="9">
        <f t="shared" ref="J38:J52" si="21">I38/$B$2</f>
        <v>1.2609495685523844</v>
      </c>
      <c r="M38" s="7">
        <f>2*10^-4+M37</f>
        <v>3.0000000000000003E-4</v>
      </c>
      <c r="N38" s="8">
        <f t="shared" ref="N38:N52" si="22">M38/$D$3</f>
        <v>1.1583011583011584</v>
      </c>
      <c r="O38" s="8">
        <f t="shared" ref="O38:O52" si="23">($E$6*K13*$C$3/(M38-$I$3))-($H$3*$L$12/(M38+$C$6*$I$3)*(M38+$C$7*$I$3))</f>
        <v>20710244.915152565</v>
      </c>
      <c r="P38" s="9">
        <f t="shared" ref="P38:P52" si="24">O38/$B$2</f>
        <v>4.5032061133186705</v>
      </c>
      <c r="R38" s="7">
        <f>2*10^-4+R37</f>
        <v>3.0000000000000003E-4</v>
      </c>
      <c r="S38" s="8">
        <f t="shared" ref="S38:S52" si="25">R38/$D$3</f>
        <v>1.1583011583011584</v>
      </c>
      <c r="T38" s="8">
        <f t="shared" ref="T38:T52" si="26">($E$6*$K$13*$C$3/(R38-$I$3))-($H$3*$L$13/(R38+$C$6*$I$3)*(R38+$C$7*$I$3))</f>
        <v>20710245.13882944</v>
      </c>
      <c r="U38" s="9">
        <f t="shared" ref="U38:U52" si="27">T38/$B$2</f>
        <v>4.5032061619546511</v>
      </c>
    </row>
    <row r="39" spans="1:21" x14ac:dyDescent="0.25">
      <c r="B39" s="7">
        <f t="shared" ref="B39:B52" si="28">2*10^-4+B38</f>
        <v>5.0000000000000001E-4</v>
      </c>
      <c r="C39" s="8">
        <f t="shared" si="16"/>
        <v>5.040322580645161</v>
      </c>
      <c r="D39" s="8">
        <f t="shared" si="17"/>
        <v>2845875.8653921685</v>
      </c>
      <c r="E39" s="9">
        <f t="shared" si="18"/>
        <v>0.6188031888219544</v>
      </c>
      <c r="G39" s="7">
        <f t="shared" ref="G39:G52" si="29">2*10^-4+G38</f>
        <v>5.0000000000000001E-4</v>
      </c>
      <c r="H39" s="8">
        <f t="shared" si="19"/>
        <v>5.040322580645161</v>
      </c>
      <c r="I39" s="8">
        <f t="shared" si="20"/>
        <v>3348089.3380151661</v>
      </c>
      <c r="J39" s="9">
        <f t="shared" si="21"/>
        <v>0.72800376995328686</v>
      </c>
      <c r="M39" s="7">
        <f t="shared" ref="M39:M52" si="30">2*10^-4+M38</f>
        <v>5.0000000000000001E-4</v>
      </c>
      <c r="N39" s="8">
        <f t="shared" si="22"/>
        <v>1.9305019305019304</v>
      </c>
      <c r="O39" s="8">
        <f t="shared" si="23"/>
        <v>-3.1392027994610632</v>
      </c>
      <c r="P39" s="9">
        <f t="shared" si="24"/>
        <v>-6.8258377896522354E-7</v>
      </c>
      <c r="R39" s="7">
        <f t="shared" ref="R39:R52" si="31">2*10^-4+R38</f>
        <v>5.0000000000000001E-4</v>
      </c>
      <c r="S39" s="8">
        <f t="shared" si="25"/>
        <v>1.9305019305019304</v>
      </c>
      <c r="T39" s="8">
        <f t="shared" si="26"/>
        <v>10979164.342227953</v>
      </c>
      <c r="U39" s="9">
        <f t="shared" si="27"/>
        <v>2.3872938339264955</v>
      </c>
    </row>
    <row r="40" spans="1:21" x14ac:dyDescent="0.25">
      <c r="B40" s="7">
        <f t="shared" si="28"/>
        <v>6.9999999999999999E-4</v>
      </c>
      <c r="C40" s="8">
        <f t="shared" si="16"/>
        <v>7.056451612903226</v>
      </c>
      <c r="D40" s="8">
        <f t="shared" si="17"/>
        <v>2000398.6351962707</v>
      </c>
      <c r="E40" s="9">
        <f t="shared" si="18"/>
        <v>0.43496382587437937</v>
      </c>
      <c r="G40" s="7">
        <f t="shared" si="29"/>
        <v>6.9999999999999999E-4</v>
      </c>
      <c r="H40" s="8">
        <f t="shared" si="19"/>
        <v>7.056451612903226</v>
      </c>
      <c r="I40" s="8">
        <f t="shared" si="20"/>
        <v>2353410.2403696515</v>
      </c>
      <c r="J40" s="9">
        <f t="shared" si="21"/>
        <v>0.51172216576856955</v>
      </c>
      <c r="M40" s="7">
        <f t="shared" si="30"/>
        <v>6.9999999999999999E-4</v>
      </c>
      <c r="N40" s="8">
        <f t="shared" si="22"/>
        <v>2.7027027027027026</v>
      </c>
      <c r="O40" s="8">
        <f t="shared" si="23"/>
        <v>-2.848852080751187</v>
      </c>
      <c r="P40" s="9">
        <f t="shared" si="24"/>
        <v>-6.1945033284435462E-7</v>
      </c>
      <c r="R40" s="7">
        <f t="shared" si="31"/>
        <v>6.9999999999999999E-4</v>
      </c>
      <c r="S40" s="8">
        <f t="shared" si="25"/>
        <v>2.7027027027027026</v>
      </c>
      <c r="T40" s="8">
        <f t="shared" si="26"/>
        <v>7469489.7543104533</v>
      </c>
      <c r="U40" s="9">
        <f t="shared" si="27"/>
        <v>1.6241551977191679</v>
      </c>
    </row>
    <row r="41" spans="1:21" x14ac:dyDescent="0.25">
      <c r="B41" s="7">
        <f t="shared" si="28"/>
        <v>8.9999999999999998E-4</v>
      </c>
      <c r="C41" s="8">
        <f t="shared" si="16"/>
        <v>9.07258064516129</v>
      </c>
      <c r="D41" s="8">
        <f t="shared" si="17"/>
        <v>1542222.0371160272</v>
      </c>
      <c r="E41" s="9">
        <f t="shared" si="18"/>
        <v>0.3353385599295558</v>
      </c>
      <c r="G41" s="7">
        <f t="shared" si="29"/>
        <v>8.9999999999999998E-4</v>
      </c>
      <c r="H41" s="8">
        <f t="shared" si="19"/>
        <v>9.07258064516129</v>
      </c>
      <c r="I41" s="8">
        <f t="shared" si="20"/>
        <v>1814378.9466969548</v>
      </c>
      <c r="J41" s="9">
        <f t="shared" si="21"/>
        <v>0.39451597014502171</v>
      </c>
      <c r="M41" s="7">
        <f t="shared" si="30"/>
        <v>8.9999999999999998E-4</v>
      </c>
      <c r="N41" s="8">
        <f t="shared" si="22"/>
        <v>3.4749034749034746</v>
      </c>
      <c r="O41" s="8">
        <f t="shared" si="23"/>
        <v>-2.6921182190752266</v>
      </c>
      <c r="P41" s="9">
        <f t="shared" si="24"/>
        <v>-5.853703455262506E-7</v>
      </c>
      <c r="R41" s="7">
        <f t="shared" si="31"/>
        <v>8.9999999999999998E-4</v>
      </c>
      <c r="S41" s="8">
        <f t="shared" si="25"/>
        <v>3.4749034749034746</v>
      </c>
      <c r="T41" s="8">
        <f t="shared" si="26"/>
        <v>5660132.7741476484</v>
      </c>
      <c r="U41" s="9">
        <f t="shared" si="27"/>
        <v>1.2307311968140136</v>
      </c>
    </row>
    <row r="42" spans="1:21" x14ac:dyDescent="0.25">
      <c r="B42" s="7">
        <f t="shared" si="28"/>
        <v>1.1000000000000001E-3</v>
      </c>
      <c r="C42" s="8">
        <f t="shared" si="16"/>
        <v>11.088709677419356</v>
      </c>
      <c r="D42" s="8">
        <f t="shared" si="17"/>
        <v>1254815.703665483</v>
      </c>
      <c r="E42" s="9">
        <f t="shared" si="18"/>
        <v>0.27284533673961364</v>
      </c>
      <c r="G42" s="7">
        <f t="shared" si="29"/>
        <v>1.1000000000000001E-3</v>
      </c>
      <c r="H42" s="8">
        <f t="shared" si="19"/>
        <v>11.088709677419356</v>
      </c>
      <c r="I42" s="8">
        <f t="shared" si="20"/>
        <v>1476253.8473724667</v>
      </c>
      <c r="J42" s="9">
        <f t="shared" si="21"/>
        <v>0.32099453084854679</v>
      </c>
      <c r="M42" s="7">
        <f t="shared" si="30"/>
        <v>1.1000000000000001E-3</v>
      </c>
      <c r="N42" s="8">
        <f t="shared" si="22"/>
        <v>4.2471042471042475</v>
      </c>
      <c r="O42" s="8">
        <f t="shared" si="23"/>
        <v>-2.5940200836589371</v>
      </c>
      <c r="P42" s="9">
        <f t="shared" si="24"/>
        <v>-5.6404002688822294E-7</v>
      </c>
      <c r="R42" s="7">
        <f t="shared" si="31"/>
        <v>1.1000000000000001E-3</v>
      </c>
      <c r="S42" s="8">
        <f t="shared" si="25"/>
        <v>4.2471042471042475</v>
      </c>
      <c r="T42" s="8">
        <f t="shared" si="26"/>
        <v>4556417.7890275614</v>
      </c>
      <c r="U42" s="9">
        <f t="shared" si="27"/>
        <v>0.99074098478529282</v>
      </c>
    </row>
    <row r="43" spans="1:21" x14ac:dyDescent="0.25">
      <c r="B43" s="7">
        <f t="shared" si="28"/>
        <v>1.3000000000000002E-3</v>
      </c>
      <c r="C43" s="8">
        <f t="shared" si="16"/>
        <v>13.104838709677422</v>
      </c>
      <c r="D43" s="8">
        <f t="shared" si="17"/>
        <v>1057703.5408218775</v>
      </c>
      <c r="E43" s="9">
        <f t="shared" si="18"/>
        <v>0.22998554921110623</v>
      </c>
      <c r="G43" s="7">
        <f t="shared" si="29"/>
        <v>1.3000000000000002E-3</v>
      </c>
      <c r="H43" s="8">
        <f t="shared" si="19"/>
        <v>13.104838709677422</v>
      </c>
      <c r="I43" s="8">
        <f t="shared" si="20"/>
        <v>1244357.1844122214</v>
      </c>
      <c r="J43" s="9">
        <f t="shared" si="21"/>
        <v>0.27057125123118536</v>
      </c>
      <c r="M43" s="7">
        <f t="shared" si="30"/>
        <v>1.3000000000000002E-3</v>
      </c>
      <c r="N43" s="8">
        <f t="shared" si="22"/>
        <v>5.0193050193050199</v>
      </c>
      <c r="O43" s="8">
        <f t="shared" si="23"/>
        <v>-2.5268383797933778</v>
      </c>
      <c r="P43" s="9">
        <f t="shared" si="24"/>
        <v>-5.4943213302747942E-7</v>
      </c>
      <c r="R43" s="7">
        <f t="shared" si="31"/>
        <v>1.3000000000000002E-3</v>
      </c>
      <c r="S43" s="8">
        <f t="shared" si="25"/>
        <v>5.0193050193050199</v>
      </c>
      <c r="T43" s="8">
        <f t="shared" si="26"/>
        <v>3812907.9545325637</v>
      </c>
      <c r="U43" s="9">
        <f t="shared" si="27"/>
        <v>0.82907326691292971</v>
      </c>
    </row>
    <row r="44" spans="1:21" x14ac:dyDescent="0.25">
      <c r="B44" s="7">
        <f t="shared" si="28"/>
        <v>1.5000000000000002E-3</v>
      </c>
      <c r="C44" s="8">
        <f t="shared" si="16"/>
        <v>15.120967741935486</v>
      </c>
      <c r="D44" s="8">
        <f t="shared" si="17"/>
        <v>914110.83758030529</v>
      </c>
      <c r="E44" s="9">
        <f t="shared" si="18"/>
        <v>0.19876295663846602</v>
      </c>
      <c r="G44" s="7">
        <f t="shared" si="29"/>
        <v>1.5000000000000002E-3</v>
      </c>
      <c r="H44" s="8">
        <f t="shared" si="19"/>
        <v>15.120967741935486</v>
      </c>
      <c r="I44" s="8">
        <f t="shared" si="20"/>
        <v>1075424.5917846013</v>
      </c>
      <c r="J44" s="9">
        <f t="shared" si="21"/>
        <v>0.2338387892551862</v>
      </c>
      <c r="M44" s="7">
        <f t="shared" si="30"/>
        <v>1.5000000000000002E-3</v>
      </c>
      <c r="N44" s="8">
        <f t="shared" si="22"/>
        <v>5.7915057915057924</v>
      </c>
      <c r="O44" s="8">
        <f t="shared" si="23"/>
        <v>-2.477947317774134</v>
      </c>
      <c r="P44" s="9">
        <f t="shared" si="24"/>
        <v>-5.3880133024008131E-7</v>
      </c>
      <c r="R44" s="7">
        <f t="shared" si="31"/>
        <v>1.5000000000000002E-3</v>
      </c>
      <c r="S44" s="8">
        <f t="shared" si="25"/>
        <v>5.7915057915057924</v>
      </c>
      <c r="T44" s="8">
        <f t="shared" si="26"/>
        <v>3278007.2559411954</v>
      </c>
      <c r="U44" s="9">
        <f t="shared" si="27"/>
        <v>0.71276522199199721</v>
      </c>
    </row>
    <row r="45" spans="1:21" x14ac:dyDescent="0.25">
      <c r="B45" s="7">
        <f t="shared" si="28"/>
        <v>1.7000000000000003E-3</v>
      </c>
      <c r="C45" s="8">
        <f t="shared" si="16"/>
        <v>17.137096774193552</v>
      </c>
      <c r="D45" s="8">
        <f t="shared" si="17"/>
        <v>804845.81964797783</v>
      </c>
      <c r="E45" s="9">
        <f t="shared" si="18"/>
        <v>0.17500452699455921</v>
      </c>
      <c r="G45" s="7">
        <f t="shared" si="29"/>
        <v>1.7000000000000003E-3</v>
      </c>
      <c r="H45" s="8">
        <f t="shared" si="19"/>
        <v>17.137096774193552</v>
      </c>
      <c r="I45" s="8">
        <f t="shared" si="20"/>
        <v>946877.51142256695</v>
      </c>
      <c r="J45" s="9">
        <f t="shared" si="21"/>
        <v>0.20588769546044075</v>
      </c>
      <c r="M45" s="7">
        <f t="shared" si="30"/>
        <v>1.7000000000000003E-3</v>
      </c>
      <c r="N45" s="8">
        <f t="shared" si="22"/>
        <v>6.5637065637065648</v>
      </c>
      <c r="O45" s="8">
        <f t="shared" si="23"/>
        <v>-2.4407722751773084</v>
      </c>
      <c r="P45" s="9">
        <f t="shared" si="24"/>
        <v>-5.3071804200419839E-7</v>
      </c>
      <c r="R45" s="7">
        <f t="shared" si="31"/>
        <v>1.7000000000000003E-3</v>
      </c>
      <c r="S45" s="8">
        <f t="shared" si="25"/>
        <v>6.5637065637065648</v>
      </c>
      <c r="T45" s="8">
        <f t="shared" si="26"/>
        <v>2874721.651654812</v>
      </c>
      <c r="U45" s="9">
        <f t="shared" si="27"/>
        <v>0.62507537544135938</v>
      </c>
    </row>
    <row r="46" spans="1:21" x14ac:dyDescent="0.25">
      <c r="B46" s="7">
        <f t="shared" si="28"/>
        <v>1.9000000000000004E-3</v>
      </c>
      <c r="C46" s="8">
        <f t="shared" si="16"/>
        <v>19.153225806451619</v>
      </c>
      <c r="D46" s="8">
        <f t="shared" si="17"/>
        <v>718913.07182621735</v>
      </c>
      <c r="E46" s="9">
        <f t="shared" si="18"/>
        <v>0.15631943288241298</v>
      </c>
      <c r="G46" s="7">
        <f t="shared" si="29"/>
        <v>1.9000000000000004E-3</v>
      </c>
      <c r="H46" s="8">
        <f t="shared" si="19"/>
        <v>19.153225806451619</v>
      </c>
      <c r="I46" s="8">
        <f t="shared" si="20"/>
        <v>845780.16069590126</v>
      </c>
      <c r="J46" s="9">
        <f t="shared" si="21"/>
        <v>0.18390523172339665</v>
      </c>
      <c r="M46" s="7">
        <f t="shared" si="30"/>
        <v>1.9000000000000004E-3</v>
      </c>
      <c r="N46" s="8">
        <f t="shared" si="22"/>
        <v>7.3359073359073372</v>
      </c>
      <c r="O46" s="8">
        <f t="shared" si="23"/>
        <v>-2.4115525002649827</v>
      </c>
      <c r="P46" s="9">
        <f t="shared" si="24"/>
        <v>-5.2436453582626286E-7</v>
      </c>
      <c r="R46" s="7">
        <f t="shared" si="31"/>
        <v>1.9000000000000004E-3</v>
      </c>
      <c r="S46" s="8">
        <f t="shared" si="25"/>
        <v>7.3359073359073372</v>
      </c>
      <c r="T46" s="8">
        <f t="shared" si="26"/>
        <v>2559795.8679922982</v>
      </c>
      <c r="U46" s="9">
        <f t="shared" si="27"/>
        <v>0.55659836225098891</v>
      </c>
    </row>
    <row r="47" spans="1:21" x14ac:dyDescent="0.25">
      <c r="B47" s="7">
        <f t="shared" si="28"/>
        <v>2.1000000000000003E-3</v>
      </c>
      <c r="C47" s="8">
        <f t="shared" si="16"/>
        <v>21.16935483870968</v>
      </c>
      <c r="D47" s="8">
        <f t="shared" si="17"/>
        <v>649560.05581042648</v>
      </c>
      <c r="E47" s="9">
        <f t="shared" si="18"/>
        <v>0.14123941200487639</v>
      </c>
      <c r="G47" s="7">
        <f t="shared" si="29"/>
        <v>2.1000000000000003E-3</v>
      </c>
      <c r="H47" s="8">
        <f t="shared" si="19"/>
        <v>21.16935483870968</v>
      </c>
      <c r="I47" s="8">
        <f t="shared" si="20"/>
        <v>764188.37686644983</v>
      </c>
      <c r="J47" s="9">
        <f t="shared" si="21"/>
        <v>0.16616403062979992</v>
      </c>
      <c r="M47" s="7">
        <f t="shared" si="30"/>
        <v>2.1000000000000003E-3</v>
      </c>
      <c r="N47" s="8">
        <f t="shared" si="22"/>
        <v>8.1081081081081088</v>
      </c>
      <c r="O47" s="8">
        <f t="shared" si="23"/>
        <v>-2.387981231141886</v>
      </c>
      <c r="P47" s="9">
        <f t="shared" si="24"/>
        <v>-5.1923923269012523E-7</v>
      </c>
      <c r="R47" s="7">
        <f t="shared" si="31"/>
        <v>2.1000000000000003E-3</v>
      </c>
      <c r="S47" s="8">
        <f t="shared" si="25"/>
        <v>8.1081081081081088</v>
      </c>
      <c r="T47" s="8">
        <f t="shared" si="26"/>
        <v>2307057.6381118447</v>
      </c>
      <c r="U47" s="9">
        <f t="shared" si="27"/>
        <v>0.50164332205084683</v>
      </c>
    </row>
    <row r="48" spans="1:21" x14ac:dyDescent="0.25">
      <c r="B48" s="7">
        <f t="shared" si="28"/>
        <v>2.3000000000000004E-3</v>
      </c>
      <c r="C48" s="8">
        <f t="shared" si="16"/>
        <v>23.185483870967747</v>
      </c>
      <c r="D48" s="8">
        <f t="shared" si="17"/>
        <v>592410.63254187454</v>
      </c>
      <c r="E48" s="9">
        <f t="shared" si="18"/>
        <v>0.12881292292713079</v>
      </c>
      <c r="G48" s="7">
        <f t="shared" si="29"/>
        <v>2.3000000000000004E-3</v>
      </c>
      <c r="H48" s="8">
        <f t="shared" si="19"/>
        <v>23.185483870967747</v>
      </c>
      <c r="I48" s="8">
        <f t="shared" si="20"/>
        <v>696953.76102411386</v>
      </c>
      <c r="J48" s="9">
        <f t="shared" si="21"/>
        <v>0.1515446316642996</v>
      </c>
      <c r="M48" s="7">
        <f t="shared" si="30"/>
        <v>2.3000000000000004E-3</v>
      </c>
      <c r="N48" s="8">
        <f t="shared" si="22"/>
        <v>8.8803088803088812</v>
      </c>
      <c r="O48" s="8">
        <f t="shared" si="23"/>
        <v>-2.3685649468697396</v>
      </c>
      <c r="P48" s="9">
        <f t="shared" si="24"/>
        <v>-5.1501738353332021E-7</v>
      </c>
      <c r="R48" s="7">
        <f t="shared" si="31"/>
        <v>2.3000000000000004E-3</v>
      </c>
      <c r="S48" s="8">
        <f t="shared" si="25"/>
        <v>8.8803088803088812</v>
      </c>
      <c r="T48" s="8">
        <f t="shared" si="26"/>
        <v>2099742.1936904462</v>
      </c>
      <c r="U48" s="9">
        <f t="shared" si="27"/>
        <v>0.45656494752999482</v>
      </c>
    </row>
    <row r="49" spans="2:21" x14ac:dyDescent="0.25">
      <c r="B49" s="7">
        <f t="shared" si="28"/>
        <v>2.5000000000000005E-3</v>
      </c>
      <c r="C49" s="8">
        <f t="shared" si="16"/>
        <v>25.201612903225811</v>
      </c>
      <c r="D49" s="8">
        <f t="shared" si="17"/>
        <v>544504.20206892886</v>
      </c>
      <c r="E49" s="9">
        <f>D49/$B$2</f>
        <v>0.11839621701868425</v>
      </c>
      <c r="G49" s="7">
        <f t="shared" si="29"/>
        <v>2.5000000000000005E-3</v>
      </c>
      <c r="H49" s="8">
        <f t="shared" si="19"/>
        <v>25.201612903225811</v>
      </c>
      <c r="I49" s="8">
        <f t="shared" si="20"/>
        <v>640593.25439040887</v>
      </c>
      <c r="J49" s="9">
        <f t="shared" si="21"/>
        <v>0.13928968349432677</v>
      </c>
      <c r="M49" s="7">
        <f t="shared" si="30"/>
        <v>2.5000000000000005E-3</v>
      </c>
      <c r="N49" s="8">
        <f t="shared" si="22"/>
        <v>9.6525096525096536</v>
      </c>
      <c r="O49" s="8">
        <f t="shared" si="23"/>
        <v>-2.3522940139573363</v>
      </c>
      <c r="P49" s="9">
        <f t="shared" si="24"/>
        <v>-5.1147945508965781E-7</v>
      </c>
      <c r="R49" s="7">
        <f t="shared" si="31"/>
        <v>2.5000000000000005E-3</v>
      </c>
      <c r="S49" s="8">
        <f t="shared" si="25"/>
        <v>9.6525096525096536</v>
      </c>
      <c r="T49" s="8">
        <f t="shared" si="26"/>
        <v>1926613.9260934647</v>
      </c>
      <c r="U49" s="9">
        <f t="shared" si="27"/>
        <v>0.41892018397335612</v>
      </c>
    </row>
    <row r="50" spans="2:21" x14ac:dyDescent="0.25">
      <c r="B50" s="7">
        <f t="shared" si="28"/>
        <v>2.7000000000000006E-3</v>
      </c>
      <c r="C50" s="8">
        <f t="shared" si="16"/>
        <v>27.217741935483875</v>
      </c>
      <c r="D50" s="8">
        <f t="shared" si="17"/>
        <v>503766.1737197722</v>
      </c>
      <c r="E50" s="9">
        <f t="shared" si="18"/>
        <v>0.10953819824304679</v>
      </c>
      <c r="G50" s="7">
        <f t="shared" si="29"/>
        <v>2.7000000000000006E-3</v>
      </c>
      <c r="H50" s="8">
        <f t="shared" si="19"/>
        <v>27.217741935483875</v>
      </c>
      <c r="I50" s="8">
        <f t="shared" si="20"/>
        <v>592666.16204898548</v>
      </c>
      <c r="J50" s="9">
        <f t="shared" si="21"/>
        <v>0.12886848489867048</v>
      </c>
      <c r="M50" s="7">
        <f t="shared" si="30"/>
        <v>2.7000000000000006E-3</v>
      </c>
      <c r="N50" s="8">
        <f t="shared" si="22"/>
        <v>10.424710424710426</v>
      </c>
      <c r="O50" s="8">
        <f t="shared" si="23"/>
        <v>-2.338461401051132</v>
      </c>
      <c r="P50" s="9">
        <f t="shared" si="24"/>
        <v>-5.0847171147013088E-7</v>
      </c>
      <c r="R50" s="7">
        <f t="shared" si="31"/>
        <v>2.7000000000000006E-3</v>
      </c>
      <c r="S50" s="8">
        <f t="shared" si="25"/>
        <v>10.424710424710426</v>
      </c>
      <c r="T50" s="8">
        <f t="shared" si="26"/>
        <v>1779860.5624963262</v>
      </c>
      <c r="U50" s="9">
        <f t="shared" si="27"/>
        <v>0.38701034192135814</v>
      </c>
    </row>
    <row r="51" spans="2:21" x14ac:dyDescent="0.25">
      <c r="B51" s="7">
        <f t="shared" si="28"/>
        <v>2.9000000000000007E-3</v>
      </c>
      <c r="C51" s="8">
        <f t="shared" si="16"/>
        <v>29.233870967741943</v>
      </c>
      <c r="D51" s="8">
        <f t="shared" si="17"/>
        <v>468699.59588952246</v>
      </c>
      <c r="E51" s="9">
        <f t="shared" si="18"/>
        <v>0.10191337157850021</v>
      </c>
      <c r="G51" s="7">
        <f t="shared" si="29"/>
        <v>2.9000000000000007E-3</v>
      </c>
      <c r="H51" s="8">
        <f t="shared" si="19"/>
        <v>29.233870967741943</v>
      </c>
      <c r="I51" s="8">
        <f t="shared" si="20"/>
        <v>551411.36445866455</v>
      </c>
      <c r="J51" s="9">
        <f t="shared" si="21"/>
        <v>0.11989810055635237</v>
      </c>
      <c r="M51" s="7">
        <f t="shared" si="30"/>
        <v>2.9000000000000007E-3</v>
      </c>
      <c r="N51" s="8">
        <f t="shared" si="22"/>
        <v>11.196911196911199</v>
      </c>
      <c r="O51" s="8">
        <f t="shared" si="23"/>
        <v>-2.3265572133940187</v>
      </c>
      <c r="P51" s="9">
        <f t="shared" si="24"/>
        <v>-5.0588328188606625E-7</v>
      </c>
      <c r="R51" s="7">
        <f t="shared" si="31"/>
        <v>2.9000000000000007E-3</v>
      </c>
      <c r="S51" s="8">
        <f t="shared" si="25"/>
        <v>11.196911196911199</v>
      </c>
      <c r="T51" s="8">
        <f t="shared" si="26"/>
        <v>1653881.6450110027</v>
      </c>
      <c r="U51" s="9">
        <f t="shared" si="27"/>
        <v>0.35961766579930476</v>
      </c>
    </row>
    <row r="52" spans="2:21" ht="15.75" thickBot="1" x14ac:dyDescent="0.3">
      <c r="B52" s="7">
        <f t="shared" si="28"/>
        <v>3.1000000000000008E-3</v>
      </c>
      <c r="C52" s="10">
        <f t="shared" si="16"/>
        <v>31.250000000000007</v>
      </c>
      <c r="D52" s="8">
        <f t="shared" si="17"/>
        <v>438197.19590858201</v>
      </c>
      <c r="E52" s="9">
        <f t="shared" si="18"/>
        <v>9.5280973235177646E-2</v>
      </c>
      <c r="G52" s="7">
        <f t="shared" si="29"/>
        <v>3.1000000000000008E-3</v>
      </c>
      <c r="H52" s="10">
        <f t="shared" si="19"/>
        <v>31.250000000000007</v>
      </c>
      <c r="I52" s="8">
        <f t="shared" si="20"/>
        <v>515526.18788604491</v>
      </c>
      <c r="J52" s="9">
        <f t="shared" si="21"/>
        <v>0.11209527894891171</v>
      </c>
      <c r="M52" s="7">
        <f t="shared" si="30"/>
        <v>3.1000000000000008E-3</v>
      </c>
      <c r="N52" s="10">
        <f t="shared" si="22"/>
        <v>11.969111969111971</v>
      </c>
      <c r="O52" s="8">
        <f t="shared" si="23"/>
        <v>-2.3162044622933609</v>
      </c>
      <c r="P52" s="9">
        <f t="shared" si="24"/>
        <v>-5.0363219445387279E-7</v>
      </c>
      <c r="R52" s="7">
        <f t="shared" si="31"/>
        <v>3.1000000000000008E-3</v>
      </c>
      <c r="S52" s="10">
        <f t="shared" si="25"/>
        <v>11.969111969111971</v>
      </c>
      <c r="T52" s="8">
        <f t="shared" si="26"/>
        <v>1544557.5096432592</v>
      </c>
      <c r="U52" s="9">
        <f t="shared" si="27"/>
        <v>0.33584638174456605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M61"/>
  <sheetViews>
    <sheetView workbookViewId="0"/>
  </sheetViews>
  <sheetFormatPr defaultRowHeight="15" x14ac:dyDescent="0.25"/>
  <sheetData>
    <row r="2" spans="2:65" ht="15.75" thickBot="1" x14ac:dyDescent="0.3">
      <c r="B2" s="24"/>
      <c r="C2" s="25"/>
      <c r="D2" s="25"/>
      <c r="E2" s="25"/>
      <c r="F2" s="26"/>
    </row>
    <row r="3" spans="2:65" x14ac:dyDescent="0.25">
      <c r="B3" s="24"/>
      <c r="C3" s="27" t="s">
        <v>7</v>
      </c>
      <c r="D3" s="24" t="s">
        <v>8</v>
      </c>
      <c r="E3" s="24"/>
      <c r="F3" s="28" t="s">
        <v>39</v>
      </c>
      <c r="G3" s="29"/>
      <c r="H3" s="30"/>
      <c r="J3" s="31" t="s">
        <v>40</v>
      </c>
      <c r="K3" s="32"/>
      <c r="L3" s="33"/>
    </row>
    <row r="4" spans="2:65" x14ac:dyDescent="0.25">
      <c r="B4" s="34" t="s">
        <v>41</v>
      </c>
      <c r="C4" s="27">
        <v>0</v>
      </c>
      <c r="D4" s="24">
        <f>1-POWER(2,0.5)</f>
        <v>-0.41421356237309515</v>
      </c>
      <c r="E4" s="24"/>
      <c r="F4" s="35" t="s">
        <v>42</v>
      </c>
      <c r="G4" s="36">
        <v>562.1</v>
      </c>
      <c r="H4" s="37" t="s">
        <v>13</v>
      </c>
      <c r="J4" s="38" t="s">
        <v>42</v>
      </c>
      <c r="K4" s="39">
        <v>190.4</v>
      </c>
      <c r="L4" s="40" t="s">
        <v>13</v>
      </c>
    </row>
    <row r="5" spans="2:65" x14ac:dyDescent="0.25">
      <c r="B5" s="34" t="s">
        <v>12</v>
      </c>
      <c r="C5" s="27">
        <v>1</v>
      </c>
      <c r="D5" s="24">
        <f>1+POWER(2,0.5)</f>
        <v>2.4142135623730949</v>
      </c>
      <c r="E5" s="24"/>
      <c r="F5" s="35" t="s">
        <v>43</v>
      </c>
      <c r="G5" s="36">
        <f>48.9*100000</f>
        <v>4890000</v>
      </c>
      <c r="H5" s="37" t="s">
        <v>44</v>
      </c>
      <c r="J5" s="38" t="s">
        <v>43</v>
      </c>
      <c r="K5" s="39">
        <f>46*100000</f>
        <v>4600000</v>
      </c>
      <c r="L5" s="40" t="s">
        <v>44</v>
      </c>
    </row>
    <row r="6" spans="2:65" x14ac:dyDescent="0.25">
      <c r="B6" s="34" t="s">
        <v>10</v>
      </c>
      <c r="C6" s="27">
        <v>0.42748000000000003</v>
      </c>
      <c r="D6" s="24">
        <v>0.457235</v>
      </c>
      <c r="E6" s="24"/>
      <c r="F6" s="35" t="s">
        <v>45</v>
      </c>
      <c r="G6" s="36">
        <f>259*0.000001</f>
        <v>2.5900000000000001E-4</v>
      </c>
      <c r="H6" s="37" t="s">
        <v>46</v>
      </c>
      <c r="J6" s="38" t="s">
        <v>45</v>
      </c>
      <c r="K6" s="39">
        <f>99.2*0.000001</f>
        <v>9.9199999999999999E-5</v>
      </c>
      <c r="L6" s="40" t="s">
        <v>46</v>
      </c>
    </row>
    <row r="7" spans="2:65" ht="15.75" thickBot="1" x14ac:dyDescent="0.3">
      <c r="B7" s="34" t="s">
        <v>11</v>
      </c>
      <c r="C7" s="27">
        <v>8.6639999999999995E-2</v>
      </c>
      <c r="D7" s="24">
        <v>7.7796000000000004E-2</v>
      </c>
      <c r="E7" s="24"/>
      <c r="F7" s="41" t="s">
        <v>47</v>
      </c>
      <c r="G7" s="42">
        <v>0.21199999999999999</v>
      </c>
      <c r="H7" s="43"/>
      <c r="J7" s="44" t="s">
        <v>47</v>
      </c>
      <c r="K7" s="45">
        <v>1.0999999999999999E-2</v>
      </c>
      <c r="L7" s="46"/>
    </row>
    <row r="8" spans="2:65" x14ac:dyDescent="0.25">
      <c r="B8" s="34" t="s">
        <v>48</v>
      </c>
      <c r="C8" s="27">
        <f>0.48+1.574*$G$8-0.176*($G$8^2)</f>
        <v>0.48</v>
      </c>
      <c r="D8" s="24">
        <f>0.37464+1.54226*$G$8-0.26992*($G$8^2)</f>
        <v>0.37463999999999997</v>
      </c>
      <c r="E8" s="24"/>
    </row>
    <row r="9" spans="2:65" x14ac:dyDescent="0.25">
      <c r="B9" s="34" t="s">
        <v>49</v>
      </c>
      <c r="C9" s="47">
        <f>0.48+1.574*$K$8-0.176*($K$8^2)</f>
        <v>0.48</v>
      </c>
      <c r="D9" s="25">
        <f>0.37464+1.54226*$K$8-0.26992*($K$8^2)</f>
        <v>0.37463999999999997</v>
      </c>
      <c r="E9" s="24"/>
    </row>
    <row r="10" spans="2:65" ht="15.75" thickBot="1" x14ac:dyDescent="0.3">
      <c r="B10" s="24"/>
      <c r="C10" s="24"/>
      <c r="D10" s="24"/>
      <c r="E10" s="24"/>
    </row>
    <row r="11" spans="2:65" x14ac:dyDescent="0.25">
      <c r="B11" s="48" t="s">
        <v>50</v>
      </c>
      <c r="C11" s="49">
        <f>C6*(8.314^2)*($G$5^2)/$G$6</f>
        <v>2.7280592299648758E+18</v>
      </c>
      <c r="D11" s="50">
        <f>D6*(8.314^2)*($G$5^2)/$G$6</f>
        <v>2.9179474174534241E+18</v>
      </c>
      <c r="E11" s="24"/>
      <c r="G11" s="60" t="s">
        <v>7</v>
      </c>
      <c r="H11" s="61"/>
      <c r="I11" s="61"/>
      <c r="J11" s="61"/>
      <c r="K11" s="61"/>
      <c r="L11" s="61"/>
      <c r="M11" s="61"/>
      <c r="N11" s="61"/>
      <c r="O11" s="61"/>
      <c r="P11" s="61"/>
      <c r="Q11" s="61"/>
      <c r="R11" s="61"/>
      <c r="S11" s="61"/>
      <c r="T11" s="61"/>
      <c r="U11" s="61"/>
      <c r="V11" s="61"/>
      <c r="W11" s="61"/>
      <c r="X11" s="61"/>
      <c r="Y11" s="61"/>
      <c r="Z11" s="61"/>
      <c r="AA11" s="61"/>
      <c r="AB11" s="61"/>
      <c r="AC11" s="61"/>
      <c r="AD11" s="61"/>
      <c r="AE11" s="61"/>
      <c r="AF11" s="61"/>
      <c r="AG11" s="61"/>
      <c r="AH11" s="61"/>
      <c r="AL11" s="60" t="s">
        <v>8</v>
      </c>
      <c r="AM11" s="61"/>
      <c r="AN11" s="61"/>
      <c r="AO11" s="61"/>
      <c r="AP11" s="61"/>
      <c r="AQ11" s="61"/>
      <c r="AR11" s="61"/>
      <c r="AS11" s="61"/>
      <c r="AT11" s="61"/>
      <c r="AU11" s="61"/>
      <c r="AV11" s="61"/>
      <c r="AW11" s="61"/>
      <c r="AX11" s="61"/>
      <c r="AY11" s="61"/>
      <c r="AZ11" s="61"/>
      <c r="BA11" s="61"/>
      <c r="BB11" s="61"/>
      <c r="BC11" s="61"/>
      <c r="BD11" s="61"/>
      <c r="BE11" s="61"/>
      <c r="BF11" s="61"/>
      <c r="BG11" s="61"/>
      <c r="BH11" s="61"/>
      <c r="BI11" s="61"/>
      <c r="BJ11" s="61"/>
      <c r="BK11" s="61"/>
      <c r="BL11" s="61"/>
      <c r="BM11" s="61"/>
    </row>
    <row r="12" spans="2:65" x14ac:dyDescent="0.25">
      <c r="B12" s="51" t="s">
        <v>51</v>
      </c>
      <c r="C12" s="52">
        <f>C7*8.314*$G$5/$G$6</f>
        <v>13599957738.99614</v>
      </c>
      <c r="D12" s="53">
        <f>D7*8.314*$G$5/$G$6</f>
        <v>12211707205.250967</v>
      </c>
      <c r="E12" s="24"/>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row>
    <row r="13" spans="2:65" x14ac:dyDescent="0.25">
      <c r="B13" s="51"/>
      <c r="C13" s="52"/>
      <c r="D13" s="53"/>
      <c r="E13" s="24"/>
      <c r="F13" s="1"/>
    </row>
    <row r="14" spans="2:65" x14ac:dyDescent="0.25">
      <c r="B14" s="51" t="s">
        <v>52</v>
      </c>
      <c r="C14" s="52">
        <f>C6*(8.314^2)*($K$5^2)/$K$6</f>
        <v>6.3028915168727101E+18</v>
      </c>
      <c r="D14" s="53">
        <f>D6*(8.314^2)*($K$5^2)/$K$6</f>
        <v>6.7416080348023153E+18</v>
      </c>
      <c r="E14" s="24"/>
      <c r="G14" s="54"/>
      <c r="H14" s="54"/>
      <c r="I14" s="54"/>
      <c r="J14" s="62" t="s">
        <v>53</v>
      </c>
      <c r="K14" s="62"/>
      <c r="L14" s="54"/>
      <c r="M14" s="54"/>
      <c r="N14" s="54"/>
      <c r="Q14" s="54"/>
      <c r="R14" s="54"/>
      <c r="S14" s="54"/>
      <c r="T14" s="62" t="s">
        <v>54</v>
      </c>
      <c r="U14" s="62"/>
      <c r="V14" s="54"/>
      <c r="W14" s="54"/>
      <c r="X14" s="54"/>
      <c r="AA14" s="62" t="s">
        <v>55</v>
      </c>
      <c r="AB14" s="62"/>
      <c r="AC14" s="62"/>
      <c r="AD14" s="62"/>
      <c r="AE14" s="62"/>
      <c r="AF14" s="62"/>
      <c r="AG14" s="62"/>
      <c r="AH14" s="62"/>
      <c r="AL14" s="54"/>
      <c r="AM14" s="54"/>
      <c r="AN14" s="54"/>
      <c r="AO14" s="62" t="s">
        <v>53</v>
      </c>
      <c r="AP14" s="62"/>
      <c r="AQ14" s="54"/>
      <c r="AR14" s="54"/>
      <c r="AS14" s="54"/>
      <c r="AV14" s="54"/>
      <c r="AW14" s="54"/>
      <c r="AX14" s="54"/>
      <c r="AY14" s="62" t="s">
        <v>54</v>
      </c>
      <c r="AZ14" s="62"/>
      <c r="BA14" s="54"/>
      <c r="BB14" s="54"/>
      <c r="BC14" s="54"/>
      <c r="BF14" s="62" t="s">
        <v>55</v>
      </c>
      <c r="BG14" s="62"/>
      <c r="BH14" s="62"/>
      <c r="BI14" s="62"/>
      <c r="BJ14" s="62"/>
      <c r="BK14" s="62"/>
      <c r="BL14" s="62"/>
      <c r="BM14" s="62"/>
    </row>
    <row r="15" spans="2:65" ht="15.75" thickBot="1" x14ac:dyDescent="0.3">
      <c r="B15" s="55" t="s">
        <v>56</v>
      </c>
      <c r="C15" s="56">
        <f>C7*8.314*$K$5/$K$6</f>
        <v>33402165483.870968</v>
      </c>
      <c r="D15" s="57">
        <f>D7*8.314*$K$5/$K$6</f>
        <v>29992553854.838715</v>
      </c>
      <c r="E15" s="24"/>
      <c r="F15" s="8"/>
      <c r="H15" t="s">
        <v>39</v>
      </c>
      <c r="L15" t="s">
        <v>40</v>
      </c>
      <c r="R15" t="s">
        <v>39</v>
      </c>
      <c r="V15" t="s">
        <v>40</v>
      </c>
      <c r="AB15" t="s">
        <v>39</v>
      </c>
      <c r="AF15" t="s">
        <v>40</v>
      </c>
      <c r="AM15" t="s">
        <v>39</v>
      </c>
      <c r="AQ15" t="s">
        <v>40</v>
      </c>
      <c r="AW15" t="s">
        <v>39</v>
      </c>
      <c r="BA15" t="s">
        <v>40</v>
      </c>
      <c r="BG15" t="s">
        <v>39</v>
      </c>
      <c r="BK15" t="s">
        <v>40</v>
      </c>
    </row>
    <row r="16" spans="2:65" x14ac:dyDescent="0.25">
      <c r="B16" s="24"/>
      <c r="C16" s="24"/>
      <c r="D16" s="24"/>
      <c r="E16" s="24"/>
      <c r="G16" t="s">
        <v>57</v>
      </c>
      <c r="H16" t="s">
        <v>58</v>
      </c>
      <c r="I16" t="s">
        <v>59</v>
      </c>
      <c r="J16" t="s">
        <v>60</v>
      </c>
      <c r="L16" t="s">
        <v>58</v>
      </c>
      <c r="M16" t="s">
        <v>59</v>
      </c>
      <c r="N16" t="s">
        <v>60</v>
      </c>
      <c r="Q16" t="s">
        <v>57</v>
      </c>
      <c r="R16" t="s">
        <v>58</v>
      </c>
      <c r="S16" t="s">
        <v>59</v>
      </c>
      <c r="T16" t="s">
        <v>60</v>
      </c>
      <c r="V16" t="s">
        <v>58</v>
      </c>
      <c r="W16" t="s">
        <v>59</v>
      </c>
      <c r="X16" t="s">
        <v>60</v>
      </c>
      <c r="AA16" t="s">
        <v>57</v>
      </c>
      <c r="AB16" t="s">
        <v>58</v>
      </c>
      <c r="AC16" t="s">
        <v>59</v>
      </c>
      <c r="AD16" t="s">
        <v>60</v>
      </c>
      <c r="AF16" t="s">
        <v>58</v>
      </c>
      <c r="AG16" t="s">
        <v>59</v>
      </c>
      <c r="AH16" t="s">
        <v>60</v>
      </c>
      <c r="AL16" t="s">
        <v>57</v>
      </c>
      <c r="AM16" t="s">
        <v>58</v>
      </c>
      <c r="AN16" t="s">
        <v>59</v>
      </c>
      <c r="AO16" t="s">
        <v>60</v>
      </c>
      <c r="AQ16" t="s">
        <v>58</v>
      </c>
      <c r="AR16" t="s">
        <v>59</v>
      </c>
      <c r="AS16" t="s">
        <v>60</v>
      </c>
      <c r="AV16" t="s">
        <v>57</v>
      </c>
      <c r="AW16" t="s">
        <v>58</v>
      </c>
      <c r="AX16" t="s">
        <v>59</v>
      </c>
      <c r="AY16" t="s">
        <v>60</v>
      </c>
      <c r="BA16" t="s">
        <v>58</v>
      </c>
      <c r="BB16" t="s">
        <v>59</v>
      </c>
      <c r="BC16" t="s">
        <v>60</v>
      </c>
      <c r="BF16" t="s">
        <v>57</v>
      </c>
      <c r="BG16" t="s">
        <v>58</v>
      </c>
      <c r="BH16" t="s">
        <v>59</v>
      </c>
      <c r="BI16" t="s">
        <v>60</v>
      </c>
      <c r="BK16" t="s">
        <v>58</v>
      </c>
      <c r="BL16" t="s">
        <v>59</v>
      </c>
      <c r="BM16" t="s">
        <v>60</v>
      </c>
    </row>
    <row r="17" spans="1:65" x14ac:dyDescent="0.25">
      <c r="B17" s="24" t="s">
        <v>61</v>
      </c>
      <c r="C17" s="24">
        <v>0.85</v>
      </c>
      <c r="D17" s="24">
        <v>1</v>
      </c>
      <c r="E17" s="24">
        <v>1.2</v>
      </c>
      <c r="G17">
        <v>0</v>
      </c>
    </row>
    <row r="18" spans="1:65" x14ac:dyDescent="0.25">
      <c r="B18" s="34" t="s">
        <v>39</v>
      </c>
      <c r="C18" s="18" t="s">
        <v>62</v>
      </c>
      <c r="D18" s="18" t="s">
        <v>63</v>
      </c>
      <c r="E18" s="18" t="s">
        <v>64</v>
      </c>
      <c r="G18">
        <v>2.0000000000000001E-4</v>
      </c>
      <c r="H18">
        <f>(8.314*477.785)/(G18-$C$13)-($C$12*$C$21/((G18+$C$5*$C$13)*(G18+$C$6*$C$13)))</f>
        <v>-3.6017206378747053E+17</v>
      </c>
      <c r="I18">
        <f t="shared" ref="I18:I37" si="0">$G$6*G18/(8.314*$G$5)</f>
        <v>1.2741216062983915E-15</v>
      </c>
      <c r="J18">
        <f t="shared" ref="J18:J37" si="1">H18/$G$6</f>
        <v>-1.3906257289091526E+21</v>
      </c>
      <c r="L18">
        <f t="shared" ref="L18:L37" si="2">(8.314*161.84)/(G18-$C$16)-($C$15*$C$26/((G18+$C$5*$C$16)*(G18+$C$6*$C$16)))</f>
        <v>-8.3505413709004646E+17</v>
      </c>
      <c r="M18">
        <f t="shared" ref="M18:M37" si="3">$K$6*G18/(8.314*$K$5)</f>
        <v>5.18768760916631E-16</v>
      </c>
      <c r="N18">
        <f t="shared" ref="N18:N37" si="4">L18/$K$6</f>
        <v>-8.4178844464722425E+21</v>
      </c>
      <c r="Q18">
        <v>2.0000000000000001E-4</v>
      </c>
      <c r="R18">
        <f t="shared" ref="R18:R37" si="5">(8.314*562.1)/(Q18-$C$13)-($C$12*$D$21/((Q18+$C$5*$C$13)*(Q18+$C$6*$C$13)))</f>
        <v>-3.3999894345153696E+17</v>
      </c>
      <c r="S18">
        <f t="shared" ref="S18:S37" si="6">$G$6*Q18/(8.314*$G$5)</f>
        <v>1.2741216062983915E-15</v>
      </c>
      <c r="T18">
        <f t="shared" ref="T18:T37" si="7">R18/$G$6</f>
        <v>-1.3127372334036175E+21</v>
      </c>
      <c r="V18">
        <f t="shared" ref="V18:V37" si="8">(8.314*190.4)/(Q18-$C$16)-($C$15*$D$26/((Q18+$C$5*$C$16)*(Q18+$C$6*$C$16)))</f>
        <v>-8.3505413708885926E+17</v>
      </c>
      <c r="W18">
        <f t="shared" ref="W18:W37" si="9">$K$6*Q18/(8.314*$K$5)</f>
        <v>5.18768760916631E-16</v>
      </c>
      <c r="X18">
        <f t="shared" ref="X18:X37" si="10">V18/$K$6</f>
        <v>-8.4178844464602751E+21</v>
      </c>
      <c r="AA18">
        <v>2.0000000000000001E-4</v>
      </c>
      <c r="AB18">
        <f t="shared" ref="AB18:AB37" si="11">(8.314*674.52)/(AA18-$C$13)-($C$12*$E$21/((AA18+$C$5*$C$13)*(AA18+$C$6*$C$13)))</f>
        <v>-3.1611860329168781E+17</v>
      </c>
      <c r="AC18">
        <f t="shared" ref="AC18:AC36" si="12">$G$6*AA18/(8.314*$G$5)</f>
        <v>1.2741216062983915E-15</v>
      </c>
      <c r="AD18">
        <f t="shared" ref="AD18:AD37" si="13">AB18/$G$6</f>
        <v>-1.2205351478443544E+21</v>
      </c>
      <c r="AF18">
        <f t="shared" ref="AF18:AF37" si="14">(8.314*228.48)/(AA18-$C$16)-($C$15*$E$26/((AA18+$C$5*$C$16)*(AA18+$C$6*$C$16)))</f>
        <v>-8.3505413708727629E+17</v>
      </c>
      <c r="AG18">
        <f t="shared" ref="AG18:AG37" si="15">$K$6*AA18/(8.314*$K$5)</f>
        <v>5.18768760916631E-16</v>
      </c>
      <c r="AH18">
        <f t="shared" ref="AH18:AH37" si="16">AF18/$K$6</f>
        <v>-8.4178844464443178E+21</v>
      </c>
      <c r="AL18">
        <v>2.0000000000000001E-4</v>
      </c>
      <c r="AM18">
        <f t="shared" ref="AM18:AM37" si="17">(8.314*477.785)/(AL18-$D$13)-($D$12*$C$22/((AL18+$D$5*$D$13)*(AL18+$D$6*$D$13)))</f>
        <v>19861522.450000003</v>
      </c>
      <c r="AN18">
        <f t="shared" ref="AN18:AN37" si="18">$G$6*AL18/(8.314*$G$5)</f>
        <v>1.2741216062983915E-15</v>
      </c>
      <c r="AO18">
        <f t="shared" ref="AO18:AO37" si="19">AM18/$G$6</f>
        <v>76685414864.864868</v>
      </c>
      <c r="AQ18">
        <f t="shared" ref="AQ18:AQ37" si="20">(8.314*161.84)/(AL18-$D$16)-($D$15*$C$27/((AL18+$D$5*$D$16)*(AL18+$D$6*$D$16)))</f>
        <v>6727688.7999999998</v>
      </c>
      <c r="AR18">
        <f t="shared" ref="AR18:AR37" si="21">$K$6*AL18/(8.314*$K$5)</f>
        <v>5.18768760916631E-16</v>
      </c>
      <c r="AS18">
        <f t="shared" ref="AS18:AS37" si="22">AQ18/$K$6</f>
        <v>67819443548.387093</v>
      </c>
      <c r="AV18">
        <v>2.0000000000000001E-4</v>
      </c>
      <c r="AW18">
        <f t="shared" ref="AW18:AW37" si="23">(8.314*562.1)/(AV18-$D$13)-($D$12*$D$22/((AV18+$D$5*$D$13)*(AV18+$D$6*$D$13)))</f>
        <v>23366497</v>
      </c>
      <c r="AX18">
        <f t="shared" ref="AX18:AX37" si="24">$G$6*AV18/(8.314*$G$5)</f>
        <v>1.2741216062983915E-15</v>
      </c>
      <c r="AY18">
        <f t="shared" ref="AY18:AY37" si="25">AW18/$G$6</f>
        <v>90218135135.135132</v>
      </c>
      <c r="BA18">
        <f t="shared" ref="BA18:BA37" si="26">(8.314*190.2)/(AV18-$D$16)-($D$15*$D$27/((AV18+$D$5*$D$16)*(AV18+$D$6*$D$16)))</f>
        <v>7906613.9999999991</v>
      </c>
      <c r="BB18">
        <f t="shared" ref="BB18:BB37" si="27">$K$6*AV18/(8.314*$K$5)</f>
        <v>5.18768760916631E-16</v>
      </c>
      <c r="BC18">
        <f t="shared" ref="BC18:BC37" si="28">BA18/$K$6</f>
        <v>79703770161.290314</v>
      </c>
      <c r="BF18">
        <v>2.0000000000000001E-4</v>
      </c>
      <c r="BG18">
        <f t="shared" ref="BG18:BG37" si="29">(8.314*674.52)/(BF18-$D$13)-($D$12*$E$22/((BF18+$D$5*$D$13)*(BF18+$D$6*$D$13)))</f>
        <v>28039796.399999999</v>
      </c>
      <c r="BH18">
        <f t="shared" ref="BH18:BH37" si="30">$G$6*BF18/(8.314*$G$5)</f>
        <v>1.2741216062983915E-15</v>
      </c>
      <c r="BI18">
        <f t="shared" ref="BI18:BI37" si="31">BG18/$G$6</f>
        <v>108261762162.16216</v>
      </c>
      <c r="BK18">
        <f t="shared" ref="BK18:BK37" si="32">(8.314*228.48)/(BF18-$D$16)-($D$15*$E$27/((BF18+$D$5*$D$16)*(BF18+$D$6*$D$16)))</f>
        <v>9497913.5999999996</v>
      </c>
      <c r="BL18">
        <f t="shared" ref="BL18:BL37" si="33">$K$6*BF18/(8.314*$K$5)</f>
        <v>5.18768760916631E-16</v>
      </c>
      <c r="BM18">
        <f t="shared" ref="BM18:BM37" si="34">BK18/$K$6</f>
        <v>95745096774.193542</v>
      </c>
    </row>
    <row r="19" spans="1:65" x14ac:dyDescent="0.25">
      <c r="B19" s="24"/>
      <c r="C19" s="18">
        <f>G4*0.85</f>
        <v>477.78500000000003</v>
      </c>
      <c r="D19" s="18">
        <f>G4*1</f>
        <v>562.1</v>
      </c>
      <c r="E19" s="18">
        <f>G4*1.2</f>
        <v>674.52</v>
      </c>
      <c r="G19">
        <v>4.0000000000000002E-4</v>
      </c>
      <c r="H19">
        <f t="shared" ref="H19:H37" si="35">(8.314*477.785)/(G19-$C$13)-($C$12*$C$21/((G19+$C$5*$C$13)*(G19+$C$6*$C$13)))</f>
        <v>-9.004301594190224E+16</v>
      </c>
      <c r="I19">
        <f t="shared" si="0"/>
        <v>2.548243212596783E-15</v>
      </c>
      <c r="J19">
        <f t="shared" si="1"/>
        <v>-3.4765643220811678E+20</v>
      </c>
      <c r="L19">
        <f t="shared" si="2"/>
        <v>-2.087635342708297E+17</v>
      </c>
      <c r="M19">
        <f t="shared" si="3"/>
        <v>1.037537521833262E-15</v>
      </c>
      <c r="N19">
        <f t="shared" si="4"/>
        <v>-2.1044711116011059E+21</v>
      </c>
      <c r="Q19">
        <v>4.0000000000000002E-4</v>
      </c>
      <c r="R19">
        <f t="shared" si="5"/>
        <v>-8.4999735857042624E+16</v>
      </c>
      <c r="S19">
        <f t="shared" si="6"/>
        <v>2.548243212596783E-15</v>
      </c>
      <c r="T19">
        <f t="shared" si="7"/>
        <v>-3.2818430832834989E+20</v>
      </c>
      <c r="V19">
        <f t="shared" si="8"/>
        <v>-2.0876353427023606E+17</v>
      </c>
      <c r="W19">
        <f t="shared" si="9"/>
        <v>1.037537521833262E-15</v>
      </c>
      <c r="X19">
        <f t="shared" si="10"/>
        <v>-2.1044711115951217E+21</v>
      </c>
      <c r="AA19">
        <v>4.0000000000000002E-4</v>
      </c>
      <c r="AB19">
        <f t="shared" si="11"/>
        <v>-7.9029650815912E+16</v>
      </c>
      <c r="AC19">
        <f t="shared" si="12"/>
        <v>2.548243212596783E-15</v>
      </c>
      <c r="AD19">
        <f t="shared" si="13"/>
        <v>-3.0513378693402316E+20</v>
      </c>
      <c r="AF19">
        <f t="shared" si="14"/>
        <v>-2.0876353426944458E+17</v>
      </c>
      <c r="AG19">
        <f t="shared" si="15"/>
        <v>1.037537521833262E-15</v>
      </c>
      <c r="AH19">
        <f t="shared" si="16"/>
        <v>-2.1044711115871428E+21</v>
      </c>
      <c r="AL19">
        <v>4.0000000000000002E-4</v>
      </c>
      <c r="AM19">
        <f t="shared" si="17"/>
        <v>9930761.2250000015</v>
      </c>
      <c r="AN19">
        <f t="shared" si="18"/>
        <v>2.548243212596783E-15</v>
      </c>
      <c r="AO19">
        <f t="shared" si="19"/>
        <v>38342707432.432434</v>
      </c>
      <c r="AQ19">
        <f t="shared" si="20"/>
        <v>3363844.4</v>
      </c>
      <c r="AR19">
        <f t="shared" si="21"/>
        <v>1.037537521833262E-15</v>
      </c>
      <c r="AS19">
        <f t="shared" si="22"/>
        <v>33909721774.193546</v>
      </c>
      <c r="AV19">
        <v>4.0000000000000002E-4</v>
      </c>
      <c r="AW19">
        <f t="shared" si="23"/>
        <v>11683248.5</v>
      </c>
      <c r="AX19">
        <f t="shared" si="24"/>
        <v>2.548243212596783E-15</v>
      </c>
      <c r="AY19">
        <f t="shared" si="25"/>
        <v>45109067567.567566</v>
      </c>
      <c r="BA19">
        <f t="shared" si="26"/>
        <v>3953306.9999999995</v>
      </c>
      <c r="BB19">
        <f t="shared" si="27"/>
        <v>1.037537521833262E-15</v>
      </c>
      <c r="BC19">
        <f t="shared" si="28"/>
        <v>39851885080.645157</v>
      </c>
      <c r="BF19">
        <v>4.0000000000000002E-4</v>
      </c>
      <c r="BG19">
        <f t="shared" si="29"/>
        <v>14019898.199999999</v>
      </c>
      <c r="BH19">
        <f t="shared" si="30"/>
        <v>2.548243212596783E-15</v>
      </c>
      <c r="BI19">
        <f t="shared" si="31"/>
        <v>54130881081.081078</v>
      </c>
      <c r="BK19">
        <f t="shared" si="32"/>
        <v>4748956.8</v>
      </c>
      <c r="BL19">
        <f t="shared" si="33"/>
        <v>1.037537521833262E-15</v>
      </c>
      <c r="BM19">
        <f t="shared" si="34"/>
        <v>47872548387.096771</v>
      </c>
    </row>
    <row r="20" spans="1:65" x14ac:dyDescent="0.25">
      <c r="A20" t="s">
        <v>7</v>
      </c>
      <c r="B20" s="34" t="s">
        <v>65</v>
      </c>
      <c r="C20" s="24">
        <f>(1+$C$9*(1-0.85^0.5))^2</f>
        <v>1.0763271235078267</v>
      </c>
      <c r="D20" s="24">
        <f>(1+$C$9*(1-1^0.5))^2</f>
        <v>1</v>
      </c>
      <c r="E20" s="24">
        <f>(1+$C$9*(1-1.2^0.5))^2</f>
        <v>0.91047158059332012</v>
      </c>
      <c r="G20">
        <v>5.9999999999999995E-4</v>
      </c>
      <c r="H20">
        <f t="shared" si="35"/>
        <v>-4.0019118194194176E+16</v>
      </c>
      <c r="I20">
        <f t="shared" si="0"/>
        <v>3.8223648188951742E-15</v>
      </c>
      <c r="J20">
        <f t="shared" si="1"/>
        <v>-1.5451396986175357E+20</v>
      </c>
      <c r="L20">
        <f t="shared" si="2"/>
        <v>-9.2783793008510144E+16</v>
      </c>
      <c r="M20">
        <f t="shared" si="3"/>
        <v>1.5563062827498925E-15</v>
      </c>
      <c r="N20">
        <f t="shared" si="4"/>
        <v>-9.3532049403740068E+20</v>
      </c>
      <c r="Q20">
        <v>5.9999999999999995E-4</v>
      </c>
      <c r="R20">
        <f t="shared" si="5"/>
        <v>-3.777766037831156E+16</v>
      </c>
      <c r="S20">
        <f t="shared" si="6"/>
        <v>3.8223648188951742E-15</v>
      </c>
      <c r="T20">
        <f t="shared" si="7"/>
        <v>-1.4585969258035351E+20</v>
      </c>
      <c r="V20">
        <f t="shared" si="8"/>
        <v>-9.27837930081144E+16</v>
      </c>
      <c r="W20">
        <f t="shared" si="9"/>
        <v>1.5563062827498925E-15</v>
      </c>
      <c r="X20">
        <f t="shared" si="10"/>
        <v>-9.3532049403341124E+20</v>
      </c>
      <c r="AA20">
        <v>5.9999999999999995E-4</v>
      </c>
      <c r="AB20">
        <f t="shared" si="11"/>
        <v>-3.512428924840092E+16</v>
      </c>
      <c r="AC20">
        <f t="shared" si="12"/>
        <v>3.8223648188951742E-15</v>
      </c>
      <c r="AD20">
        <f t="shared" si="13"/>
        <v>-1.3561501640309236E+20</v>
      </c>
      <c r="AF20">
        <f t="shared" si="14"/>
        <v>-9.2783793007586736E+16</v>
      </c>
      <c r="AG20">
        <f t="shared" si="15"/>
        <v>1.5563062827498925E-15</v>
      </c>
      <c r="AH20">
        <f t="shared" si="16"/>
        <v>-9.3532049402809208E+20</v>
      </c>
      <c r="AL20">
        <v>5.9999999999999995E-4</v>
      </c>
      <c r="AM20">
        <f t="shared" si="17"/>
        <v>6620507.4833333343</v>
      </c>
      <c r="AN20">
        <f t="shared" si="18"/>
        <v>3.8223648188951742E-15</v>
      </c>
      <c r="AO20">
        <f t="shared" si="19"/>
        <v>25561804954.95496</v>
      </c>
      <c r="AQ20">
        <f t="shared" si="20"/>
        <v>2242562.9333333336</v>
      </c>
      <c r="AR20">
        <f t="shared" si="21"/>
        <v>1.5563062827498925E-15</v>
      </c>
      <c r="AS20">
        <f t="shared" si="22"/>
        <v>22606481182.7957</v>
      </c>
      <c r="AV20">
        <v>5.9999999999999995E-4</v>
      </c>
      <c r="AW20">
        <f t="shared" si="23"/>
        <v>7788832.333333334</v>
      </c>
      <c r="AX20">
        <f t="shared" si="24"/>
        <v>3.8223648188951742E-15</v>
      </c>
      <c r="AY20">
        <f t="shared" si="25"/>
        <v>30072711711.711712</v>
      </c>
      <c r="BA20">
        <f t="shared" si="26"/>
        <v>2635538</v>
      </c>
      <c r="BB20">
        <f t="shared" si="27"/>
        <v>1.5563062827498925E-15</v>
      </c>
      <c r="BC20">
        <f t="shared" si="28"/>
        <v>26567923387.096775</v>
      </c>
      <c r="BF20">
        <v>5.9999999999999995E-4</v>
      </c>
      <c r="BG20">
        <f t="shared" si="29"/>
        <v>9346598.8000000007</v>
      </c>
      <c r="BH20">
        <f t="shared" si="30"/>
        <v>3.8223648188951742E-15</v>
      </c>
      <c r="BI20">
        <f t="shared" si="31"/>
        <v>36087254054.054054</v>
      </c>
      <c r="BK20">
        <f t="shared" si="32"/>
        <v>3165971.2</v>
      </c>
      <c r="BL20">
        <f t="shared" si="33"/>
        <v>1.5563062827498925E-15</v>
      </c>
      <c r="BM20">
        <f t="shared" si="34"/>
        <v>31915032258.064518</v>
      </c>
    </row>
    <row r="21" spans="1:65" x14ac:dyDescent="0.25">
      <c r="A21" t="s">
        <v>8</v>
      </c>
      <c r="B21" s="58" t="s">
        <v>65</v>
      </c>
      <c r="C21" s="27">
        <f>(1+$D$9*(1-0.85^0.5))^2</f>
        <v>1.0593328912326976</v>
      </c>
      <c r="D21" s="27">
        <f>(1+$D$9*(1-1^0.5))^2</f>
        <v>1</v>
      </c>
      <c r="E21" s="27">
        <f>(1+$D$9*(1-1.2^0.5))^2</f>
        <v>0.92976348717113422</v>
      </c>
      <c r="G21">
        <v>8.0000000000000004E-4</v>
      </c>
      <c r="H21">
        <f t="shared" si="35"/>
        <v>-2.2510753982992872E+16</v>
      </c>
      <c r="I21">
        <f t="shared" si="0"/>
        <v>5.0964864251935659E-15</v>
      </c>
      <c r="J21">
        <f t="shared" si="1"/>
        <v>-8.6914108042443522E+19</v>
      </c>
      <c r="L21">
        <f t="shared" si="2"/>
        <v>-5.2190883566866464E+16</v>
      </c>
      <c r="M21">
        <f t="shared" si="3"/>
        <v>2.075075043666524E-15</v>
      </c>
      <c r="N21">
        <f t="shared" si="4"/>
        <v>-5.2611777789179901E+20</v>
      </c>
      <c r="Q21">
        <v>8.0000000000000004E-4</v>
      </c>
      <c r="R21">
        <f t="shared" si="5"/>
        <v>-2.1249933961339844E+16</v>
      </c>
      <c r="S21">
        <f t="shared" si="6"/>
        <v>5.0964864251935659E-15</v>
      </c>
      <c r="T21">
        <f t="shared" si="7"/>
        <v>-8.2046077070810202E+19</v>
      </c>
      <c r="V21">
        <f t="shared" si="8"/>
        <v>-5.2190883566569648E+16</v>
      </c>
      <c r="W21">
        <f t="shared" si="9"/>
        <v>2.075075043666524E-15</v>
      </c>
      <c r="X21">
        <f t="shared" si="10"/>
        <v>-5.2611777788880696E+20</v>
      </c>
      <c r="AA21">
        <v>8.0000000000000004E-4</v>
      </c>
      <c r="AB21">
        <f t="shared" si="11"/>
        <v>-1.9757412700473028E+16</v>
      </c>
      <c r="AC21">
        <f t="shared" si="12"/>
        <v>5.0964864251935659E-15</v>
      </c>
      <c r="AD21">
        <f t="shared" si="13"/>
        <v>-7.6283446719973081E+19</v>
      </c>
      <c r="AF21">
        <f t="shared" si="14"/>
        <v>-5.2190883566173904E+16</v>
      </c>
      <c r="AG21">
        <f t="shared" si="15"/>
        <v>2.075075043666524E-15</v>
      </c>
      <c r="AH21">
        <f t="shared" si="16"/>
        <v>-5.2611777788481759E+20</v>
      </c>
      <c r="AL21">
        <v>8.0000000000000004E-4</v>
      </c>
      <c r="AM21">
        <f t="shared" si="17"/>
        <v>4965380.6125000007</v>
      </c>
      <c r="AN21">
        <f t="shared" si="18"/>
        <v>5.0964864251935659E-15</v>
      </c>
      <c r="AO21">
        <f t="shared" si="19"/>
        <v>19171353716.216217</v>
      </c>
      <c r="AQ21">
        <f t="shared" si="20"/>
        <v>1681922.2</v>
      </c>
      <c r="AR21">
        <f t="shared" si="21"/>
        <v>2.075075043666524E-15</v>
      </c>
      <c r="AS21">
        <f t="shared" si="22"/>
        <v>16954860887.096773</v>
      </c>
      <c r="AV21">
        <v>8.0000000000000004E-4</v>
      </c>
      <c r="AW21">
        <f t="shared" si="23"/>
        <v>5841624.25</v>
      </c>
      <c r="AX21">
        <f t="shared" si="24"/>
        <v>5.0964864251935659E-15</v>
      </c>
      <c r="AY21">
        <f t="shared" si="25"/>
        <v>22554533783.783783</v>
      </c>
      <c r="BA21">
        <f t="shared" si="26"/>
        <v>1976653.4999999998</v>
      </c>
      <c r="BB21">
        <f t="shared" si="27"/>
        <v>2.075075043666524E-15</v>
      </c>
      <c r="BC21">
        <f t="shared" si="28"/>
        <v>19925942540.322578</v>
      </c>
      <c r="BF21">
        <v>8.0000000000000004E-4</v>
      </c>
      <c r="BG21">
        <f t="shared" si="29"/>
        <v>7009949.0999999996</v>
      </c>
      <c r="BH21">
        <f t="shared" si="30"/>
        <v>5.0964864251935659E-15</v>
      </c>
      <c r="BI21">
        <f t="shared" si="31"/>
        <v>27065440540.540539</v>
      </c>
      <c r="BK21">
        <f t="shared" si="32"/>
        <v>2374478.4</v>
      </c>
      <c r="BL21">
        <f t="shared" si="33"/>
        <v>2.075075043666524E-15</v>
      </c>
      <c r="BM21">
        <f t="shared" si="34"/>
        <v>23936274193.548386</v>
      </c>
    </row>
    <row r="22" spans="1:65" x14ac:dyDescent="0.25">
      <c r="B22" s="24"/>
      <c r="C22" s="24"/>
      <c r="D22" s="24"/>
      <c r="E22" s="24"/>
      <c r="G22">
        <v>1E-3</v>
      </c>
      <c r="H22">
        <f t="shared" si="35"/>
        <v>-1.4406882548320978E+16</v>
      </c>
      <c r="I22">
        <f t="shared" si="0"/>
        <v>6.3706080314919576E-15</v>
      </c>
      <c r="J22">
        <f t="shared" si="1"/>
        <v>-5.562502914409644E+19</v>
      </c>
      <c r="L22">
        <f t="shared" si="2"/>
        <v>-3.3402165482525432E+16</v>
      </c>
      <c r="M22">
        <f t="shared" si="3"/>
        <v>2.5938438045831545E-15</v>
      </c>
      <c r="N22">
        <f t="shared" si="4"/>
        <v>-3.3671537784803865E+20</v>
      </c>
      <c r="Q22">
        <v>1E-3</v>
      </c>
      <c r="R22">
        <f t="shared" si="5"/>
        <v>-1.359995773432284E+16</v>
      </c>
      <c r="S22">
        <f t="shared" si="6"/>
        <v>6.3706080314919576E-15</v>
      </c>
      <c r="T22">
        <f t="shared" si="7"/>
        <v>-5.2509489321709806E+19</v>
      </c>
      <c r="V22">
        <f t="shared" si="8"/>
        <v>-3.3402165482287984E+16</v>
      </c>
      <c r="W22">
        <f t="shared" si="9"/>
        <v>2.5938438045831545E-15</v>
      </c>
      <c r="X22">
        <f t="shared" si="10"/>
        <v>-3.3671537784564502E+20</v>
      </c>
      <c r="AA22">
        <v>1E-3</v>
      </c>
      <c r="AB22">
        <f t="shared" si="11"/>
        <v>-1.2644744127181146E+16</v>
      </c>
      <c r="AC22">
        <f t="shared" si="12"/>
        <v>6.3706080314919576E-15</v>
      </c>
      <c r="AD22">
        <f t="shared" si="13"/>
        <v>-4.8821405896452301E+19</v>
      </c>
      <c r="AF22">
        <f t="shared" si="14"/>
        <v>-3.3402165481971384E+16</v>
      </c>
      <c r="AG22">
        <f t="shared" si="15"/>
        <v>2.5938438045831545E-15</v>
      </c>
      <c r="AH22">
        <f t="shared" si="16"/>
        <v>-3.3671537784245348E+20</v>
      </c>
      <c r="AL22">
        <v>1E-3</v>
      </c>
      <c r="AM22">
        <f t="shared" si="17"/>
        <v>3972304.49</v>
      </c>
      <c r="AN22">
        <f t="shared" si="18"/>
        <v>6.3706080314919576E-15</v>
      </c>
      <c r="AO22">
        <f t="shared" si="19"/>
        <v>15337082972.972973</v>
      </c>
      <c r="AQ22">
        <f t="shared" si="20"/>
        <v>1345537.76</v>
      </c>
      <c r="AR22">
        <f t="shared" si="21"/>
        <v>2.5938438045831545E-15</v>
      </c>
      <c r="AS22">
        <f t="shared" si="22"/>
        <v>13563888709.67742</v>
      </c>
      <c r="AV22">
        <v>1E-3</v>
      </c>
      <c r="AW22">
        <f t="shared" si="23"/>
        <v>4673299.3999999994</v>
      </c>
      <c r="AX22">
        <f t="shared" si="24"/>
        <v>6.3706080314919576E-15</v>
      </c>
      <c r="AY22">
        <f t="shared" si="25"/>
        <v>18043627027.027023</v>
      </c>
      <c r="BA22">
        <f t="shared" si="26"/>
        <v>1581322.7999999998</v>
      </c>
      <c r="BB22">
        <f t="shared" si="27"/>
        <v>2.5938438045831545E-15</v>
      </c>
      <c r="BC22">
        <f t="shared" si="28"/>
        <v>15940754032.258062</v>
      </c>
      <c r="BF22">
        <v>1E-3</v>
      </c>
      <c r="BG22">
        <f t="shared" si="29"/>
        <v>5607959.2800000003</v>
      </c>
      <c r="BH22">
        <f t="shared" si="30"/>
        <v>6.3706080314919576E-15</v>
      </c>
      <c r="BI22">
        <f t="shared" si="31"/>
        <v>21652352432.432434</v>
      </c>
      <c r="BK22">
        <f t="shared" si="32"/>
        <v>1899582.7199999997</v>
      </c>
      <c r="BL22">
        <f t="shared" si="33"/>
        <v>2.5938438045831545E-15</v>
      </c>
      <c r="BM22">
        <f t="shared" si="34"/>
        <v>19149019354.838707</v>
      </c>
    </row>
    <row r="23" spans="1:65" x14ac:dyDescent="0.25">
      <c r="B23" s="24" t="s">
        <v>40</v>
      </c>
      <c r="C23" s="18" t="s">
        <v>62</v>
      </c>
      <c r="D23" s="18" t="s">
        <v>63</v>
      </c>
      <c r="E23" s="18" t="s">
        <v>64</v>
      </c>
      <c r="G23">
        <v>1.1999999999999999E-3</v>
      </c>
      <c r="H23">
        <f t="shared" si="35"/>
        <v>-1.0004779546893416E+16</v>
      </c>
      <c r="I23">
        <f t="shared" si="0"/>
        <v>7.6447296377903485E-15</v>
      </c>
      <c r="J23">
        <f t="shared" si="1"/>
        <v>-3.8628492459047936E+19</v>
      </c>
      <c r="L23">
        <f t="shared" si="2"/>
        <v>-2.3195948251566896E+16</v>
      </c>
      <c r="M23">
        <f t="shared" si="3"/>
        <v>3.112612565499785E-15</v>
      </c>
      <c r="N23">
        <f t="shared" si="4"/>
        <v>-2.3383012350369854E+20</v>
      </c>
      <c r="Q23">
        <v>1.1999999999999999E-3</v>
      </c>
      <c r="R23">
        <f t="shared" si="5"/>
        <v>-9444415092630682</v>
      </c>
      <c r="S23">
        <f t="shared" si="6"/>
        <v>7.6447296377903485E-15</v>
      </c>
      <c r="T23">
        <f t="shared" si="7"/>
        <v>-3.6464923137570202E+19</v>
      </c>
      <c r="V23">
        <f t="shared" si="8"/>
        <v>-2.319594825136902E+16</v>
      </c>
      <c r="W23">
        <f t="shared" si="9"/>
        <v>3.112612565499785E-15</v>
      </c>
      <c r="X23">
        <f t="shared" si="10"/>
        <v>-2.3383012350170382E+20</v>
      </c>
      <c r="AA23">
        <v>1.1999999999999999E-3</v>
      </c>
      <c r="AB23">
        <f t="shared" si="11"/>
        <v>-8781072309763581</v>
      </c>
      <c r="AC23">
        <f t="shared" si="12"/>
        <v>7.6447296377903485E-15</v>
      </c>
      <c r="AD23">
        <f t="shared" si="13"/>
        <v>-3.3903754091751277E+19</v>
      </c>
      <c r="AF23">
        <f t="shared" si="14"/>
        <v>-2.3195948251105192E+16</v>
      </c>
      <c r="AG23">
        <f t="shared" si="15"/>
        <v>3.112612565499785E-15</v>
      </c>
      <c r="AH23">
        <f t="shared" si="16"/>
        <v>-2.3383012349904427E+20</v>
      </c>
      <c r="AL23">
        <v>1.1999999999999999E-3</v>
      </c>
      <c r="AM23">
        <f t="shared" si="17"/>
        <v>3310253.7416666672</v>
      </c>
      <c r="AN23">
        <f t="shared" si="18"/>
        <v>7.6447296377903485E-15</v>
      </c>
      <c r="AO23">
        <f t="shared" si="19"/>
        <v>12780902477.47748</v>
      </c>
      <c r="AQ23">
        <f t="shared" si="20"/>
        <v>1121281.4666666668</v>
      </c>
      <c r="AR23">
        <f t="shared" si="21"/>
        <v>3.112612565499785E-15</v>
      </c>
      <c r="AS23">
        <f t="shared" si="22"/>
        <v>11303240591.39785</v>
      </c>
      <c r="AV23">
        <v>1.1999999999999999E-3</v>
      </c>
      <c r="AW23">
        <f t="shared" si="23"/>
        <v>3894416.166666667</v>
      </c>
      <c r="AX23">
        <f t="shared" si="24"/>
        <v>7.6447296377903485E-15</v>
      </c>
      <c r="AY23">
        <f t="shared" si="25"/>
        <v>15036355855.855856</v>
      </c>
      <c r="BA23">
        <f t="shared" si="26"/>
        <v>1317769</v>
      </c>
      <c r="BB23">
        <f t="shared" si="27"/>
        <v>3.112612565499785E-15</v>
      </c>
      <c r="BC23">
        <f t="shared" si="28"/>
        <v>13283961693.548388</v>
      </c>
      <c r="BF23">
        <v>1.1999999999999999E-3</v>
      </c>
      <c r="BG23">
        <f t="shared" si="29"/>
        <v>4673299.4000000004</v>
      </c>
      <c r="BH23">
        <f t="shared" si="30"/>
        <v>7.6447296377903485E-15</v>
      </c>
      <c r="BI23">
        <f t="shared" si="31"/>
        <v>18043627027.027027</v>
      </c>
      <c r="BK23">
        <f t="shared" si="32"/>
        <v>1582985.6</v>
      </c>
      <c r="BL23">
        <f t="shared" si="33"/>
        <v>3.112612565499785E-15</v>
      </c>
      <c r="BM23">
        <f t="shared" si="34"/>
        <v>15957516129.032259</v>
      </c>
    </row>
    <row r="24" spans="1:65" x14ac:dyDescent="0.25">
      <c r="B24" s="24"/>
      <c r="C24" s="18">
        <f>K4*0.85</f>
        <v>161.84</v>
      </c>
      <c r="D24" s="18">
        <v>190.4</v>
      </c>
      <c r="E24" s="18">
        <f>190.4*1.2</f>
        <v>228.48</v>
      </c>
      <c r="G24">
        <v>1.4E-3</v>
      </c>
      <c r="H24">
        <f t="shared" si="35"/>
        <v>-7350450278944927</v>
      </c>
      <c r="I24">
        <f t="shared" si="0"/>
        <v>8.9188512440887402E-15</v>
      </c>
      <c r="J24">
        <f t="shared" si="1"/>
        <v>-2.838011690712327E+19</v>
      </c>
      <c r="L24">
        <f t="shared" si="2"/>
        <v>-1.7041921164279192E+16</v>
      </c>
      <c r="M24">
        <f t="shared" si="3"/>
        <v>3.6313813264164171E-15</v>
      </c>
      <c r="N24">
        <f t="shared" si="4"/>
        <v>-1.7179356012378217E+20</v>
      </c>
      <c r="Q24">
        <v>1.4E-3</v>
      </c>
      <c r="R24">
        <f t="shared" si="5"/>
        <v>-6938753945129348</v>
      </c>
      <c r="S24">
        <f t="shared" si="6"/>
        <v>8.9188512440887402E-15</v>
      </c>
      <c r="T24">
        <f t="shared" si="7"/>
        <v>-2.6790555772700185E+19</v>
      </c>
      <c r="V24">
        <f t="shared" si="8"/>
        <v>-1.7041921164109586E+16</v>
      </c>
      <c r="W24">
        <f t="shared" si="9"/>
        <v>3.6313813264164171E-15</v>
      </c>
      <c r="X24">
        <f t="shared" si="10"/>
        <v>-1.7179356012207243E+20</v>
      </c>
      <c r="AA24">
        <v>1.4E-3</v>
      </c>
      <c r="AB24">
        <f t="shared" si="11"/>
        <v>-6451400063743859</v>
      </c>
      <c r="AC24">
        <f t="shared" si="12"/>
        <v>8.9188512440887402E-15</v>
      </c>
      <c r="AD24">
        <f t="shared" si="13"/>
        <v>-2.4908880554995593E+19</v>
      </c>
      <c r="AF24">
        <f t="shared" si="14"/>
        <v>-1.7041921163883446E+16</v>
      </c>
      <c r="AG24">
        <f t="shared" si="15"/>
        <v>3.6313813264164171E-15</v>
      </c>
      <c r="AH24">
        <f t="shared" si="16"/>
        <v>-1.717935601197928E+20</v>
      </c>
      <c r="AL24">
        <v>1.4E-3</v>
      </c>
      <c r="AM24">
        <f t="shared" si="17"/>
        <v>2837360.3500000006</v>
      </c>
      <c r="AN24">
        <f t="shared" si="18"/>
        <v>8.9188512440887402E-15</v>
      </c>
      <c r="AO24">
        <f t="shared" si="19"/>
        <v>10955059266.409267</v>
      </c>
      <c r="AQ24">
        <f t="shared" si="20"/>
        <v>961098.39999999991</v>
      </c>
      <c r="AR24">
        <f t="shared" si="21"/>
        <v>3.6313813264164171E-15</v>
      </c>
      <c r="AS24">
        <f t="shared" si="22"/>
        <v>9688491935.4838696</v>
      </c>
      <c r="AV24">
        <v>1.4E-3</v>
      </c>
      <c r="AW24">
        <f t="shared" si="23"/>
        <v>3338071</v>
      </c>
      <c r="AX24">
        <f t="shared" si="24"/>
        <v>8.9188512440887402E-15</v>
      </c>
      <c r="AY24">
        <f t="shared" si="25"/>
        <v>12888305019.305019</v>
      </c>
      <c r="BA24">
        <f t="shared" si="26"/>
        <v>1129516.2857142857</v>
      </c>
      <c r="BB24">
        <f t="shared" si="27"/>
        <v>3.6313813264164171E-15</v>
      </c>
      <c r="BC24">
        <f t="shared" si="28"/>
        <v>11386252880.184332</v>
      </c>
      <c r="BF24">
        <v>1.4E-3</v>
      </c>
      <c r="BG24">
        <f t="shared" si="29"/>
        <v>4005685.2</v>
      </c>
      <c r="BH24">
        <f t="shared" si="30"/>
        <v>8.9188512440887402E-15</v>
      </c>
      <c r="BI24">
        <f t="shared" si="31"/>
        <v>15465966023.166023</v>
      </c>
      <c r="BK24">
        <f t="shared" si="32"/>
        <v>1356844.7999999998</v>
      </c>
      <c r="BL24">
        <f t="shared" si="33"/>
        <v>3.6313813264164171E-15</v>
      </c>
      <c r="BM24">
        <f t="shared" si="34"/>
        <v>13677870967.741934</v>
      </c>
    </row>
    <row r="25" spans="1:65" x14ac:dyDescent="0.25">
      <c r="A25" t="s">
        <v>7</v>
      </c>
      <c r="B25" s="34" t="s">
        <v>65</v>
      </c>
      <c r="C25" s="24">
        <f>(1+$C$10*(1-0.85^0.5))^2</f>
        <v>1</v>
      </c>
      <c r="D25" s="24">
        <f>(1+$C$10*(1-1^0.5))^2</f>
        <v>1</v>
      </c>
      <c r="E25" s="24">
        <f>(1+$C$10*(1-1.2^0.5))^2</f>
        <v>1</v>
      </c>
      <c r="G25">
        <v>1.6000000000000001E-3</v>
      </c>
      <c r="H25">
        <f t="shared" si="35"/>
        <v>-5627688494506873</v>
      </c>
      <c r="I25">
        <f t="shared" si="0"/>
        <v>1.0192972850387132E-14</v>
      </c>
      <c r="J25">
        <f t="shared" si="1"/>
        <v>-2.172852700581804E+19</v>
      </c>
      <c r="L25">
        <f t="shared" si="2"/>
        <v>-1.3047720891296134E+16</v>
      </c>
      <c r="M25">
        <f t="shared" si="3"/>
        <v>4.150150087333048E-15</v>
      </c>
      <c r="N25">
        <f t="shared" si="4"/>
        <v>-1.3152944446871103E+20</v>
      </c>
      <c r="Q25">
        <v>1.6000000000000001E-3</v>
      </c>
      <c r="R25">
        <f t="shared" si="5"/>
        <v>-5312483488874555</v>
      </c>
      <c r="S25">
        <f t="shared" si="6"/>
        <v>1.0192972850387132E-14</v>
      </c>
      <c r="T25">
        <f t="shared" si="7"/>
        <v>-2.0511519262063919E+19</v>
      </c>
      <c r="V25">
        <f t="shared" si="8"/>
        <v>-1.304772089114773E+16</v>
      </c>
      <c r="W25">
        <f t="shared" si="9"/>
        <v>4.150150087333048E-15</v>
      </c>
      <c r="X25">
        <f t="shared" si="10"/>
        <v>-1.3152944446721502E+20</v>
      </c>
      <c r="AA25">
        <v>1.6000000000000001E-3</v>
      </c>
      <c r="AB25">
        <f t="shared" si="11"/>
        <v>-4939353173365769</v>
      </c>
      <c r="AC25">
        <f t="shared" si="12"/>
        <v>1.0192972850387132E-14</v>
      </c>
      <c r="AD25">
        <f t="shared" si="13"/>
        <v>-1.9070861673226908E+19</v>
      </c>
      <c r="AF25">
        <f t="shared" si="14"/>
        <v>-1.3047720890949856E+16</v>
      </c>
      <c r="AG25">
        <f t="shared" si="15"/>
        <v>4.150150087333048E-15</v>
      </c>
      <c r="AH25">
        <f t="shared" si="16"/>
        <v>-1.3152944446522032E+20</v>
      </c>
      <c r="AL25">
        <v>1.6000000000000001E-3</v>
      </c>
      <c r="AM25">
        <f t="shared" si="17"/>
        <v>2482690.3062500004</v>
      </c>
      <c r="AN25">
        <f t="shared" si="18"/>
        <v>1.0192972850387132E-14</v>
      </c>
      <c r="AO25">
        <f t="shared" si="19"/>
        <v>9585676858.1081085</v>
      </c>
      <c r="AQ25">
        <f t="shared" si="20"/>
        <v>840961.1</v>
      </c>
      <c r="AR25">
        <f t="shared" si="21"/>
        <v>4.150150087333048E-15</v>
      </c>
      <c r="AS25">
        <f t="shared" si="22"/>
        <v>8477430443.5483866</v>
      </c>
      <c r="AV25">
        <v>1.6000000000000001E-3</v>
      </c>
      <c r="AW25">
        <f t="shared" si="23"/>
        <v>2920812.125</v>
      </c>
      <c r="AX25">
        <f t="shared" si="24"/>
        <v>1.0192972850387132E-14</v>
      </c>
      <c r="AY25">
        <f t="shared" si="25"/>
        <v>11277266891.891891</v>
      </c>
      <c r="BA25">
        <f t="shared" si="26"/>
        <v>988326.74999999988</v>
      </c>
      <c r="BB25">
        <f t="shared" si="27"/>
        <v>4.150150087333048E-15</v>
      </c>
      <c r="BC25">
        <f t="shared" si="28"/>
        <v>9962971270.1612892</v>
      </c>
      <c r="BF25">
        <v>1.6000000000000001E-3</v>
      </c>
      <c r="BG25">
        <f t="shared" si="29"/>
        <v>3504974.55</v>
      </c>
      <c r="BH25">
        <f t="shared" si="30"/>
        <v>1.0192972850387132E-14</v>
      </c>
      <c r="BI25">
        <f t="shared" si="31"/>
        <v>13532720270.270269</v>
      </c>
      <c r="BK25">
        <f t="shared" si="32"/>
        <v>1187239.2</v>
      </c>
      <c r="BL25">
        <f t="shared" si="33"/>
        <v>4.150150087333048E-15</v>
      </c>
      <c r="BM25">
        <f t="shared" si="34"/>
        <v>11968137096.774193</v>
      </c>
    </row>
    <row r="26" spans="1:65" x14ac:dyDescent="0.25">
      <c r="A26" t="s">
        <v>8</v>
      </c>
      <c r="B26" s="58" t="s">
        <v>65</v>
      </c>
      <c r="C26" s="24">
        <f>(1+$D$10*(1-0.85^0.5))^2</f>
        <v>1</v>
      </c>
      <c r="D26" s="24">
        <f>(1+$D$10*(1-1^0.5))^2</f>
        <v>1</v>
      </c>
      <c r="E26" s="24">
        <f>(1+$D$10*(1-1.2^0.5))^2</f>
        <v>1</v>
      </c>
      <c r="G26">
        <v>1.8E-3</v>
      </c>
      <c r="H26">
        <f t="shared" si="35"/>
        <v>-4446568686772572</v>
      </c>
      <c r="I26">
        <f t="shared" si="0"/>
        <v>1.1467094456685522E-14</v>
      </c>
      <c r="J26">
        <f t="shared" si="1"/>
        <v>-1.7168218867847768E+19</v>
      </c>
      <c r="L26">
        <f t="shared" si="2"/>
        <v>-1.0309310333780556E+16</v>
      </c>
      <c r="M26">
        <f t="shared" si="3"/>
        <v>4.6689188482496781E-15</v>
      </c>
      <c r="N26">
        <f t="shared" si="4"/>
        <v>-1.0392449933246528E+20</v>
      </c>
      <c r="Q26">
        <v>1.8E-3</v>
      </c>
      <c r="R26">
        <f t="shared" si="5"/>
        <v>-4197517818081543.5</v>
      </c>
      <c r="S26">
        <f t="shared" si="6"/>
        <v>1.1467094456685522E-14</v>
      </c>
      <c r="T26">
        <f t="shared" si="7"/>
        <v>-1.6206632502245341E+19</v>
      </c>
      <c r="V26">
        <f t="shared" si="8"/>
        <v>-1.030931033364864E+16</v>
      </c>
      <c r="W26">
        <f t="shared" si="9"/>
        <v>4.6689188482496781E-15</v>
      </c>
      <c r="X26">
        <f t="shared" si="10"/>
        <v>-1.0392449933113549E+20</v>
      </c>
      <c r="AA26">
        <v>1.8E-3</v>
      </c>
      <c r="AB26">
        <f t="shared" si="11"/>
        <v>-3902698803300857.5</v>
      </c>
      <c r="AC26">
        <f t="shared" si="12"/>
        <v>1.1467094456685522E-14</v>
      </c>
      <c r="AD26">
        <f t="shared" si="13"/>
        <v>-1.5068335147879758E+19</v>
      </c>
      <c r="AF26">
        <f t="shared" si="14"/>
        <v>-1.0309310333472752E+16</v>
      </c>
      <c r="AG26">
        <f t="shared" si="15"/>
        <v>4.6689188482496781E-15</v>
      </c>
      <c r="AH26">
        <f t="shared" si="16"/>
        <v>-1.0392449932936243E+20</v>
      </c>
      <c r="AL26">
        <v>1.8E-3</v>
      </c>
      <c r="AM26">
        <f t="shared" si="17"/>
        <v>2206835.8277777783</v>
      </c>
      <c r="AN26">
        <f t="shared" si="18"/>
        <v>1.1467094456685522E-14</v>
      </c>
      <c r="AO26">
        <f t="shared" si="19"/>
        <v>8520601651.6516533</v>
      </c>
      <c r="AQ26">
        <f t="shared" si="20"/>
        <v>747520.97777777771</v>
      </c>
      <c r="AR26">
        <f t="shared" si="21"/>
        <v>4.6689188482496781E-15</v>
      </c>
      <c r="AS26">
        <f t="shared" si="22"/>
        <v>7535493727.5985661</v>
      </c>
      <c r="AV26">
        <v>1.8E-3</v>
      </c>
      <c r="AW26">
        <f t="shared" si="23"/>
        <v>2596277.4444444445</v>
      </c>
      <c r="AX26">
        <f t="shared" si="24"/>
        <v>1.1467094456685522E-14</v>
      </c>
      <c r="AY26">
        <f t="shared" si="25"/>
        <v>10024237237.237238</v>
      </c>
      <c r="BA26">
        <f t="shared" si="26"/>
        <v>878512.66666666663</v>
      </c>
      <c r="BB26">
        <f t="shared" si="27"/>
        <v>4.6689188482496781E-15</v>
      </c>
      <c r="BC26">
        <f t="shared" si="28"/>
        <v>8855974462.365591</v>
      </c>
      <c r="BF26">
        <v>1.8E-3</v>
      </c>
      <c r="BG26">
        <f t="shared" si="29"/>
        <v>3115532.9333333336</v>
      </c>
      <c r="BH26">
        <f t="shared" si="30"/>
        <v>1.1467094456685522E-14</v>
      </c>
      <c r="BI26">
        <f t="shared" si="31"/>
        <v>12029084684.684685</v>
      </c>
      <c r="BK26">
        <f t="shared" si="32"/>
        <v>1055323.7333333334</v>
      </c>
      <c r="BL26">
        <f t="shared" si="33"/>
        <v>4.6689188482496781E-15</v>
      </c>
      <c r="BM26">
        <f t="shared" si="34"/>
        <v>10638344086.021505</v>
      </c>
    </row>
    <row r="27" spans="1:65" x14ac:dyDescent="0.25">
      <c r="B27" s="24"/>
      <c r="C27" s="24"/>
      <c r="D27" s="24"/>
      <c r="E27" s="24"/>
      <c r="G27">
        <v>2E-3</v>
      </c>
      <c r="H27">
        <f t="shared" si="35"/>
        <v>-3601720636087168.5</v>
      </c>
      <c r="I27">
        <f t="shared" si="0"/>
        <v>1.2741216062983915E-14</v>
      </c>
      <c r="J27">
        <f t="shared" si="1"/>
        <v>-1.390625728218984E+19</v>
      </c>
      <c r="L27">
        <f t="shared" si="2"/>
        <v>-8350541370294973</v>
      </c>
      <c r="M27">
        <f t="shared" si="3"/>
        <v>5.187687609166309E-15</v>
      </c>
      <c r="N27">
        <f t="shared" si="4"/>
        <v>-8.4178844458618683E+19</v>
      </c>
      <c r="Q27">
        <v>2E-3</v>
      </c>
      <c r="R27">
        <f t="shared" si="5"/>
        <v>-3399989432412385.5</v>
      </c>
      <c r="S27">
        <f t="shared" si="6"/>
        <v>1.2741216062983915E-14</v>
      </c>
      <c r="T27">
        <f t="shared" si="7"/>
        <v>-1.3127372325916545E+19</v>
      </c>
      <c r="V27">
        <f t="shared" si="8"/>
        <v>-8350541370176249</v>
      </c>
      <c r="W27">
        <f t="shared" si="9"/>
        <v>5.187687609166309E-15</v>
      </c>
      <c r="X27">
        <f t="shared" si="10"/>
        <v>-8.4178844457421865E+19</v>
      </c>
      <c r="AA27">
        <v>2E-3</v>
      </c>
      <c r="AB27">
        <f t="shared" si="11"/>
        <v>-3161186030393297</v>
      </c>
      <c r="AC27">
        <f t="shared" si="12"/>
        <v>1.2741216062983915E-14</v>
      </c>
      <c r="AD27">
        <f t="shared" si="13"/>
        <v>-1.2205351468699988E+19</v>
      </c>
      <c r="AF27">
        <f t="shared" si="14"/>
        <v>-8350541370017951</v>
      </c>
      <c r="AG27">
        <f t="shared" si="15"/>
        <v>5.187687609166309E-15</v>
      </c>
      <c r="AH27">
        <f t="shared" si="16"/>
        <v>-8.4178844455826113E+19</v>
      </c>
      <c r="AL27">
        <v>2E-3</v>
      </c>
      <c r="AM27">
        <f t="shared" si="17"/>
        <v>1986152.2450000001</v>
      </c>
      <c r="AN27">
        <f t="shared" si="18"/>
        <v>1.2741216062983915E-14</v>
      </c>
      <c r="AO27">
        <f t="shared" si="19"/>
        <v>7668541486.4864864</v>
      </c>
      <c r="AQ27">
        <f t="shared" si="20"/>
        <v>672768.88</v>
      </c>
      <c r="AR27">
        <f t="shared" si="21"/>
        <v>5.187687609166309E-15</v>
      </c>
      <c r="AS27">
        <f t="shared" si="22"/>
        <v>6781944354.8387098</v>
      </c>
      <c r="AV27">
        <v>2E-3</v>
      </c>
      <c r="AW27">
        <f t="shared" si="23"/>
        <v>2336649.6999999997</v>
      </c>
      <c r="AX27">
        <f t="shared" si="24"/>
        <v>1.2741216062983915E-14</v>
      </c>
      <c r="AY27">
        <f t="shared" si="25"/>
        <v>9021813513.5135117</v>
      </c>
      <c r="BA27">
        <f t="shared" si="26"/>
        <v>790661.39999999991</v>
      </c>
      <c r="BB27">
        <f t="shared" si="27"/>
        <v>5.187687609166309E-15</v>
      </c>
      <c r="BC27">
        <f t="shared" si="28"/>
        <v>7970377016.1290312</v>
      </c>
      <c r="BF27">
        <v>2E-3</v>
      </c>
      <c r="BG27">
        <f t="shared" si="29"/>
        <v>2803979.64</v>
      </c>
      <c r="BH27">
        <f t="shared" si="30"/>
        <v>1.2741216062983915E-14</v>
      </c>
      <c r="BI27">
        <f t="shared" si="31"/>
        <v>10826176216.216217</v>
      </c>
      <c r="BK27">
        <f t="shared" si="32"/>
        <v>949791.35999999987</v>
      </c>
      <c r="BL27">
        <f t="shared" si="33"/>
        <v>5.187687609166309E-15</v>
      </c>
      <c r="BM27">
        <f t="shared" si="34"/>
        <v>9574509677.4193535</v>
      </c>
    </row>
    <row r="28" spans="1:65" x14ac:dyDescent="0.25">
      <c r="G28">
        <v>2.2000000000000001E-3</v>
      </c>
      <c r="H28">
        <f t="shared" si="35"/>
        <v>-2976628624701283</v>
      </c>
      <c r="I28">
        <f t="shared" si="0"/>
        <v>1.4015337669282307E-14</v>
      </c>
      <c r="J28">
        <f t="shared" si="1"/>
        <v>-1.1492774612746267E+19</v>
      </c>
      <c r="L28">
        <f t="shared" si="2"/>
        <v>-6901273859692311</v>
      </c>
      <c r="M28">
        <f t="shared" si="3"/>
        <v>5.70645637008294E-15</v>
      </c>
      <c r="N28">
        <f t="shared" si="4"/>
        <v>-6.9569292940446687E+19</v>
      </c>
      <c r="Q28">
        <v>2.2000000000000001E-3</v>
      </c>
      <c r="R28">
        <f t="shared" si="5"/>
        <v>-2809908621635306</v>
      </c>
      <c r="S28">
        <f t="shared" si="6"/>
        <v>1.4015337669282307E-14</v>
      </c>
      <c r="T28">
        <f t="shared" si="7"/>
        <v>-1.0849068037201953E+19</v>
      </c>
      <c r="V28">
        <f t="shared" si="8"/>
        <v>-6901273859584380</v>
      </c>
      <c r="W28">
        <f t="shared" si="9"/>
        <v>5.70645637008294E-15</v>
      </c>
      <c r="X28">
        <f t="shared" si="10"/>
        <v>-6.9569292939358667E+19</v>
      </c>
      <c r="AA28">
        <v>2.2000000000000001E-3</v>
      </c>
      <c r="AB28">
        <f t="shared" si="11"/>
        <v>-2612550438109833</v>
      </c>
      <c r="AC28">
        <f t="shared" si="12"/>
        <v>1.4015337669282307E-14</v>
      </c>
      <c r="AD28">
        <f t="shared" si="13"/>
        <v>-1.0087067328609393E+19</v>
      </c>
      <c r="AF28">
        <f t="shared" si="14"/>
        <v>-6901273859440472</v>
      </c>
      <c r="AG28">
        <f t="shared" si="15"/>
        <v>5.70645637008294E-15</v>
      </c>
      <c r="AH28">
        <f t="shared" si="16"/>
        <v>-6.9569292937907986E+19</v>
      </c>
      <c r="AL28">
        <v>2.2000000000000001E-3</v>
      </c>
      <c r="AM28">
        <f t="shared" si="17"/>
        <v>1805592.9500000002</v>
      </c>
      <c r="AN28">
        <f t="shared" si="18"/>
        <v>1.4015337669282307E-14</v>
      </c>
      <c r="AO28">
        <f t="shared" si="19"/>
        <v>6971401351.3513517</v>
      </c>
      <c r="AQ28">
        <f t="shared" si="20"/>
        <v>611608.07272727264</v>
      </c>
      <c r="AR28">
        <f t="shared" si="21"/>
        <v>5.70645637008294E-15</v>
      </c>
      <c r="AS28">
        <f t="shared" si="22"/>
        <v>6165403958.9442806</v>
      </c>
      <c r="AV28">
        <v>2.2000000000000001E-3</v>
      </c>
      <c r="AW28">
        <f t="shared" si="23"/>
        <v>2124227</v>
      </c>
      <c r="AX28">
        <f t="shared" si="24"/>
        <v>1.4015337669282307E-14</v>
      </c>
      <c r="AY28">
        <f t="shared" si="25"/>
        <v>8201648648.6486483</v>
      </c>
      <c r="BA28">
        <f t="shared" si="26"/>
        <v>718783.09090909082</v>
      </c>
      <c r="BB28">
        <f t="shared" si="27"/>
        <v>5.70645637008294E-15</v>
      </c>
      <c r="BC28">
        <f t="shared" si="28"/>
        <v>7245797287.390029</v>
      </c>
      <c r="BF28">
        <v>2.2000000000000001E-3</v>
      </c>
      <c r="BG28">
        <f t="shared" si="29"/>
        <v>2549072.4</v>
      </c>
      <c r="BH28">
        <f t="shared" si="30"/>
        <v>1.4015337669282307E-14</v>
      </c>
      <c r="BI28">
        <f t="shared" si="31"/>
        <v>9841978378.3783779</v>
      </c>
      <c r="BK28">
        <f t="shared" si="32"/>
        <v>863446.6909090908</v>
      </c>
      <c r="BL28">
        <f t="shared" si="33"/>
        <v>5.70645637008294E-15</v>
      </c>
      <c r="BM28">
        <f t="shared" si="34"/>
        <v>8704099706.7448673</v>
      </c>
    </row>
    <row r="29" spans="1:65" x14ac:dyDescent="0.25">
      <c r="G29">
        <v>2.3999999999999998E-3</v>
      </c>
      <c r="H29">
        <f t="shared" si="35"/>
        <v>-2501194885895790.5</v>
      </c>
      <c r="I29">
        <f t="shared" si="0"/>
        <v>1.5289459275580697E-14</v>
      </c>
      <c r="J29">
        <f t="shared" si="1"/>
        <v>-9.6571231115667579E+18</v>
      </c>
      <c r="L29">
        <f t="shared" si="2"/>
        <v>-5798987062611403</v>
      </c>
      <c r="M29">
        <f t="shared" si="3"/>
        <v>6.2252251309995701E-15</v>
      </c>
      <c r="N29">
        <f t="shared" si="4"/>
        <v>-5.8457530873098822E+19</v>
      </c>
      <c r="Q29">
        <v>2.3999999999999998E-3</v>
      </c>
      <c r="R29">
        <f t="shared" si="5"/>
        <v>-2361103772184066.5</v>
      </c>
      <c r="S29">
        <f t="shared" si="6"/>
        <v>1.5289459275580697E-14</v>
      </c>
      <c r="T29">
        <f t="shared" si="7"/>
        <v>-9.1162307806334607E+18</v>
      </c>
      <c r="V29">
        <f t="shared" si="8"/>
        <v>-5798987062512467</v>
      </c>
      <c r="W29">
        <f t="shared" si="9"/>
        <v>6.2252251309995701E-15</v>
      </c>
      <c r="X29">
        <f t="shared" si="10"/>
        <v>-5.8457530872101487E+19</v>
      </c>
      <c r="AA29">
        <v>2.3999999999999998E-3</v>
      </c>
      <c r="AB29">
        <f t="shared" si="11"/>
        <v>-2195268076272570.2</v>
      </c>
      <c r="AC29">
        <f t="shared" si="12"/>
        <v>1.5289459275580697E-14</v>
      </c>
      <c r="AD29">
        <f t="shared" si="13"/>
        <v>-8.4759385184269117E+18</v>
      </c>
      <c r="AF29">
        <f t="shared" si="14"/>
        <v>-5798987062380551</v>
      </c>
      <c r="AG29">
        <f t="shared" si="15"/>
        <v>6.2252251309995701E-15</v>
      </c>
      <c r="AH29">
        <f t="shared" si="16"/>
        <v>-5.8457530870771687E+19</v>
      </c>
      <c r="AL29">
        <v>2.3999999999999998E-3</v>
      </c>
      <c r="AM29">
        <f t="shared" si="17"/>
        <v>1655126.8708333336</v>
      </c>
      <c r="AN29">
        <f t="shared" si="18"/>
        <v>1.5289459275580697E-14</v>
      </c>
      <c r="AO29">
        <f t="shared" si="19"/>
        <v>6390451238.73874</v>
      </c>
      <c r="AQ29">
        <f t="shared" si="20"/>
        <v>560640.7333333334</v>
      </c>
      <c r="AR29">
        <f t="shared" si="21"/>
        <v>6.2252251309995701E-15</v>
      </c>
      <c r="AS29">
        <f t="shared" si="22"/>
        <v>5651620295.698925</v>
      </c>
      <c r="AV29">
        <v>2.3999999999999998E-3</v>
      </c>
      <c r="AW29">
        <f t="shared" si="23"/>
        <v>1947208.0833333335</v>
      </c>
      <c r="AX29">
        <f t="shared" si="24"/>
        <v>1.5289459275580697E-14</v>
      </c>
      <c r="AY29">
        <f t="shared" si="25"/>
        <v>7518177927.927928</v>
      </c>
      <c r="BA29">
        <f t="shared" si="26"/>
        <v>658884.5</v>
      </c>
      <c r="BB29">
        <f t="shared" si="27"/>
        <v>6.2252251309995701E-15</v>
      </c>
      <c r="BC29">
        <f t="shared" si="28"/>
        <v>6641980846.7741938</v>
      </c>
      <c r="BF29">
        <v>2.3999999999999998E-3</v>
      </c>
      <c r="BG29">
        <f t="shared" si="29"/>
        <v>2336649.7000000002</v>
      </c>
      <c r="BH29">
        <f t="shared" si="30"/>
        <v>1.5289459275580697E-14</v>
      </c>
      <c r="BI29">
        <f t="shared" si="31"/>
        <v>9021813513.5135136</v>
      </c>
      <c r="BK29">
        <f t="shared" si="32"/>
        <v>791492.8</v>
      </c>
      <c r="BL29">
        <f t="shared" si="33"/>
        <v>6.2252251309995701E-15</v>
      </c>
      <c r="BM29">
        <f t="shared" si="34"/>
        <v>7978758064.5161295</v>
      </c>
    </row>
    <row r="30" spans="1:65" x14ac:dyDescent="0.25">
      <c r="G30">
        <v>2.5999999999999999E-3</v>
      </c>
      <c r="H30">
        <f t="shared" si="35"/>
        <v>-2131195642302557.7</v>
      </c>
      <c r="I30">
        <f t="shared" si="0"/>
        <v>1.6563580881879089E-14</v>
      </c>
      <c r="J30">
        <f t="shared" si="1"/>
        <v>-8.2285546034847785E+18</v>
      </c>
      <c r="L30">
        <f t="shared" si="2"/>
        <v>-4941148739700084</v>
      </c>
      <c r="M30">
        <f t="shared" si="3"/>
        <v>6.743993891916201E-15</v>
      </c>
      <c r="N30">
        <f t="shared" si="4"/>
        <v>-4.980996713407343E+19</v>
      </c>
      <c r="Q30">
        <v>2.5999999999999999E-3</v>
      </c>
      <c r="R30">
        <f t="shared" si="5"/>
        <v>-2011828066101414.5</v>
      </c>
      <c r="S30">
        <f t="shared" si="6"/>
        <v>1.6563580881879089E-14</v>
      </c>
      <c r="T30">
        <f t="shared" si="7"/>
        <v>-7.7676759308934922E+18</v>
      </c>
      <c r="V30">
        <f t="shared" si="8"/>
        <v>-4941148739608758</v>
      </c>
      <c r="W30">
        <f t="shared" si="9"/>
        <v>6.743993891916201E-15</v>
      </c>
      <c r="X30">
        <f t="shared" si="10"/>
        <v>-4.9809967133152805E+19</v>
      </c>
      <c r="AA30">
        <v>2.5999999999999999E-3</v>
      </c>
      <c r="AB30">
        <f t="shared" si="11"/>
        <v>-1870524277841480.7</v>
      </c>
      <c r="AC30">
        <f t="shared" si="12"/>
        <v>1.6563580881879089E-14</v>
      </c>
      <c r="AD30">
        <f t="shared" si="13"/>
        <v>-7.2221014588474163E+18</v>
      </c>
      <c r="AF30">
        <f t="shared" si="14"/>
        <v>-4941148739486990</v>
      </c>
      <c r="AG30">
        <f t="shared" si="15"/>
        <v>6.743993891916201E-15</v>
      </c>
      <c r="AH30">
        <f t="shared" si="16"/>
        <v>-4.9809967131925299E+19</v>
      </c>
      <c r="AL30">
        <v>2.5999999999999999E-3</v>
      </c>
      <c r="AM30">
        <f t="shared" si="17"/>
        <v>1527809.4192307694</v>
      </c>
      <c r="AN30">
        <f t="shared" si="18"/>
        <v>1.6563580881879089E-14</v>
      </c>
      <c r="AO30">
        <f t="shared" si="19"/>
        <v>5898878066.5280666</v>
      </c>
      <c r="AQ30">
        <f t="shared" si="20"/>
        <v>517514.5230769231</v>
      </c>
      <c r="AR30">
        <f t="shared" si="21"/>
        <v>6.743993891916201E-15</v>
      </c>
      <c r="AS30">
        <f t="shared" si="22"/>
        <v>5216880272.9528542</v>
      </c>
      <c r="AV30">
        <v>2.5999999999999999E-3</v>
      </c>
      <c r="AW30">
        <f t="shared" si="23"/>
        <v>1797422.8461538462</v>
      </c>
      <c r="AX30">
        <f t="shared" si="24"/>
        <v>1.6563580881879089E-14</v>
      </c>
      <c r="AY30">
        <f t="shared" si="25"/>
        <v>6939856548.8565493</v>
      </c>
      <c r="BA30">
        <f t="shared" si="26"/>
        <v>608201.07692307688</v>
      </c>
      <c r="BB30">
        <f t="shared" si="27"/>
        <v>6.743993891916201E-15</v>
      </c>
      <c r="BC30">
        <f t="shared" si="28"/>
        <v>6131059243.176178</v>
      </c>
      <c r="BF30">
        <v>2.5999999999999999E-3</v>
      </c>
      <c r="BG30">
        <f t="shared" si="29"/>
        <v>2156907.4153846153</v>
      </c>
      <c r="BH30">
        <f t="shared" si="30"/>
        <v>1.6563580881879089E-14</v>
      </c>
      <c r="BI30">
        <f t="shared" si="31"/>
        <v>8327827858.6278582</v>
      </c>
      <c r="BK30">
        <f t="shared" si="32"/>
        <v>730608.73846153845</v>
      </c>
      <c r="BL30">
        <f t="shared" si="33"/>
        <v>6.743993891916201E-15</v>
      </c>
      <c r="BM30">
        <f t="shared" si="34"/>
        <v>7365007444.1687346</v>
      </c>
    </row>
    <row r="31" spans="1:65" x14ac:dyDescent="0.25">
      <c r="G31">
        <v>2.8E-3</v>
      </c>
      <c r="H31">
        <f t="shared" si="35"/>
        <v>-1837612569026891.5</v>
      </c>
      <c r="I31">
        <f t="shared" si="0"/>
        <v>1.783770248817748E-14</v>
      </c>
      <c r="J31">
        <f t="shared" si="1"/>
        <v>-7.0950292240420516E+18</v>
      </c>
      <c r="L31">
        <f t="shared" si="2"/>
        <v>-4260480290829523.5</v>
      </c>
      <c r="M31">
        <f t="shared" si="3"/>
        <v>7.2627626528328342E-15</v>
      </c>
      <c r="N31">
        <f t="shared" si="4"/>
        <v>-4.2948390028523422E+19</v>
      </c>
      <c r="Q31">
        <v>2.8E-3</v>
      </c>
      <c r="R31">
        <f t="shared" si="5"/>
        <v>-1734688485447819.2</v>
      </c>
      <c r="S31">
        <f t="shared" si="6"/>
        <v>1.783770248817748E-14</v>
      </c>
      <c r="T31">
        <f t="shared" si="7"/>
        <v>-6.6976389399529697E+18</v>
      </c>
      <c r="V31">
        <f t="shared" si="8"/>
        <v>-4260480290744720.5</v>
      </c>
      <c r="W31">
        <f t="shared" si="9"/>
        <v>7.2627626528328342E-15</v>
      </c>
      <c r="X31">
        <f t="shared" si="10"/>
        <v>-4.2948390027668554E+19</v>
      </c>
      <c r="AA31">
        <v>2.8E-3</v>
      </c>
      <c r="AB31">
        <f t="shared" si="11"/>
        <v>-1612850014934543.5</v>
      </c>
      <c r="AC31">
        <f t="shared" si="12"/>
        <v>1.783770248817748E-14</v>
      </c>
      <c r="AD31">
        <f t="shared" si="13"/>
        <v>-6.2272201348824074E+18</v>
      </c>
      <c r="AF31">
        <f t="shared" si="14"/>
        <v>-4260480290631650</v>
      </c>
      <c r="AG31">
        <f t="shared" si="15"/>
        <v>7.2627626528328342E-15</v>
      </c>
      <c r="AH31">
        <f t="shared" si="16"/>
        <v>-4.2948390026528727E+19</v>
      </c>
      <c r="AL31">
        <v>2.8E-3</v>
      </c>
      <c r="AM31">
        <f t="shared" si="17"/>
        <v>1418680.1750000003</v>
      </c>
      <c r="AN31">
        <f t="shared" si="18"/>
        <v>1.783770248817748E-14</v>
      </c>
      <c r="AO31">
        <f t="shared" si="19"/>
        <v>5477529633.2046337</v>
      </c>
      <c r="AQ31">
        <f t="shared" si="20"/>
        <v>480549.19999999995</v>
      </c>
      <c r="AR31">
        <f t="shared" si="21"/>
        <v>7.2627626528328342E-15</v>
      </c>
      <c r="AS31">
        <f t="shared" si="22"/>
        <v>4844245967.7419348</v>
      </c>
      <c r="AV31">
        <v>2.8E-3</v>
      </c>
      <c r="AW31">
        <f t="shared" si="23"/>
        <v>1669035.5</v>
      </c>
      <c r="AX31">
        <f t="shared" si="24"/>
        <v>1.783770248817748E-14</v>
      </c>
      <c r="AY31">
        <f t="shared" si="25"/>
        <v>6444152509.6525097</v>
      </c>
      <c r="BA31">
        <f t="shared" si="26"/>
        <v>564758.14285714284</v>
      </c>
      <c r="BB31">
        <f t="shared" si="27"/>
        <v>7.2627626528328342E-15</v>
      </c>
      <c r="BC31">
        <f t="shared" si="28"/>
        <v>5693126440.0921659</v>
      </c>
      <c r="BF31">
        <v>2.8E-3</v>
      </c>
      <c r="BG31">
        <f t="shared" si="29"/>
        <v>2002842.6</v>
      </c>
      <c r="BH31">
        <f t="shared" si="30"/>
        <v>1.783770248817748E-14</v>
      </c>
      <c r="BI31">
        <f t="shared" si="31"/>
        <v>7732983011.5830116</v>
      </c>
      <c r="BK31">
        <f t="shared" si="32"/>
        <v>678422.39999999991</v>
      </c>
      <c r="BL31">
        <f t="shared" si="33"/>
        <v>7.2627626528328342E-15</v>
      </c>
      <c r="BM31">
        <f t="shared" si="34"/>
        <v>6838935483.8709669</v>
      </c>
    </row>
    <row r="32" spans="1:65" x14ac:dyDescent="0.25">
      <c r="G32">
        <v>3.0000000000000001E-3</v>
      </c>
      <c r="H32">
        <f t="shared" si="35"/>
        <v>-1600764726708485.2</v>
      </c>
      <c r="I32">
        <f t="shared" si="0"/>
        <v>1.9111824094475872E-14</v>
      </c>
      <c r="J32">
        <f t="shared" si="1"/>
        <v>-6.1805587903802522E+18</v>
      </c>
      <c r="L32">
        <f t="shared" si="2"/>
        <v>-3711351719981595</v>
      </c>
      <c r="M32">
        <f t="shared" si="3"/>
        <v>7.7815314137494651E-15</v>
      </c>
      <c r="N32">
        <f t="shared" si="4"/>
        <v>-3.7412819757878985E+19</v>
      </c>
      <c r="Q32">
        <v>3.0000000000000001E-3</v>
      </c>
      <c r="R32">
        <f t="shared" si="5"/>
        <v>-1511106413886249</v>
      </c>
      <c r="S32">
        <f t="shared" si="6"/>
        <v>1.9111824094475872E-14</v>
      </c>
      <c r="T32">
        <f t="shared" si="7"/>
        <v>-5.8343876984025057E+18</v>
      </c>
      <c r="V32">
        <f t="shared" si="8"/>
        <v>-3711351719902445.5</v>
      </c>
      <c r="W32">
        <f t="shared" si="9"/>
        <v>7.7815314137494651E-15</v>
      </c>
      <c r="X32">
        <f t="shared" si="10"/>
        <v>-3.74128197570811E+19</v>
      </c>
      <c r="AA32">
        <v>3.0000000000000001E-3</v>
      </c>
      <c r="AB32">
        <f t="shared" si="11"/>
        <v>-1404971568440580.7</v>
      </c>
      <c r="AC32">
        <f t="shared" si="12"/>
        <v>1.9111824094475872E-14</v>
      </c>
      <c r="AD32">
        <f t="shared" si="13"/>
        <v>-5.4246006503497329E+18</v>
      </c>
      <c r="AF32">
        <f t="shared" si="14"/>
        <v>-3711351719796913.5</v>
      </c>
      <c r="AG32">
        <f t="shared" si="15"/>
        <v>7.7815314137494651E-15</v>
      </c>
      <c r="AH32">
        <f t="shared" si="16"/>
        <v>-3.7412819756017271E+19</v>
      </c>
      <c r="AL32">
        <v>3.0000000000000001E-3</v>
      </c>
      <c r="AM32">
        <f t="shared" si="17"/>
        <v>1324101.4966666668</v>
      </c>
      <c r="AN32">
        <f t="shared" si="18"/>
        <v>1.9111824094475872E-14</v>
      </c>
      <c r="AO32">
        <f t="shared" si="19"/>
        <v>5112360990.9909916</v>
      </c>
      <c r="AQ32">
        <f t="shared" si="20"/>
        <v>448512.58666666661</v>
      </c>
      <c r="AR32">
        <f t="shared" si="21"/>
        <v>7.7815314137494651E-15</v>
      </c>
      <c r="AS32">
        <f t="shared" si="22"/>
        <v>4521296236.5591393</v>
      </c>
      <c r="AV32">
        <v>3.0000000000000001E-3</v>
      </c>
      <c r="AW32">
        <f t="shared" si="23"/>
        <v>1557766.4666666666</v>
      </c>
      <c r="AX32">
        <f t="shared" si="24"/>
        <v>1.9111824094475872E-14</v>
      </c>
      <c r="AY32">
        <f t="shared" si="25"/>
        <v>6014542342.3423414</v>
      </c>
      <c r="BA32">
        <f t="shared" si="26"/>
        <v>527107.6</v>
      </c>
      <c r="BB32">
        <f t="shared" si="27"/>
        <v>7.7815314137494651E-15</v>
      </c>
      <c r="BC32">
        <f t="shared" si="28"/>
        <v>5313584677.4193544</v>
      </c>
      <c r="BF32">
        <v>3.0000000000000001E-3</v>
      </c>
      <c r="BG32">
        <f t="shared" si="29"/>
        <v>1869319.76</v>
      </c>
      <c r="BH32">
        <f t="shared" si="30"/>
        <v>1.9111824094475872E-14</v>
      </c>
      <c r="BI32">
        <f t="shared" si="31"/>
        <v>7217450810.810811</v>
      </c>
      <c r="BK32">
        <f t="shared" si="32"/>
        <v>633194.23999999999</v>
      </c>
      <c r="BL32">
        <f t="shared" si="33"/>
        <v>7.7815314137494651E-15</v>
      </c>
      <c r="BM32">
        <f t="shared" si="34"/>
        <v>6383006451.6129036</v>
      </c>
    </row>
    <row r="33" spans="1:65" x14ac:dyDescent="0.25">
      <c r="G33">
        <v>3.2000000000000002E-3</v>
      </c>
      <c r="H33">
        <f t="shared" si="35"/>
        <v>-1406922123006045.5</v>
      </c>
      <c r="I33">
        <f t="shared" si="0"/>
        <v>2.0385945700774264E-14</v>
      </c>
      <c r="J33">
        <f t="shared" si="1"/>
        <v>-5.432131749058091E+18</v>
      </c>
      <c r="L33">
        <f t="shared" si="2"/>
        <v>-3261930222613793.5</v>
      </c>
      <c r="M33">
        <f t="shared" si="3"/>
        <v>8.3003001746660961E-15</v>
      </c>
      <c r="N33">
        <f t="shared" si="4"/>
        <v>-3.2882361115058401E+19</v>
      </c>
      <c r="Q33">
        <v>3.2000000000000002E-3</v>
      </c>
      <c r="R33">
        <f t="shared" si="5"/>
        <v>-1328120871488435.7</v>
      </c>
      <c r="S33">
        <f t="shared" si="6"/>
        <v>2.0385945700774264E-14</v>
      </c>
      <c r="T33">
        <f t="shared" si="7"/>
        <v>-5.127879812696663E+18</v>
      </c>
      <c r="V33">
        <f t="shared" si="8"/>
        <v>-3261930222539591</v>
      </c>
      <c r="W33">
        <f t="shared" si="9"/>
        <v>8.3003001746660961E-15</v>
      </c>
      <c r="X33">
        <f t="shared" si="10"/>
        <v>-3.2882361114310394E+19</v>
      </c>
      <c r="AA33">
        <v>3.2000000000000002E-3</v>
      </c>
      <c r="AB33">
        <f t="shared" si="11"/>
        <v>-1234838292465198.7</v>
      </c>
      <c r="AC33">
        <f t="shared" si="12"/>
        <v>2.0385945700774264E-14</v>
      </c>
      <c r="AD33">
        <f t="shared" si="13"/>
        <v>-4.7677154149235476E+18</v>
      </c>
      <c r="AF33">
        <f t="shared" si="14"/>
        <v>-3261930222440654.5</v>
      </c>
      <c r="AG33">
        <f t="shared" si="15"/>
        <v>8.3003001746660961E-15</v>
      </c>
      <c r="AH33">
        <f t="shared" si="16"/>
        <v>-3.2882361113313051E+19</v>
      </c>
      <c r="AL33">
        <v>3.2000000000000002E-3</v>
      </c>
      <c r="AM33">
        <f t="shared" si="17"/>
        <v>1241345.1531250002</v>
      </c>
      <c r="AN33">
        <f t="shared" si="18"/>
        <v>2.0385945700774264E-14</v>
      </c>
      <c r="AO33">
        <f t="shared" si="19"/>
        <v>4792838429.0540543</v>
      </c>
      <c r="AQ33">
        <f t="shared" si="20"/>
        <v>420480.55</v>
      </c>
      <c r="AR33">
        <f t="shared" si="21"/>
        <v>8.3003001746660961E-15</v>
      </c>
      <c r="AS33">
        <f t="shared" si="22"/>
        <v>4238715221.7741933</v>
      </c>
      <c r="AV33">
        <v>3.2000000000000002E-3</v>
      </c>
      <c r="AW33">
        <f t="shared" si="23"/>
        <v>1460406.0625</v>
      </c>
      <c r="AX33">
        <f t="shared" si="24"/>
        <v>2.0385945700774264E-14</v>
      </c>
      <c r="AY33">
        <f t="shared" si="25"/>
        <v>5638633445.9459457</v>
      </c>
      <c r="BA33">
        <f t="shared" si="26"/>
        <v>494163.37499999994</v>
      </c>
      <c r="BB33">
        <f t="shared" si="27"/>
        <v>8.3003001746660961E-15</v>
      </c>
      <c r="BC33">
        <f t="shared" si="28"/>
        <v>4981485635.0806446</v>
      </c>
      <c r="BF33">
        <v>3.2000000000000002E-3</v>
      </c>
      <c r="BG33">
        <f t="shared" si="29"/>
        <v>1752487.2749999999</v>
      </c>
      <c r="BH33">
        <f t="shared" si="30"/>
        <v>2.0385945700774264E-14</v>
      </c>
      <c r="BI33">
        <f t="shared" si="31"/>
        <v>6766360135.1351347</v>
      </c>
      <c r="BK33">
        <f t="shared" si="32"/>
        <v>593619.6</v>
      </c>
      <c r="BL33">
        <f t="shared" si="33"/>
        <v>8.3003001746660961E-15</v>
      </c>
      <c r="BM33">
        <f t="shared" si="34"/>
        <v>5984068548.3870964</v>
      </c>
    </row>
    <row r="34" spans="1:65" x14ac:dyDescent="0.25">
      <c r="G34">
        <v>3.3999999999999998E-3</v>
      </c>
      <c r="H34">
        <f t="shared" si="35"/>
        <v>-1246270115812063</v>
      </c>
      <c r="I34">
        <f t="shared" si="0"/>
        <v>2.1660067307072652E-14</v>
      </c>
      <c r="J34">
        <f t="shared" si="1"/>
        <v>-4.8118537290041037E+18</v>
      </c>
      <c r="L34">
        <f t="shared" si="2"/>
        <v>-2889460681600012</v>
      </c>
      <c r="M34">
        <f t="shared" si="3"/>
        <v>8.8190689355827254E-15</v>
      </c>
      <c r="N34">
        <f t="shared" si="4"/>
        <v>-2.9127627838709797E+19</v>
      </c>
      <c r="Q34">
        <v>3.3999999999999998E-3</v>
      </c>
      <c r="R34">
        <f t="shared" si="5"/>
        <v>-1176466931064612.7</v>
      </c>
      <c r="S34">
        <f t="shared" si="6"/>
        <v>2.1660067307072652E-14</v>
      </c>
      <c r="T34">
        <f t="shared" si="7"/>
        <v>-4.5423433631838331E+18</v>
      </c>
      <c r="V34">
        <f t="shared" si="8"/>
        <v>-2889460681530174.5</v>
      </c>
      <c r="W34">
        <f t="shared" si="9"/>
        <v>8.8190689355827254E-15</v>
      </c>
      <c r="X34">
        <f t="shared" si="10"/>
        <v>-2.9127627838005793E+19</v>
      </c>
      <c r="AA34">
        <v>3.3999999999999998E-3</v>
      </c>
      <c r="AB34">
        <f t="shared" si="11"/>
        <v>-1093835995996716.6</v>
      </c>
      <c r="AC34">
        <f t="shared" si="12"/>
        <v>2.1660067307072652E-14</v>
      </c>
      <c r="AD34">
        <f t="shared" si="13"/>
        <v>-4.2233050038483267E+18</v>
      </c>
      <c r="AF34">
        <f t="shared" si="14"/>
        <v>-2889460681437057.5</v>
      </c>
      <c r="AG34">
        <f t="shared" si="15"/>
        <v>8.8190689355827254E-15</v>
      </c>
      <c r="AH34">
        <f t="shared" si="16"/>
        <v>-2.9127627837067112E+19</v>
      </c>
      <c r="AL34">
        <v>3.3999999999999998E-3</v>
      </c>
      <c r="AM34">
        <f t="shared" si="17"/>
        <v>1168324.8500000001</v>
      </c>
      <c r="AN34">
        <f t="shared" si="18"/>
        <v>2.1660067307072652E-14</v>
      </c>
      <c r="AO34">
        <f t="shared" si="19"/>
        <v>4510906756.7567568</v>
      </c>
      <c r="AQ34">
        <f t="shared" si="20"/>
        <v>395746.4</v>
      </c>
      <c r="AR34">
        <f t="shared" si="21"/>
        <v>8.8190689355827254E-15</v>
      </c>
      <c r="AS34">
        <f t="shared" si="22"/>
        <v>3989379032.2580647</v>
      </c>
      <c r="AV34">
        <v>3.3999999999999998E-3</v>
      </c>
      <c r="AW34">
        <f t="shared" si="23"/>
        <v>1374499.8235294118</v>
      </c>
      <c r="AX34">
        <f t="shared" si="24"/>
        <v>2.1660067307072652E-14</v>
      </c>
      <c r="AY34">
        <f t="shared" si="25"/>
        <v>5306949125.5961847</v>
      </c>
      <c r="BA34">
        <f t="shared" si="26"/>
        <v>465094.9411764706</v>
      </c>
      <c r="BB34">
        <f t="shared" si="27"/>
        <v>8.8190689355827254E-15</v>
      </c>
      <c r="BC34">
        <f t="shared" si="28"/>
        <v>4688457068.3111954</v>
      </c>
      <c r="BF34">
        <v>3.3999999999999998E-3</v>
      </c>
      <c r="BG34">
        <f t="shared" si="29"/>
        <v>1649399.7882352942</v>
      </c>
      <c r="BH34">
        <f t="shared" si="30"/>
        <v>2.1660067307072652E-14</v>
      </c>
      <c r="BI34">
        <f t="shared" si="31"/>
        <v>6368338950.7154217</v>
      </c>
      <c r="BK34">
        <f t="shared" si="32"/>
        <v>558700.80000000005</v>
      </c>
      <c r="BL34">
        <f t="shared" si="33"/>
        <v>8.8190689355827254E-15</v>
      </c>
      <c r="BM34">
        <f t="shared" si="34"/>
        <v>5632064516.1290331</v>
      </c>
    </row>
    <row r="35" spans="1:65" x14ac:dyDescent="0.25">
      <c r="G35">
        <v>3.5999999999999999E-3</v>
      </c>
      <c r="H35">
        <f t="shared" si="35"/>
        <v>-1111642171141434.1</v>
      </c>
      <c r="I35">
        <f t="shared" si="0"/>
        <v>2.2934188913371044E-14</v>
      </c>
      <c r="J35">
        <f t="shared" si="1"/>
        <v>-4.2920547148317916E+18</v>
      </c>
      <c r="L35">
        <f t="shared" si="2"/>
        <v>-2577327583258258.5</v>
      </c>
      <c r="M35">
        <f t="shared" si="3"/>
        <v>9.3378376964993563E-15</v>
      </c>
      <c r="N35">
        <f t="shared" si="4"/>
        <v>-2.5981124831232446E+19</v>
      </c>
      <c r="Q35">
        <v>3.5999999999999999E-3</v>
      </c>
      <c r="R35">
        <f t="shared" si="5"/>
        <v>-1049379453871316.5</v>
      </c>
      <c r="S35">
        <f t="shared" si="6"/>
        <v>2.2934188913371044E-14</v>
      </c>
      <c r="T35">
        <f t="shared" si="7"/>
        <v>-4.051658123055276E+18</v>
      </c>
      <c r="V35">
        <f t="shared" si="8"/>
        <v>-2577327583192301</v>
      </c>
      <c r="W35">
        <f t="shared" si="9"/>
        <v>9.3378376964993563E-15</v>
      </c>
      <c r="X35">
        <f t="shared" si="10"/>
        <v>-2.5981124830567551E+19</v>
      </c>
      <c r="AA35">
        <v>3.5999999999999999E-3</v>
      </c>
      <c r="AB35">
        <f t="shared" si="11"/>
        <v>-975674700046331.12</v>
      </c>
      <c r="AC35">
        <f t="shared" si="12"/>
        <v>2.2934188913371044E-14</v>
      </c>
      <c r="AD35">
        <f t="shared" si="13"/>
        <v>-3.7670837839626685E+18</v>
      </c>
      <c r="AF35">
        <f t="shared" si="14"/>
        <v>-2577327583104357</v>
      </c>
      <c r="AG35">
        <f t="shared" si="15"/>
        <v>9.3378376964993563E-15</v>
      </c>
      <c r="AH35">
        <f t="shared" si="16"/>
        <v>-2.5981124829681017E+19</v>
      </c>
      <c r="AL35">
        <v>3.5999999999999999E-3</v>
      </c>
      <c r="AM35">
        <f t="shared" si="17"/>
        <v>1103417.9138888891</v>
      </c>
      <c r="AN35">
        <f t="shared" si="18"/>
        <v>2.2934188913371044E-14</v>
      </c>
      <c r="AO35">
        <f t="shared" si="19"/>
        <v>4260300825.8258266</v>
      </c>
      <c r="AQ35">
        <f t="shared" si="20"/>
        <v>373760.48888888885</v>
      </c>
      <c r="AR35">
        <f t="shared" si="21"/>
        <v>9.3378376964993563E-15</v>
      </c>
      <c r="AS35">
        <f t="shared" si="22"/>
        <v>3767746863.799283</v>
      </c>
      <c r="AV35">
        <v>3.5999999999999999E-3</v>
      </c>
      <c r="AW35">
        <f t="shared" si="23"/>
        <v>1298138.7222222222</v>
      </c>
      <c r="AX35">
        <f t="shared" si="24"/>
        <v>2.2934188913371044E-14</v>
      </c>
      <c r="AY35">
        <f t="shared" si="25"/>
        <v>5012118618.618619</v>
      </c>
      <c r="BA35">
        <f t="shared" si="26"/>
        <v>439256.33333333331</v>
      </c>
      <c r="BB35">
        <f t="shared" si="27"/>
        <v>9.3378376964993563E-15</v>
      </c>
      <c r="BC35">
        <f t="shared" si="28"/>
        <v>4427987231.1827955</v>
      </c>
      <c r="BF35">
        <v>3.5999999999999999E-3</v>
      </c>
      <c r="BG35">
        <f t="shared" si="29"/>
        <v>1557766.4666666668</v>
      </c>
      <c r="BH35">
        <f t="shared" si="30"/>
        <v>2.2934188913371044E-14</v>
      </c>
      <c r="BI35">
        <f t="shared" si="31"/>
        <v>6014542342.3423424</v>
      </c>
      <c r="BK35">
        <f t="shared" si="32"/>
        <v>527661.8666666667</v>
      </c>
      <c r="BL35">
        <f t="shared" si="33"/>
        <v>9.3378376964993563E-15</v>
      </c>
      <c r="BM35">
        <f t="shared" si="34"/>
        <v>5319172043.0107527</v>
      </c>
    </row>
    <row r="36" spans="1:65" x14ac:dyDescent="0.25">
      <c r="G36">
        <v>3.8E-3</v>
      </c>
      <c r="H36">
        <f t="shared" si="35"/>
        <v>-997706546897404.75</v>
      </c>
      <c r="I36">
        <f t="shared" si="0"/>
        <v>2.4208310519669439E-14</v>
      </c>
      <c r="J36">
        <f t="shared" si="1"/>
        <v>-3.8521488297197092E+18</v>
      </c>
      <c r="L36">
        <f t="shared" si="2"/>
        <v>-2313169354484620.5</v>
      </c>
      <c r="M36">
        <f t="shared" si="3"/>
        <v>9.8566064574159872E-15</v>
      </c>
      <c r="N36">
        <f t="shared" si="4"/>
        <v>-2.331823946053045E+19</v>
      </c>
      <c r="Q36">
        <v>3.8E-3</v>
      </c>
      <c r="R36">
        <f t="shared" si="5"/>
        <v>-941825326955512.5</v>
      </c>
      <c r="S36">
        <f t="shared" si="6"/>
        <v>2.4208310519669439E-14</v>
      </c>
      <c r="T36">
        <f t="shared" si="7"/>
        <v>-3.6363912237664573E+18</v>
      </c>
      <c r="V36">
        <f t="shared" si="8"/>
        <v>-2313169354422134.5</v>
      </c>
      <c r="W36">
        <f t="shared" si="9"/>
        <v>9.8566064574159872E-15</v>
      </c>
      <c r="X36">
        <f t="shared" si="10"/>
        <v>-2.3318239459900551E+19</v>
      </c>
      <c r="AA36">
        <v>3.8E-3</v>
      </c>
      <c r="AB36">
        <f t="shared" si="11"/>
        <v>-875674799963909.87</v>
      </c>
      <c r="AC36">
        <f t="shared" si="12"/>
        <v>2.4208310519669439E-14</v>
      </c>
      <c r="AD36">
        <f t="shared" si="13"/>
        <v>-3.3809837836444396E+18</v>
      </c>
      <c r="AF36">
        <f t="shared" si="14"/>
        <v>-2313169354338819.5</v>
      </c>
      <c r="AG36">
        <f t="shared" si="15"/>
        <v>9.8566064574159872E-15</v>
      </c>
      <c r="AH36">
        <f t="shared" si="16"/>
        <v>-2.3318239459060679E+19</v>
      </c>
      <c r="AL36">
        <v>3.8E-3</v>
      </c>
      <c r="AM36">
        <f t="shared" si="17"/>
        <v>1045343.2868421053</v>
      </c>
      <c r="AN36">
        <f t="shared" si="18"/>
        <v>2.4208310519669439E-14</v>
      </c>
      <c r="AO36">
        <f t="shared" si="19"/>
        <v>4036074466.571835</v>
      </c>
      <c r="AQ36">
        <f t="shared" si="20"/>
        <v>354088.8842105263</v>
      </c>
      <c r="AR36">
        <f t="shared" si="21"/>
        <v>9.8566064574159872E-15</v>
      </c>
      <c r="AS36">
        <f t="shared" si="22"/>
        <v>3569444397.2835312</v>
      </c>
      <c r="AV36">
        <v>3.8E-3</v>
      </c>
      <c r="AW36">
        <f t="shared" si="23"/>
        <v>1229815.6315789474</v>
      </c>
      <c r="AX36">
        <f t="shared" si="24"/>
        <v>2.4208310519669439E-14</v>
      </c>
      <c r="AY36">
        <f t="shared" si="25"/>
        <v>4748322901.8492174</v>
      </c>
      <c r="BA36">
        <f t="shared" si="26"/>
        <v>416137.57894736843</v>
      </c>
      <c r="BB36">
        <f t="shared" si="27"/>
        <v>9.8566064574159872E-15</v>
      </c>
      <c r="BC36">
        <f t="shared" si="28"/>
        <v>4194935271.6468592</v>
      </c>
      <c r="BF36">
        <v>3.8E-3</v>
      </c>
      <c r="BG36">
        <f t="shared" si="29"/>
        <v>1475778.7578947369</v>
      </c>
      <c r="BH36">
        <f t="shared" si="30"/>
        <v>2.4208310519669439E-14</v>
      </c>
      <c r="BI36">
        <f t="shared" si="31"/>
        <v>5697987482.2190619</v>
      </c>
      <c r="BK36">
        <f t="shared" si="32"/>
        <v>499890.18947368418</v>
      </c>
      <c r="BL36">
        <f t="shared" si="33"/>
        <v>9.8566064574159872E-15</v>
      </c>
      <c r="BM36">
        <f t="shared" si="34"/>
        <v>5039215619.694397</v>
      </c>
    </row>
    <row r="37" spans="1:65" x14ac:dyDescent="0.25">
      <c r="G37">
        <v>4.0000000000000001E-3</v>
      </c>
      <c r="H37">
        <f t="shared" si="35"/>
        <v>-900430158525254</v>
      </c>
      <c r="I37">
        <f t="shared" si="0"/>
        <v>2.548243212596783E-14</v>
      </c>
      <c r="J37">
        <f t="shared" si="1"/>
        <v>-3.4765643186303242E+18</v>
      </c>
      <c r="L37">
        <f t="shared" si="2"/>
        <v>-2087635342405551</v>
      </c>
      <c r="M37">
        <f t="shared" si="3"/>
        <v>1.0375375218332618E-14</v>
      </c>
      <c r="N37">
        <f t="shared" si="4"/>
        <v>-2.1044711112959185E+19</v>
      </c>
      <c r="Q37">
        <v>4.0000000000000001E-3</v>
      </c>
      <c r="R37">
        <f t="shared" si="5"/>
        <v>-849997357518933.87</v>
      </c>
      <c r="S37">
        <f t="shared" si="6"/>
        <v>2.548243212596783E-14</v>
      </c>
      <c r="T37">
        <f t="shared" si="7"/>
        <v>-3.2818430792236831E+18</v>
      </c>
      <c r="V37">
        <f t="shared" si="8"/>
        <v>-2087635342346189</v>
      </c>
      <c r="W37">
        <f t="shared" si="9"/>
        <v>1.0375375218332618E-14</v>
      </c>
      <c r="X37">
        <f t="shared" si="10"/>
        <v>-2.1044711112360776E+19</v>
      </c>
      <c r="AA37">
        <v>4.0000000000000001E-3</v>
      </c>
      <c r="AB37">
        <f t="shared" si="11"/>
        <v>-790296506897329.25</v>
      </c>
      <c r="AC37">
        <f>$G$6*AA37/(8.314*$G$5)</f>
        <v>2.548243212596783E-14</v>
      </c>
      <c r="AD37">
        <f t="shared" si="13"/>
        <v>-3.0513378644684529E+18</v>
      </c>
      <c r="AF37">
        <f t="shared" si="14"/>
        <v>-2087635342267039.7</v>
      </c>
      <c r="AG37">
        <f t="shared" si="15"/>
        <v>1.0375375218332618E-14</v>
      </c>
      <c r="AH37">
        <f t="shared" si="16"/>
        <v>-2.1044711111562899E+19</v>
      </c>
      <c r="AL37">
        <v>4.0000000000000001E-3</v>
      </c>
      <c r="AM37">
        <f t="shared" si="17"/>
        <v>993076.12250000006</v>
      </c>
      <c r="AN37">
        <f t="shared" si="18"/>
        <v>2.548243212596783E-14</v>
      </c>
      <c r="AO37">
        <f t="shared" si="19"/>
        <v>3834270743.2432432</v>
      </c>
      <c r="AQ37">
        <f t="shared" si="20"/>
        <v>336384.44</v>
      </c>
      <c r="AR37">
        <f t="shared" si="21"/>
        <v>1.0375375218332618E-14</v>
      </c>
      <c r="AS37">
        <f t="shared" si="22"/>
        <v>3390972177.4193549</v>
      </c>
      <c r="AV37">
        <v>4.0000000000000001E-3</v>
      </c>
      <c r="AW37">
        <f t="shared" si="23"/>
        <v>1168324.8499999999</v>
      </c>
      <c r="AX37">
        <f t="shared" si="24"/>
        <v>2.548243212596783E-14</v>
      </c>
      <c r="AY37">
        <f t="shared" si="25"/>
        <v>4510906756.7567558</v>
      </c>
      <c r="BA37">
        <f t="shared" si="26"/>
        <v>395330.69999999995</v>
      </c>
      <c r="BB37">
        <f t="shared" si="27"/>
        <v>1.0375375218332618E-14</v>
      </c>
      <c r="BC37">
        <f t="shared" si="28"/>
        <v>3985188508.0645156</v>
      </c>
      <c r="BF37">
        <v>4.0000000000000001E-3</v>
      </c>
      <c r="BG37">
        <f t="shared" si="29"/>
        <v>1401989.82</v>
      </c>
      <c r="BH37">
        <f t="shared" si="30"/>
        <v>2.548243212596783E-14</v>
      </c>
      <c r="BI37">
        <f t="shared" si="31"/>
        <v>5413088108.1081085</v>
      </c>
      <c r="BK37">
        <f t="shared" si="32"/>
        <v>474895.67999999993</v>
      </c>
      <c r="BL37">
        <f t="shared" si="33"/>
        <v>1.0375375218332618E-14</v>
      </c>
      <c r="BM37">
        <f t="shared" si="34"/>
        <v>4787254838.7096767</v>
      </c>
    </row>
    <row r="40" spans="1:65" ht="23.25" x14ac:dyDescent="0.35">
      <c r="A40" s="59"/>
      <c r="B40" s="59"/>
      <c r="C40" s="59"/>
      <c r="D40" s="59"/>
      <c r="E40" s="59"/>
      <c r="F40" s="59"/>
      <c r="G40" s="59"/>
      <c r="H40" s="59"/>
      <c r="I40" s="59"/>
      <c r="J40" s="59"/>
      <c r="K40" s="59"/>
      <c r="L40" s="59"/>
    </row>
    <row r="41" spans="1:65" ht="23.25" x14ac:dyDescent="0.35">
      <c r="A41" s="59"/>
      <c r="B41" s="59"/>
      <c r="C41" s="59"/>
      <c r="D41" s="59"/>
      <c r="E41" s="59"/>
      <c r="F41" s="59"/>
      <c r="G41" s="59"/>
      <c r="H41" s="59"/>
      <c r="I41" s="59"/>
      <c r="J41" s="59"/>
      <c r="K41" s="59"/>
      <c r="L41" s="59"/>
    </row>
    <row r="42" spans="1:65" ht="23.25" x14ac:dyDescent="0.35">
      <c r="A42" s="59"/>
      <c r="B42" s="59"/>
      <c r="C42" s="59"/>
      <c r="D42" s="59"/>
      <c r="E42" s="59"/>
      <c r="F42" s="59"/>
      <c r="G42" s="59"/>
      <c r="H42" s="59"/>
      <c r="I42" s="59"/>
      <c r="J42" s="59"/>
      <c r="K42" s="59"/>
      <c r="L42" s="59"/>
    </row>
    <row r="43" spans="1:65" ht="23.25" x14ac:dyDescent="0.35">
      <c r="A43" s="59"/>
      <c r="B43" s="59" t="s">
        <v>66</v>
      </c>
      <c r="C43" s="59"/>
      <c r="D43" s="59"/>
      <c r="E43" s="59"/>
      <c r="F43" s="59"/>
      <c r="G43" s="59"/>
      <c r="H43" s="59"/>
      <c r="I43" s="59"/>
      <c r="J43" s="59"/>
      <c r="K43" s="59"/>
      <c r="L43" s="59"/>
    </row>
    <row r="44" spans="1:65" ht="23.25" x14ac:dyDescent="0.35">
      <c r="A44" s="59"/>
      <c r="B44" s="59"/>
      <c r="C44" s="59"/>
      <c r="D44" s="59"/>
      <c r="E44" s="59"/>
      <c r="F44" s="59"/>
      <c r="G44" s="59"/>
      <c r="H44" s="59"/>
      <c r="I44" s="59"/>
      <c r="J44" s="59"/>
      <c r="K44" s="59"/>
      <c r="L44" s="59"/>
    </row>
    <row r="45" spans="1:65" ht="23.25" x14ac:dyDescent="0.35">
      <c r="A45" s="59"/>
      <c r="B45" s="59"/>
      <c r="C45" s="59"/>
      <c r="D45" s="59"/>
      <c r="E45" s="59"/>
      <c r="F45" s="59"/>
      <c r="G45" s="59"/>
      <c r="H45" s="59"/>
      <c r="I45" s="59"/>
      <c r="J45" s="59"/>
      <c r="K45" s="59"/>
      <c r="L45" s="59"/>
    </row>
    <row r="46" spans="1:65" ht="23.25" x14ac:dyDescent="0.35">
      <c r="A46" s="59"/>
      <c r="B46" s="59"/>
      <c r="C46" s="59"/>
      <c r="D46" s="59"/>
      <c r="E46" s="59"/>
      <c r="F46" s="59"/>
      <c r="G46" s="59"/>
      <c r="H46" s="59"/>
      <c r="I46" s="59"/>
      <c r="J46" s="59"/>
      <c r="K46" s="59"/>
      <c r="L46" s="59"/>
    </row>
    <row r="47" spans="1:65" ht="23.25" x14ac:dyDescent="0.35">
      <c r="A47" s="59"/>
      <c r="B47" s="59"/>
      <c r="C47" s="59"/>
      <c r="D47" s="59"/>
      <c r="E47" s="59"/>
      <c r="F47" s="59"/>
      <c r="G47" s="59"/>
      <c r="H47" s="59"/>
      <c r="I47" s="59"/>
      <c r="J47" s="59"/>
      <c r="K47" s="59"/>
      <c r="L47" s="59"/>
    </row>
    <row r="48" spans="1:65" ht="23.25" x14ac:dyDescent="0.35">
      <c r="A48" s="59"/>
      <c r="B48" s="59"/>
      <c r="C48" s="59"/>
      <c r="D48" s="59"/>
      <c r="E48" s="59"/>
      <c r="F48" s="59"/>
      <c r="G48" s="59"/>
      <c r="H48" s="59"/>
      <c r="I48" s="59"/>
      <c r="J48" s="59"/>
      <c r="K48" s="59"/>
      <c r="L48" s="59"/>
    </row>
    <row r="49" spans="1:12" ht="23.25" x14ac:dyDescent="0.35">
      <c r="A49" s="59"/>
      <c r="B49" s="59"/>
      <c r="C49" s="59"/>
      <c r="D49" s="59"/>
      <c r="E49" s="59"/>
      <c r="F49" s="59"/>
      <c r="G49" s="59"/>
      <c r="H49" s="59"/>
      <c r="I49" s="59"/>
      <c r="J49" s="59"/>
      <c r="K49" s="59"/>
      <c r="L49" s="59"/>
    </row>
    <row r="50" spans="1:12" ht="23.25" x14ac:dyDescent="0.35">
      <c r="A50" s="59"/>
      <c r="B50" s="59"/>
      <c r="C50" s="59"/>
      <c r="D50" s="59"/>
      <c r="E50" s="59"/>
      <c r="F50" s="59"/>
      <c r="G50" s="59"/>
      <c r="H50" s="59"/>
      <c r="I50" s="59"/>
      <c r="J50" s="59"/>
      <c r="K50" s="59"/>
      <c r="L50" s="59"/>
    </row>
    <row r="51" spans="1:12" ht="23.25" x14ac:dyDescent="0.35">
      <c r="A51" s="59"/>
      <c r="B51" s="59"/>
      <c r="C51" s="59"/>
      <c r="D51" s="59"/>
      <c r="E51" s="59"/>
      <c r="F51" s="59"/>
      <c r="G51" s="59"/>
      <c r="H51" s="59"/>
      <c r="I51" s="59"/>
      <c r="J51" s="59"/>
      <c r="K51" s="59"/>
      <c r="L51" s="59"/>
    </row>
    <row r="52" spans="1:12" ht="23.25" x14ac:dyDescent="0.35">
      <c r="A52" s="59"/>
      <c r="B52" s="59"/>
      <c r="C52" s="59"/>
      <c r="D52" s="59"/>
      <c r="E52" s="59"/>
      <c r="F52" s="59"/>
      <c r="G52" s="59"/>
      <c r="H52" s="59"/>
      <c r="I52" s="59"/>
      <c r="J52" s="59"/>
      <c r="K52" s="59"/>
      <c r="L52" s="59"/>
    </row>
    <row r="53" spans="1:12" ht="23.25" x14ac:dyDescent="0.35">
      <c r="A53" s="59"/>
      <c r="B53" s="59"/>
      <c r="C53" s="59"/>
      <c r="D53" s="59"/>
      <c r="E53" s="59"/>
      <c r="F53" s="59"/>
      <c r="G53" s="59"/>
      <c r="H53" s="59"/>
      <c r="I53" s="59"/>
      <c r="J53" s="59"/>
      <c r="K53" s="59"/>
      <c r="L53" s="59"/>
    </row>
    <row r="54" spans="1:12" ht="23.25" x14ac:dyDescent="0.35">
      <c r="A54" s="59"/>
      <c r="B54" s="59"/>
      <c r="C54" s="59"/>
      <c r="D54" s="59"/>
      <c r="E54" s="59"/>
      <c r="F54" s="59"/>
      <c r="G54" s="59"/>
      <c r="H54" s="59"/>
      <c r="I54" s="59"/>
      <c r="J54" s="59"/>
      <c r="K54" s="59"/>
      <c r="L54" s="59"/>
    </row>
    <row r="55" spans="1:12" ht="23.25" x14ac:dyDescent="0.35">
      <c r="A55" s="59"/>
      <c r="B55" s="59"/>
      <c r="C55" s="59"/>
      <c r="D55" s="59"/>
      <c r="E55" s="59"/>
      <c r="F55" s="59"/>
      <c r="G55" s="59"/>
      <c r="H55" s="59"/>
      <c r="I55" s="59"/>
      <c r="J55" s="59"/>
      <c r="K55" s="59"/>
      <c r="L55" s="59"/>
    </row>
    <row r="56" spans="1:12" ht="23.25" x14ac:dyDescent="0.35">
      <c r="B56" s="59"/>
      <c r="C56" s="59"/>
      <c r="D56" s="59"/>
      <c r="E56" s="59"/>
      <c r="F56" s="59"/>
      <c r="G56" s="59"/>
      <c r="H56" s="59"/>
      <c r="I56" s="59"/>
      <c r="J56" s="59"/>
    </row>
    <row r="57" spans="1:12" ht="23.25" x14ac:dyDescent="0.35">
      <c r="B57" s="59"/>
      <c r="C57" s="59"/>
      <c r="D57" s="59"/>
      <c r="E57" s="59"/>
      <c r="F57" s="59"/>
      <c r="G57" s="59"/>
      <c r="H57" s="59"/>
      <c r="I57" s="59"/>
      <c r="J57" s="59"/>
    </row>
    <row r="58" spans="1:12" ht="23.25" x14ac:dyDescent="0.35">
      <c r="B58" s="59"/>
      <c r="C58" s="59"/>
      <c r="D58" s="59"/>
      <c r="E58" s="59"/>
      <c r="F58" s="59"/>
      <c r="G58" s="59"/>
      <c r="H58" s="59"/>
      <c r="I58" s="59"/>
      <c r="J58" s="59"/>
    </row>
    <row r="59" spans="1:12" ht="23.25" x14ac:dyDescent="0.35">
      <c r="B59" s="59"/>
      <c r="C59" s="59"/>
      <c r="D59" s="59"/>
      <c r="E59" s="59"/>
      <c r="F59" s="59"/>
      <c r="G59" s="59"/>
      <c r="H59" s="59"/>
      <c r="I59" s="59"/>
      <c r="J59" s="59"/>
    </row>
    <row r="60" spans="1:12" ht="23.25" x14ac:dyDescent="0.35">
      <c r="B60" s="59"/>
      <c r="C60" s="59"/>
      <c r="D60" s="59"/>
      <c r="E60" s="59"/>
      <c r="F60" s="59"/>
      <c r="G60" s="59"/>
      <c r="H60" s="59"/>
      <c r="I60" s="59"/>
      <c r="J60" s="59"/>
    </row>
    <row r="61" spans="1:12" ht="23.25" x14ac:dyDescent="0.35">
      <c r="B61" s="59"/>
      <c r="C61" s="59"/>
      <c r="D61" s="59"/>
      <c r="E61" s="59"/>
      <c r="F61" s="59"/>
      <c r="G61" s="59"/>
      <c r="H61" s="59"/>
      <c r="I61" s="59"/>
      <c r="J61" s="59"/>
    </row>
  </sheetData>
  <mergeCells count="8">
    <mergeCell ref="G11:AH12"/>
    <mergeCell ref="AL11:BM12"/>
    <mergeCell ref="J14:K14"/>
    <mergeCell ref="T14:U14"/>
    <mergeCell ref="AA14:AH14"/>
    <mergeCell ref="AO14:AP14"/>
    <mergeCell ref="AY14:AZ14"/>
    <mergeCell ref="BF14:BM1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Que.1</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prasad</dc:creator>
  <cp:lastModifiedBy>prasad</cp:lastModifiedBy>
  <dcterms:created xsi:type="dcterms:W3CDTF">2014-01-08T09:53:03Z</dcterms:created>
  <dcterms:modified xsi:type="dcterms:W3CDTF">2014-01-10T04:11:40Z</dcterms:modified>
</cp:coreProperties>
</file>