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6" i="1" l="1"/>
  <c r="I30" i="1"/>
  <c r="I38" i="1"/>
  <c r="BL19" i="1"/>
  <c r="BL34" i="1"/>
  <c r="W35" i="1"/>
  <c r="M32" i="1"/>
  <c r="BH38" i="1"/>
  <c r="BH37" i="1"/>
  <c r="BH33" i="1"/>
  <c r="BH32" i="1"/>
  <c r="BH28" i="1"/>
  <c r="BH27" i="1"/>
  <c r="BH23" i="1"/>
  <c r="BH21" i="1"/>
  <c r="AX36" i="1"/>
  <c r="AX35" i="1"/>
  <c r="AX31" i="1"/>
  <c r="AX30" i="1"/>
  <c r="AX26" i="1"/>
  <c r="AX24" i="1"/>
  <c r="AX20" i="1"/>
  <c r="AX19" i="1"/>
  <c r="AN34" i="1"/>
  <c r="AN33" i="1"/>
  <c r="AN29" i="1"/>
  <c r="AN27" i="1"/>
  <c r="AN24" i="1"/>
  <c r="AN23" i="1"/>
  <c r="AN20" i="1"/>
  <c r="AN19" i="1"/>
  <c r="AC30" i="1"/>
  <c r="AC34" i="1"/>
  <c r="S37" i="1"/>
  <c r="E25" i="1"/>
  <c r="C25" i="1"/>
  <c r="E20" i="1"/>
  <c r="D20" i="1"/>
  <c r="C20" i="1"/>
  <c r="D13" i="1"/>
  <c r="D10" i="1"/>
  <c r="D9" i="1"/>
  <c r="D22" i="1" s="1"/>
  <c r="C10" i="1"/>
  <c r="C26" i="1" s="1"/>
  <c r="C9" i="1"/>
  <c r="D6" i="1"/>
  <c r="D5" i="1"/>
  <c r="K7" i="1"/>
  <c r="K6" i="1"/>
  <c r="G7" i="1"/>
  <c r="G6" i="1"/>
  <c r="BL21" i="1" l="1"/>
  <c r="BL29" i="1"/>
  <c r="BL37" i="1"/>
  <c r="BB22" i="1"/>
  <c r="BB30" i="1"/>
  <c r="BB38" i="1"/>
  <c r="AR24" i="1"/>
  <c r="AR32" i="1"/>
  <c r="W20" i="1"/>
  <c r="W28" i="1"/>
  <c r="W36" i="1"/>
  <c r="M29" i="1"/>
  <c r="M31" i="1"/>
  <c r="M33" i="1"/>
  <c r="AG20" i="1"/>
  <c r="AG28" i="1"/>
  <c r="AG36" i="1"/>
  <c r="BL23" i="1"/>
  <c r="BL25" i="1"/>
  <c r="BL27" i="1"/>
  <c r="BL36" i="1"/>
  <c r="BB20" i="1"/>
  <c r="BB29" i="1"/>
  <c r="BB33" i="1"/>
  <c r="BB35" i="1"/>
  <c r="AR19" i="1"/>
  <c r="AR21" i="1"/>
  <c r="AR25" i="1"/>
  <c r="AR34" i="1"/>
  <c r="AR36" i="1"/>
  <c r="AR38" i="1"/>
  <c r="W27" i="1"/>
  <c r="W31" i="1"/>
  <c r="W33" i="1"/>
  <c r="W37" i="1"/>
  <c r="M20" i="1"/>
  <c r="M25" i="1"/>
  <c r="M28" i="1"/>
  <c r="M30" i="1"/>
  <c r="M35" i="1"/>
  <c r="AG22" i="1"/>
  <c r="AG24" i="1"/>
  <c r="AG26" i="1"/>
  <c r="AG35" i="1"/>
  <c r="BL26" i="1"/>
  <c r="BL32" i="1"/>
  <c r="BB21" i="1"/>
  <c r="BB23" i="1"/>
  <c r="BB26" i="1"/>
  <c r="BB32" i="1"/>
  <c r="AR20" i="1"/>
  <c r="AR23" i="1"/>
  <c r="AR26" i="1"/>
  <c r="AR37" i="1"/>
  <c r="W23" i="1"/>
  <c r="W34" i="1"/>
  <c r="M24" i="1"/>
  <c r="M27" i="1"/>
  <c r="M37" i="1"/>
  <c r="AG23" i="1"/>
  <c r="AG34" i="1"/>
  <c r="AG37" i="1"/>
  <c r="BL20" i="1"/>
  <c r="BL24" i="1"/>
  <c r="BL28" i="1"/>
  <c r="BL31" i="1"/>
  <c r="BL35" i="1"/>
  <c r="BB19" i="1"/>
  <c r="BB27" i="1"/>
  <c r="BB34" i="1"/>
  <c r="AR29" i="1"/>
  <c r="W24" i="1"/>
  <c r="W32" i="1"/>
  <c r="M19" i="1"/>
  <c r="M38" i="1"/>
  <c r="AG21" i="1"/>
  <c r="AG25" i="1"/>
  <c r="AG29" i="1"/>
  <c r="AG33" i="1"/>
  <c r="D16" i="1"/>
  <c r="BB24" i="1"/>
  <c r="BB31" i="1"/>
  <c r="AR22" i="1"/>
  <c r="AR30" i="1"/>
  <c r="AR33" i="1"/>
  <c r="W21" i="1"/>
  <c r="W25" i="1"/>
  <c r="W29" i="1"/>
  <c r="M21" i="1"/>
  <c r="M26" i="1"/>
  <c r="M34" i="1"/>
  <c r="AG19" i="1"/>
  <c r="AG27" i="1"/>
  <c r="AG30" i="1"/>
  <c r="AG38" i="1"/>
  <c r="C16" i="1"/>
  <c r="BL33" i="1"/>
  <c r="BB25" i="1"/>
  <c r="BB28" i="1"/>
  <c r="BB36" i="1"/>
  <c r="AR27" i="1"/>
  <c r="AR31" i="1"/>
  <c r="AR35" i="1"/>
  <c r="W19" i="1"/>
  <c r="W22" i="1"/>
  <c r="W26" i="1"/>
  <c r="W30" i="1"/>
  <c r="W38" i="1"/>
  <c r="M22" i="1"/>
  <c r="E21" i="1"/>
  <c r="D21" i="1"/>
  <c r="BG38" i="1"/>
  <c r="BI38" i="1" s="1"/>
  <c r="BG21" i="1"/>
  <c r="BI21" i="1" s="1"/>
  <c r="BG25" i="1"/>
  <c r="BI25" i="1" s="1"/>
  <c r="BG33" i="1"/>
  <c r="BI33" i="1" s="1"/>
  <c r="BG37" i="1"/>
  <c r="BI37" i="1" s="1"/>
  <c r="AW19" i="1"/>
  <c r="AY19" i="1" s="1"/>
  <c r="AW27" i="1"/>
  <c r="AY27" i="1" s="1"/>
  <c r="AW31" i="1"/>
  <c r="AY31" i="1" s="1"/>
  <c r="AW35" i="1"/>
  <c r="AY35" i="1" s="1"/>
  <c r="BG28" i="1"/>
  <c r="BI28" i="1" s="1"/>
  <c r="BG34" i="1"/>
  <c r="BI34" i="1" s="1"/>
  <c r="AW22" i="1"/>
  <c r="AY22" i="1" s="1"/>
  <c r="AW33" i="1"/>
  <c r="AY33" i="1" s="1"/>
  <c r="AM21" i="1"/>
  <c r="AO21" i="1" s="1"/>
  <c r="AM25" i="1"/>
  <c r="AO25" i="1" s="1"/>
  <c r="AM37" i="1"/>
  <c r="AO37" i="1" s="1"/>
  <c r="AM38" i="1"/>
  <c r="AO38" i="1" s="1"/>
  <c r="BG27" i="1"/>
  <c r="BI27" i="1" s="1"/>
  <c r="BG35" i="1"/>
  <c r="BI35" i="1" s="1"/>
  <c r="AW25" i="1"/>
  <c r="AY25" i="1" s="1"/>
  <c r="AM28" i="1"/>
  <c r="AO28" i="1" s="1"/>
  <c r="AM34" i="1"/>
  <c r="AO34" i="1" s="1"/>
  <c r="BG30" i="1"/>
  <c r="BI30" i="1" s="1"/>
  <c r="BG36" i="1"/>
  <c r="BI36" i="1" s="1"/>
  <c r="AW20" i="1"/>
  <c r="AY20" i="1" s="1"/>
  <c r="AW34" i="1"/>
  <c r="AY34" i="1" s="1"/>
  <c r="AM19" i="1"/>
  <c r="AO19" i="1" s="1"/>
  <c r="AM24" i="1"/>
  <c r="AO24" i="1" s="1"/>
  <c r="AM32" i="1"/>
  <c r="AO32" i="1" s="1"/>
  <c r="AM22" i="1"/>
  <c r="AO22" i="1" s="1"/>
  <c r="AW24" i="1"/>
  <c r="AY24" i="1" s="1"/>
  <c r="BG32" i="1"/>
  <c r="BI32" i="1" s="1"/>
  <c r="BG19" i="1"/>
  <c r="BI19" i="1" s="1"/>
  <c r="AG32" i="1"/>
  <c r="BL30" i="1"/>
  <c r="D15" i="1"/>
  <c r="C21" i="1"/>
  <c r="AW36" i="1"/>
  <c r="AY36" i="1" s="1"/>
  <c r="AW21" i="1"/>
  <c r="AY21" i="1" s="1"/>
  <c r="AG31" i="1"/>
  <c r="M23" i="1"/>
  <c r="BB37" i="1"/>
  <c r="E26" i="1"/>
  <c r="AW30" i="1"/>
  <c r="AY30" i="1" s="1"/>
  <c r="BG26" i="1"/>
  <c r="BI26" i="1" s="1"/>
  <c r="M36" i="1"/>
  <c r="AR28" i="1"/>
  <c r="BL38" i="1"/>
  <c r="BL22" i="1"/>
  <c r="AC21" i="1"/>
  <c r="I34" i="1"/>
  <c r="I22" i="1"/>
  <c r="I29" i="1"/>
  <c r="I36" i="1"/>
  <c r="S38" i="1"/>
  <c r="AN38" i="1"/>
  <c r="I21" i="1"/>
  <c r="I25" i="1"/>
  <c r="I31" i="1"/>
  <c r="I37" i="1"/>
  <c r="AC38" i="1"/>
  <c r="AX38" i="1"/>
  <c r="BH34" i="1"/>
  <c r="BH30" i="1"/>
  <c r="BH26" i="1"/>
  <c r="BH22" i="1"/>
  <c r="AX37" i="1"/>
  <c r="AX33" i="1"/>
  <c r="AX29" i="1"/>
  <c r="AX25" i="1"/>
  <c r="AX21" i="1"/>
  <c r="AN36" i="1"/>
  <c r="AN32" i="1"/>
  <c r="AN28" i="1"/>
  <c r="C22" i="1"/>
  <c r="AM33" i="1" s="1"/>
  <c r="AO33" i="1" s="1"/>
  <c r="S35" i="1"/>
  <c r="AC26" i="1"/>
  <c r="AN21" i="1"/>
  <c r="AN25" i="1"/>
  <c r="AN30" i="1"/>
  <c r="AN35" i="1"/>
  <c r="AX22" i="1"/>
  <c r="AX27" i="1"/>
  <c r="AX32" i="1"/>
  <c r="BH19" i="1"/>
  <c r="BH24" i="1"/>
  <c r="BH29" i="1"/>
  <c r="BH35" i="1"/>
  <c r="I33" i="1"/>
  <c r="I28" i="1"/>
  <c r="I24" i="1"/>
  <c r="I20" i="1"/>
  <c r="S31" i="1"/>
  <c r="AC22" i="1"/>
  <c r="AN22" i="1"/>
  <c r="AN26" i="1"/>
  <c r="AN31" i="1"/>
  <c r="AN37" i="1"/>
  <c r="AX23" i="1"/>
  <c r="AX28" i="1"/>
  <c r="AX34" i="1"/>
  <c r="BH20" i="1"/>
  <c r="BH25" i="1"/>
  <c r="BH31" i="1"/>
  <c r="BH36" i="1"/>
  <c r="I35" i="1"/>
  <c r="I32" i="1"/>
  <c r="I27" i="1"/>
  <c r="I23" i="1"/>
  <c r="C27" i="1"/>
  <c r="D27" i="1"/>
  <c r="E27" i="1"/>
  <c r="C13" i="1"/>
  <c r="E22" i="1"/>
  <c r="S32" i="1"/>
  <c r="S28" i="1"/>
  <c r="S26" i="1"/>
  <c r="S24" i="1"/>
  <c r="S22" i="1"/>
  <c r="S20" i="1"/>
  <c r="AC35" i="1"/>
  <c r="AC31" i="1"/>
  <c r="AC27" i="1"/>
  <c r="AC23" i="1"/>
  <c r="AC19" i="1"/>
  <c r="D12" i="1"/>
  <c r="D26" i="1"/>
  <c r="I19" i="1"/>
  <c r="S36" i="1"/>
  <c r="S33" i="1"/>
  <c r="S29" i="1"/>
  <c r="S19" i="1"/>
  <c r="AC36" i="1"/>
  <c r="AC32" i="1"/>
  <c r="AC28" i="1"/>
  <c r="AC24" i="1"/>
  <c r="AC20" i="1"/>
  <c r="C12" i="1"/>
  <c r="C15" i="1"/>
  <c r="S34" i="1"/>
  <c r="S30" i="1"/>
  <c r="S27" i="1"/>
  <c r="S25" i="1"/>
  <c r="S23" i="1"/>
  <c r="S21" i="1"/>
  <c r="AC37" i="1"/>
  <c r="AC33" i="1"/>
  <c r="AC29" i="1"/>
  <c r="AC25" i="1"/>
  <c r="H20" i="1" l="1"/>
  <c r="J20" i="1" s="1"/>
  <c r="H22" i="1"/>
  <c r="J22" i="1" s="1"/>
  <c r="H24" i="1"/>
  <c r="J24" i="1" s="1"/>
  <c r="H27" i="1"/>
  <c r="J27" i="1" s="1"/>
  <c r="H29" i="1"/>
  <c r="J29" i="1" s="1"/>
  <c r="H31" i="1"/>
  <c r="J31" i="1" s="1"/>
  <c r="H33" i="1"/>
  <c r="J33" i="1" s="1"/>
  <c r="H36" i="1"/>
  <c r="J36" i="1" s="1"/>
  <c r="H38" i="1"/>
  <c r="J38" i="1" s="1"/>
  <c r="H25" i="1"/>
  <c r="J25" i="1" s="1"/>
  <c r="H32" i="1"/>
  <c r="J32" i="1" s="1"/>
  <c r="H34" i="1"/>
  <c r="J34" i="1" s="1"/>
  <c r="H28" i="1"/>
  <c r="J28" i="1" s="1"/>
  <c r="H37" i="1"/>
  <c r="J37" i="1" s="1"/>
  <c r="H21" i="1"/>
  <c r="J21" i="1" s="1"/>
  <c r="H26" i="1"/>
  <c r="J26" i="1" s="1"/>
  <c r="H30" i="1"/>
  <c r="J30" i="1" s="1"/>
  <c r="H35" i="1"/>
  <c r="J35" i="1" s="1"/>
  <c r="R38" i="1"/>
  <c r="T38" i="1" s="1"/>
  <c r="H23" i="1"/>
  <c r="J23" i="1" s="1"/>
  <c r="AB38" i="1"/>
  <c r="AD38" i="1" s="1"/>
  <c r="AM27" i="1"/>
  <c r="AO27" i="1" s="1"/>
  <c r="AM20" i="1"/>
  <c r="AO20" i="1" s="1"/>
  <c r="AM35" i="1"/>
  <c r="AO35" i="1" s="1"/>
  <c r="AM23" i="1"/>
  <c r="AO23" i="1" s="1"/>
  <c r="V19" i="1"/>
  <c r="X19" i="1" s="1"/>
  <c r="V22" i="1"/>
  <c r="X22" i="1" s="1"/>
  <c r="V25" i="1"/>
  <c r="X25" i="1" s="1"/>
  <c r="V27" i="1"/>
  <c r="X27" i="1" s="1"/>
  <c r="V30" i="1"/>
  <c r="X30" i="1" s="1"/>
  <c r="V33" i="1"/>
  <c r="X33" i="1" s="1"/>
  <c r="V35" i="1"/>
  <c r="X35" i="1" s="1"/>
  <c r="V38" i="1"/>
  <c r="X38" i="1" s="1"/>
  <c r="L20" i="1"/>
  <c r="N20" i="1" s="1"/>
  <c r="L22" i="1"/>
  <c r="N22" i="1" s="1"/>
  <c r="L24" i="1"/>
  <c r="N24" i="1" s="1"/>
  <c r="L26" i="1"/>
  <c r="N26" i="1" s="1"/>
  <c r="L28" i="1"/>
  <c r="N28" i="1" s="1"/>
  <c r="L35" i="1"/>
  <c r="N35" i="1" s="1"/>
  <c r="L37" i="1"/>
  <c r="N37" i="1" s="1"/>
  <c r="AF19" i="1"/>
  <c r="AH19" i="1" s="1"/>
  <c r="AF22" i="1"/>
  <c r="AH22" i="1" s="1"/>
  <c r="AF25" i="1"/>
  <c r="AH25" i="1" s="1"/>
  <c r="AF27" i="1"/>
  <c r="AH27" i="1" s="1"/>
  <c r="AF30" i="1"/>
  <c r="AH30" i="1" s="1"/>
  <c r="AF33" i="1"/>
  <c r="AH33" i="1" s="1"/>
  <c r="AF35" i="1"/>
  <c r="AH35" i="1" s="1"/>
  <c r="AF38" i="1"/>
  <c r="AH38" i="1" s="1"/>
  <c r="V23" i="1"/>
  <c r="X23" i="1" s="1"/>
  <c r="V29" i="1"/>
  <c r="X29" i="1" s="1"/>
  <c r="L23" i="1"/>
  <c r="N23" i="1" s="1"/>
  <c r="L33" i="1"/>
  <c r="N33" i="1" s="1"/>
  <c r="L38" i="1"/>
  <c r="N38" i="1" s="1"/>
  <c r="AF20" i="1"/>
  <c r="AH20" i="1" s="1"/>
  <c r="AF31" i="1"/>
  <c r="AH31" i="1" s="1"/>
  <c r="AF37" i="1"/>
  <c r="AH37" i="1" s="1"/>
  <c r="V20" i="1"/>
  <c r="X20" i="1" s="1"/>
  <c r="V26" i="1"/>
  <c r="X26" i="1" s="1"/>
  <c r="V32" i="1"/>
  <c r="X32" i="1" s="1"/>
  <c r="V37" i="1"/>
  <c r="X37" i="1" s="1"/>
  <c r="L21" i="1"/>
  <c r="N21" i="1" s="1"/>
  <c r="L31" i="1"/>
  <c r="N31" i="1" s="1"/>
  <c r="L34" i="1"/>
  <c r="N34" i="1" s="1"/>
  <c r="AF26" i="1"/>
  <c r="AH26" i="1" s="1"/>
  <c r="AF29" i="1"/>
  <c r="AH29" i="1" s="1"/>
  <c r="AF32" i="1"/>
  <c r="AH32" i="1" s="1"/>
  <c r="V21" i="1"/>
  <c r="X21" i="1" s="1"/>
  <c r="V28" i="1"/>
  <c r="X28" i="1" s="1"/>
  <c r="V36" i="1"/>
  <c r="X36" i="1" s="1"/>
  <c r="L25" i="1"/>
  <c r="N25" i="1" s="1"/>
  <c r="L29" i="1"/>
  <c r="N29" i="1" s="1"/>
  <c r="L30" i="1"/>
  <c r="N30" i="1" s="1"/>
  <c r="AF23" i="1"/>
  <c r="AH23" i="1" s="1"/>
  <c r="AF34" i="1"/>
  <c r="AH34" i="1" s="1"/>
  <c r="V34" i="1"/>
  <c r="X34" i="1" s="1"/>
  <c r="L27" i="1"/>
  <c r="N27" i="1" s="1"/>
  <c r="L32" i="1"/>
  <c r="N32" i="1" s="1"/>
  <c r="L36" i="1"/>
  <c r="N36" i="1" s="1"/>
  <c r="AF24" i="1"/>
  <c r="AH24" i="1" s="1"/>
  <c r="V24" i="1"/>
  <c r="X24" i="1" s="1"/>
  <c r="L19" i="1"/>
  <c r="N19" i="1" s="1"/>
  <c r="AF28" i="1"/>
  <c r="AH28" i="1" s="1"/>
  <c r="AF36" i="1"/>
  <c r="AH36" i="1" s="1"/>
  <c r="AF21" i="1"/>
  <c r="AH21" i="1" s="1"/>
  <c r="V31" i="1"/>
  <c r="X31" i="1" s="1"/>
  <c r="BK20" i="1"/>
  <c r="BM20" i="1" s="1"/>
  <c r="BK23" i="1"/>
  <c r="BM23" i="1" s="1"/>
  <c r="BK26" i="1"/>
  <c r="BM26" i="1" s="1"/>
  <c r="BK28" i="1"/>
  <c r="BM28" i="1" s="1"/>
  <c r="BK31" i="1"/>
  <c r="BM31" i="1" s="1"/>
  <c r="BK34" i="1"/>
  <c r="BM34" i="1" s="1"/>
  <c r="BK36" i="1"/>
  <c r="BM36" i="1" s="1"/>
  <c r="BA19" i="1"/>
  <c r="BC19" i="1" s="1"/>
  <c r="BA21" i="1"/>
  <c r="BC21" i="1" s="1"/>
  <c r="BA24" i="1"/>
  <c r="BC24" i="1" s="1"/>
  <c r="BA27" i="1"/>
  <c r="BC27" i="1" s="1"/>
  <c r="BA29" i="1"/>
  <c r="BC29" i="1" s="1"/>
  <c r="BA32" i="1"/>
  <c r="BC32" i="1" s="1"/>
  <c r="BA35" i="1"/>
  <c r="BC35" i="1" s="1"/>
  <c r="BA37" i="1"/>
  <c r="BC37" i="1" s="1"/>
  <c r="AQ21" i="1"/>
  <c r="AS21" i="1" s="1"/>
  <c r="AQ23" i="1"/>
  <c r="AS23" i="1" s="1"/>
  <c r="AQ26" i="1"/>
  <c r="AS26" i="1" s="1"/>
  <c r="AQ29" i="1"/>
  <c r="AS29" i="1" s="1"/>
  <c r="AQ31" i="1"/>
  <c r="AS31" i="1" s="1"/>
  <c r="AQ34" i="1"/>
  <c r="AS34" i="1" s="1"/>
  <c r="AQ37" i="1"/>
  <c r="AS37" i="1" s="1"/>
  <c r="BK19" i="1"/>
  <c r="BM19" i="1" s="1"/>
  <c r="BK21" i="1"/>
  <c r="BM21" i="1" s="1"/>
  <c r="BK32" i="1"/>
  <c r="BM32" i="1" s="1"/>
  <c r="BK38" i="1"/>
  <c r="BM38" i="1" s="1"/>
  <c r="BA25" i="1"/>
  <c r="BC25" i="1" s="1"/>
  <c r="BA31" i="1"/>
  <c r="BC31" i="1" s="1"/>
  <c r="AQ28" i="1"/>
  <c r="AS28" i="1" s="1"/>
  <c r="AQ30" i="1"/>
  <c r="AS30" i="1" s="1"/>
  <c r="AQ32" i="1"/>
  <c r="AS32" i="1" s="1"/>
  <c r="BK24" i="1"/>
  <c r="BM24" i="1" s="1"/>
  <c r="BK29" i="1"/>
  <c r="BM29" i="1" s="1"/>
  <c r="BK35" i="1"/>
  <c r="BM35" i="1" s="1"/>
  <c r="BA38" i="1"/>
  <c r="BC38" i="1" s="1"/>
  <c r="AQ35" i="1"/>
  <c r="AS35" i="1" s="1"/>
  <c r="BA23" i="1"/>
  <c r="BC23" i="1" s="1"/>
  <c r="AQ22" i="1"/>
  <c r="AS22" i="1" s="1"/>
  <c r="AQ25" i="1"/>
  <c r="AS25" i="1" s="1"/>
  <c r="AQ33" i="1"/>
  <c r="AS33" i="1" s="1"/>
  <c r="BK25" i="1"/>
  <c r="BM25" i="1" s="1"/>
  <c r="BK33" i="1"/>
  <c r="BM33" i="1" s="1"/>
  <c r="BA20" i="1"/>
  <c r="BC20" i="1" s="1"/>
  <c r="BA28" i="1"/>
  <c r="BC28" i="1" s="1"/>
  <c r="BA36" i="1"/>
  <c r="BC36" i="1" s="1"/>
  <c r="AQ19" i="1"/>
  <c r="AS19" i="1" s="1"/>
  <c r="AQ27" i="1"/>
  <c r="AS27" i="1" s="1"/>
  <c r="AQ38" i="1"/>
  <c r="AS38" i="1" s="1"/>
  <c r="BK22" i="1"/>
  <c r="BM22" i="1" s="1"/>
  <c r="BK30" i="1"/>
  <c r="BM30" i="1" s="1"/>
  <c r="BK37" i="1"/>
  <c r="BM37" i="1" s="1"/>
  <c r="BA33" i="1"/>
  <c r="BC33" i="1" s="1"/>
  <c r="AQ20" i="1"/>
  <c r="AS20" i="1" s="1"/>
  <c r="AQ24" i="1"/>
  <c r="AS24" i="1" s="1"/>
  <c r="BA34" i="1"/>
  <c r="BC34" i="1" s="1"/>
  <c r="BK27" i="1"/>
  <c r="BM27" i="1" s="1"/>
  <c r="BA22" i="1"/>
  <c r="BC22" i="1" s="1"/>
  <c r="BA26" i="1"/>
  <c r="BC26" i="1" s="1"/>
  <c r="AQ36" i="1"/>
  <c r="AS36" i="1" s="1"/>
  <c r="BA30" i="1"/>
  <c r="BC30" i="1" s="1"/>
  <c r="AW38" i="1"/>
  <c r="AY38" i="1" s="1"/>
  <c r="BG24" i="1"/>
  <c r="BI24" i="1" s="1"/>
  <c r="AW29" i="1"/>
  <c r="AY29" i="1" s="1"/>
  <c r="AM26" i="1"/>
  <c r="AO26" i="1" s="1"/>
  <c r="AM36" i="1"/>
  <c r="AO36" i="1" s="1"/>
  <c r="BG31" i="1"/>
  <c r="BI31" i="1" s="1"/>
  <c r="AM31" i="1"/>
  <c r="AO31" i="1" s="1"/>
  <c r="AW37" i="1"/>
  <c r="AY37" i="1" s="1"/>
  <c r="AM30" i="1"/>
  <c r="AO30" i="1" s="1"/>
  <c r="AW26" i="1"/>
  <c r="AY26" i="1" s="1"/>
  <c r="BG22" i="1"/>
  <c r="BI22" i="1" s="1"/>
  <c r="AW32" i="1"/>
  <c r="AY32" i="1" s="1"/>
  <c r="BG20" i="1"/>
  <c r="BI20" i="1" s="1"/>
  <c r="AM29" i="1"/>
  <c r="AO29" i="1" s="1"/>
  <c r="AW28" i="1"/>
  <c r="AY28" i="1" s="1"/>
  <c r="BG23" i="1"/>
  <c r="BI23" i="1" s="1"/>
  <c r="AW23" i="1"/>
  <c r="AY23" i="1" s="1"/>
  <c r="BG29" i="1"/>
  <c r="BI29" i="1" s="1"/>
  <c r="AB21" i="1"/>
  <c r="AD21" i="1" s="1"/>
  <c r="AB25" i="1"/>
  <c r="AD25" i="1" s="1"/>
  <c r="AB29" i="1"/>
  <c r="AD29" i="1" s="1"/>
  <c r="AB33" i="1"/>
  <c r="AD33" i="1" s="1"/>
  <c r="AB37" i="1"/>
  <c r="AD37" i="1" s="1"/>
  <c r="R29" i="1"/>
  <c r="T29" i="1" s="1"/>
  <c r="R33" i="1"/>
  <c r="T33" i="1" s="1"/>
  <c r="R37" i="1"/>
  <c r="T37" i="1" s="1"/>
  <c r="AB20" i="1"/>
  <c r="AD20" i="1" s="1"/>
  <c r="AB24" i="1"/>
  <c r="AD24" i="1" s="1"/>
  <c r="AB28" i="1"/>
  <c r="AD28" i="1" s="1"/>
  <c r="AB32" i="1"/>
  <c r="AD32" i="1" s="1"/>
  <c r="AB36" i="1"/>
  <c r="AD36" i="1" s="1"/>
  <c r="R21" i="1"/>
  <c r="T21" i="1" s="1"/>
  <c r="R23" i="1"/>
  <c r="T23" i="1" s="1"/>
  <c r="R25" i="1"/>
  <c r="T25" i="1" s="1"/>
  <c r="R28" i="1"/>
  <c r="T28" i="1" s="1"/>
  <c r="R32" i="1"/>
  <c r="T32" i="1" s="1"/>
  <c r="R36" i="1"/>
  <c r="T36" i="1" s="1"/>
  <c r="AB19" i="1"/>
  <c r="AD19" i="1" s="1"/>
  <c r="AB23" i="1"/>
  <c r="AD23" i="1" s="1"/>
  <c r="AB27" i="1"/>
  <c r="AD27" i="1" s="1"/>
  <c r="AB31" i="1"/>
  <c r="AD31" i="1" s="1"/>
  <c r="AB35" i="1"/>
  <c r="AD35" i="1" s="1"/>
  <c r="R27" i="1"/>
  <c r="T27" i="1" s="1"/>
  <c r="R31" i="1"/>
  <c r="T31" i="1" s="1"/>
  <c r="R35" i="1"/>
  <c r="T35" i="1" s="1"/>
  <c r="AB22" i="1"/>
  <c r="AD22" i="1" s="1"/>
  <c r="AB26" i="1"/>
  <c r="AD26" i="1" s="1"/>
  <c r="AB30" i="1"/>
  <c r="AD30" i="1" s="1"/>
  <c r="AB34" i="1"/>
  <c r="AD34" i="1" s="1"/>
  <c r="R24" i="1"/>
  <c r="T24" i="1" s="1"/>
  <c r="R34" i="1"/>
  <c r="T34" i="1" s="1"/>
  <c r="H19" i="1"/>
  <c r="J19" i="1" s="1"/>
  <c r="R22" i="1"/>
  <c r="T22" i="1" s="1"/>
  <c r="R30" i="1"/>
  <c r="T30" i="1" s="1"/>
  <c r="R20" i="1"/>
  <c r="T20" i="1" s="1"/>
  <c r="R19" i="1"/>
  <c r="T19" i="1" s="1"/>
  <c r="R26" i="1"/>
  <c r="T26" i="1" s="1"/>
</calcChain>
</file>

<file path=xl/sharedStrings.xml><?xml version="1.0" encoding="utf-8"?>
<sst xmlns="http://schemas.openxmlformats.org/spreadsheetml/2006/main" count="108" uniqueCount="43">
  <si>
    <t>Є</t>
  </si>
  <si>
    <t>σ</t>
  </si>
  <si>
    <t>Ωa</t>
  </si>
  <si>
    <t>Ωb</t>
  </si>
  <si>
    <t>ω</t>
  </si>
  <si>
    <t>Tc</t>
  </si>
  <si>
    <t>Pc</t>
  </si>
  <si>
    <t>Vc</t>
  </si>
  <si>
    <t>benzene</t>
  </si>
  <si>
    <t>k</t>
  </si>
  <si>
    <t>methane</t>
  </si>
  <si>
    <t>α benzene</t>
  </si>
  <si>
    <t>α methane</t>
  </si>
  <si>
    <t>a benzene</t>
  </si>
  <si>
    <t>b benzene</t>
  </si>
  <si>
    <t>a methane</t>
  </si>
  <si>
    <t>b methane</t>
  </si>
  <si>
    <t>t1</t>
  </si>
  <si>
    <t>t2</t>
  </si>
  <si>
    <t>t3</t>
  </si>
  <si>
    <t>tr=1</t>
  </si>
  <si>
    <t>tr=1.2</t>
  </si>
  <si>
    <t>SRK</t>
  </si>
  <si>
    <t>PR</t>
  </si>
  <si>
    <t xml:space="preserve"> </t>
  </si>
  <si>
    <r>
      <t>N/m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</si>
  <si>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3</t>
    </r>
  </si>
  <si>
    <r>
      <t>N/m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</si>
  <si>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</si>
  <si>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Tr=0.85</t>
  </si>
  <si>
    <t>Tr=1</t>
  </si>
  <si>
    <t>Tr=1.2</t>
  </si>
  <si>
    <t>Tr</t>
  </si>
  <si>
    <t>BENZENE</t>
  </si>
  <si>
    <t>Methane</t>
  </si>
  <si>
    <t>α</t>
  </si>
  <si>
    <t>Benzene</t>
  </si>
  <si>
    <t>V</t>
  </si>
  <si>
    <t>P</t>
  </si>
  <si>
    <t>Vr</t>
  </si>
  <si>
    <t>Pr</t>
  </si>
  <si>
    <t>Sauve Redlich Kwong Equation.</t>
  </si>
  <si>
    <t xml:space="preserve">Peng Robinson Equation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</si>
</sst>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9" xfId="0" applyFont="1" applyFill="1" applyBorder="1" applyAlignment="1">
      <alignment horizontal="center" vertical="top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top" wrapText="1"/>
    </xf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7" fillId="0" borderId="0" xfId="0" applyFont="1" applyFill="1" applyBorder="1"/>
    <xf numFmtId="0" fontId="0" fillId="0" borderId="0" xfId="0" applyFill="1"/>
    <xf numFmtId="0" fontId="0" fillId="0" borderId="0" xfId="0" applyFont="1" applyFill="1" applyBorder="1"/>
    <xf numFmtId="0" fontId="3" fillId="0" borderId="0" xfId="0" applyFont="1" applyFill="1" applyBorder="1"/>
    <xf numFmtId="0" fontId="0" fillId="4" borderId="0" xfId="0" applyFont="1" applyFill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0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ont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Border="1"/>
    <xf numFmtId="0" fontId="0" fillId="4" borderId="14" xfId="0" applyFont="1" applyFill="1" applyBorder="1"/>
    <xf numFmtId="0" fontId="0" fillId="0" borderId="14" xfId="0" applyFont="1" applyFill="1" applyBorder="1"/>
    <xf numFmtId="0" fontId="3" fillId="0" borderId="14" xfId="0" applyFont="1" applyFill="1" applyBorder="1"/>
    <xf numFmtId="0" fontId="0" fillId="0" borderId="15" xfId="0" applyFont="1" applyBorder="1"/>
    <xf numFmtId="0" fontId="3" fillId="0" borderId="16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4" fillId="0" borderId="0" xfId="0" applyFont="1" applyFill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4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 applyBorder="1"/>
    <xf numFmtId="0" fontId="0" fillId="6" borderId="5" xfId="0" applyFont="1" applyFill="1" applyBorder="1"/>
    <xf numFmtId="0" fontId="1" fillId="6" borderId="6" xfId="0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0" fillId="7" borderId="18" xfId="0" applyFont="1" applyFill="1" applyBorder="1"/>
    <xf numFmtId="0" fontId="3" fillId="7" borderId="19" xfId="0" applyFont="1" applyFill="1" applyBorder="1"/>
    <xf numFmtId="0" fontId="0" fillId="7" borderId="20" xfId="0" applyFont="1" applyFill="1" applyBorder="1"/>
    <xf numFmtId="0" fontId="0" fillId="7" borderId="21" xfId="0" applyFont="1" applyFill="1" applyBorder="1"/>
    <xf numFmtId="0" fontId="3" fillId="7" borderId="0" xfId="0" applyFont="1" applyFill="1" applyBorder="1"/>
    <xf numFmtId="0" fontId="0" fillId="7" borderId="22" xfId="0" applyFont="1" applyFill="1" applyBorder="1"/>
    <xf numFmtId="0" fontId="0" fillId="7" borderId="23" xfId="0" applyFont="1" applyFill="1" applyBorder="1"/>
    <xf numFmtId="0" fontId="11" fillId="7" borderId="24" xfId="0" applyFont="1" applyFill="1" applyBorder="1" applyAlignment="1">
      <alignment horizontal="center" vertical="top" wrapText="1"/>
    </xf>
    <xf numFmtId="0" fontId="12" fillId="7" borderId="25" xfId="0" applyFont="1" applyFill="1" applyBorder="1" applyAlignment="1">
      <alignment horizontal="center" vertical="top" wrapText="1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 0.85 BENZENE</c:v>
          </c:tx>
          <c:marker>
            <c:symbol val="none"/>
          </c:marker>
          <c:xVal>
            <c:numRef>
              <c:f>Sheet1!$I$20:$I$38</c:f>
              <c:numCache>
                <c:formatCode>General</c:formatCode>
                <c:ptCount val="19"/>
                <c:pt idx="0">
                  <c:v>0.41854797490612305</c:v>
                </c:pt>
                <c:pt idx="1">
                  <c:v>0.62782196235918453</c:v>
                </c:pt>
                <c:pt idx="2">
                  <c:v>0.83709594981224611</c:v>
                </c:pt>
                <c:pt idx="3">
                  <c:v>1.0463699372653077</c:v>
                </c:pt>
                <c:pt idx="4">
                  <c:v>1.2556439247183691</c:v>
                </c:pt>
                <c:pt idx="5">
                  <c:v>1.4649179121714309</c:v>
                </c:pt>
                <c:pt idx="6">
                  <c:v>1.6741918996244922</c:v>
                </c:pt>
                <c:pt idx="7">
                  <c:v>1.8834658870775538</c:v>
                </c:pt>
                <c:pt idx="8">
                  <c:v>2.0927398745306154</c:v>
                </c:pt>
                <c:pt idx="9">
                  <c:v>2.302013861983677</c:v>
                </c:pt>
                <c:pt idx="10">
                  <c:v>2.5112878494367381</c:v>
                </c:pt>
                <c:pt idx="11">
                  <c:v>2.7205618368898001</c:v>
                </c:pt>
                <c:pt idx="12">
                  <c:v>2.9298358243428617</c:v>
                </c:pt>
                <c:pt idx="13">
                  <c:v>3.1391098117959233</c:v>
                </c:pt>
                <c:pt idx="14">
                  <c:v>3.3483837992489844</c:v>
                </c:pt>
                <c:pt idx="15">
                  <c:v>3.557657786702046</c:v>
                </c:pt>
                <c:pt idx="16">
                  <c:v>3.7669317741551076</c:v>
                </c:pt>
                <c:pt idx="17">
                  <c:v>3.9762057616081692</c:v>
                </c:pt>
                <c:pt idx="18">
                  <c:v>4.1854797490612308</c:v>
                </c:pt>
              </c:numCache>
            </c:numRef>
          </c:xVal>
          <c:yVal>
            <c:numRef>
              <c:f>Sheet1!$J$20:$J$38</c:f>
              <c:numCache>
                <c:formatCode>General</c:formatCode>
                <c:ptCount val="19"/>
                <c:pt idx="0">
                  <c:v>0.27697210521228072</c:v>
                </c:pt>
                <c:pt idx="1">
                  <c:v>0.49398588708980556</c:v>
                </c:pt>
                <c:pt idx="2">
                  <c:v>0.50809475787480152</c:v>
                </c:pt>
                <c:pt idx="3">
                  <c:v>0.47831243378530314</c:v>
                </c:pt>
                <c:pt idx="4">
                  <c:v>0.44057860875473137</c:v>
                </c:pt>
                <c:pt idx="5">
                  <c:v>0.40423603793233315</c:v>
                </c:pt>
                <c:pt idx="6">
                  <c:v>0.37159547388612241</c:v>
                </c:pt>
                <c:pt idx="7">
                  <c:v>0.3429067672370974</c:v>
                </c:pt>
                <c:pt idx="8">
                  <c:v>0.31782084679166472</c:v>
                </c:pt>
                <c:pt idx="9">
                  <c:v>0.29585519599059884</c:v>
                </c:pt>
                <c:pt idx="10">
                  <c:v>0.27654336549443431</c:v>
                </c:pt>
                <c:pt idx="11">
                  <c:v>0.25947761127850011</c:v>
                </c:pt>
                <c:pt idx="12">
                  <c:v>0.24431476915057634</c:v>
                </c:pt>
                <c:pt idx="13">
                  <c:v>0.23077020028260314</c:v>
                </c:pt>
                <c:pt idx="14">
                  <c:v>0.21860878845804807</c:v>
                </c:pt>
                <c:pt idx="15">
                  <c:v>0.20763614615750872</c:v>
                </c:pt>
                <c:pt idx="16">
                  <c:v>0.19769099885061042</c:v>
                </c:pt>
                <c:pt idx="17">
                  <c:v>0.18863890446302192</c:v>
                </c:pt>
                <c:pt idx="18">
                  <c:v>0.18036718503302213</c:v>
                </c:pt>
              </c:numCache>
            </c:numRef>
          </c:yVal>
          <c:smooth val="1"/>
        </c:ser>
        <c:ser>
          <c:idx val="1"/>
          <c:order val="1"/>
          <c:tx>
            <c:v>Tr 1 BENZENE</c:v>
          </c:tx>
          <c:marker>
            <c:symbol val="none"/>
          </c:marker>
          <c:xVal>
            <c:numRef>
              <c:f>Sheet1!$S$20:$S$38</c:f>
              <c:numCache>
                <c:formatCode>General</c:formatCode>
                <c:ptCount val="19"/>
                <c:pt idx="0">
                  <c:v>0.41854797490612305</c:v>
                </c:pt>
                <c:pt idx="1">
                  <c:v>0.62782196235918453</c:v>
                </c:pt>
                <c:pt idx="2">
                  <c:v>0.83709594981224611</c:v>
                </c:pt>
                <c:pt idx="3">
                  <c:v>1.0463699372653077</c:v>
                </c:pt>
                <c:pt idx="4">
                  <c:v>1.2556439247183691</c:v>
                </c:pt>
                <c:pt idx="5">
                  <c:v>1.4649179121714309</c:v>
                </c:pt>
                <c:pt idx="6">
                  <c:v>1.6741918996244922</c:v>
                </c:pt>
                <c:pt idx="7">
                  <c:v>1.8834658870775538</c:v>
                </c:pt>
                <c:pt idx="8">
                  <c:v>2.0927398745306154</c:v>
                </c:pt>
                <c:pt idx="9">
                  <c:v>2.302013861983677</c:v>
                </c:pt>
                <c:pt idx="10">
                  <c:v>2.5112878494367381</c:v>
                </c:pt>
                <c:pt idx="11">
                  <c:v>2.7205618368898001</c:v>
                </c:pt>
                <c:pt idx="12">
                  <c:v>2.9298358243428617</c:v>
                </c:pt>
                <c:pt idx="13">
                  <c:v>3.1391098117959233</c:v>
                </c:pt>
                <c:pt idx="14">
                  <c:v>3.3483837992489844</c:v>
                </c:pt>
                <c:pt idx="15">
                  <c:v>3.557657786702046</c:v>
                </c:pt>
                <c:pt idx="16">
                  <c:v>3.7669317741551076</c:v>
                </c:pt>
                <c:pt idx="17">
                  <c:v>3.9762057616081692</c:v>
                </c:pt>
                <c:pt idx="18">
                  <c:v>4.1854797490612308</c:v>
                </c:pt>
              </c:numCache>
            </c:numRef>
          </c:xVal>
          <c:yVal>
            <c:numRef>
              <c:f>Sheet1!$T$20:$T$38</c:f>
              <c:numCache>
                <c:formatCode>General</c:formatCode>
                <c:ptCount val="19"/>
                <c:pt idx="0">
                  <c:v>0.9911794044674429</c:v>
                </c:pt>
                <c:pt idx="1">
                  <c:v>0.89479135195916992</c:v>
                </c:pt>
                <c:pt idx="2">
                  <c:v>0.77969183313899915</c:v>
                </c:pt>
                <c:pt idx="3">
                  <c:v>0.6813837764098496</c:v>
                </c:pt>
                <c:pt idx="4">
                  <c:v>0.60179661567243781</c:v>
                </c:pt>
                <c:pt idx="5">
                  <c:v>0.53746658462116381</c:v>
                </c:pt>
                <c:pt idx="6">
                  <c:v>0.48489243152212907</c:v>
                </c:pt>
                <c:pt idx="7">
                  <c:v>0.44133270798861751</c:v>
                </c:pt>
                <c:pt idx="8">
                  <c:v>0.40475204265965214</c:v>
                </c:pt>
                <c:pt idx="9">
                  <c:v>0.37364927037895534</c:v>
                </c:pt>
                <c:pt idx="10">
                  <c:v>0.34690826032252736</c:v>
                </c:pt>
                <c:pt idx="11">
                  <c:v>0.32368834646827521</c:v>
                </c:pt>
                <c:pt idx="12">
                  <c:v>0.30334727344159351</c:v>
                </c:pt>
                <c:pt idx="13">
                  <c:v>0.28538741871007323</c:v>
                </c:pt>
                <c:pt idx="14">
                  <c:v>0.26941804431645716</c:v>
                </c:pt>
                <c:pt idx="15">
                  <c:v>0.25512850616606692</c:v>
                </c:pt>
                <c:pt idx="16">
                  <c:v>0.24226899091465182</c:v>
                </c:pt>
                <c:pt idx="17">
                  <c:v>0.2306364770868316</c:v>
                </c:pt>
                <c:pt idx="18">
                  <c:v>0.2200643668241169</c:v>
                </c:pt>
              </c:numCache>
            </c:numRef>
          </c:yVal>
          <c:smooth val="1"/>
        </c:ser>
        <c:ser>
          <c:idx val="2"/>
          <c:order val="2"/>
          <c:tx>
            <c:v>Tr 1.2 BENZENE</c:v>
          </c:tx>
          <c:marker>
            <c:symbol val="none"/>
          </c:marker>
          <c:xVal>
            <c:numRef>
              <c:f>Sheet1!$AC$22:$AC$38</c:f>
              <c:numCache>
                <c:formatCode>General</c:formatCode>
                <c:ptCount val="17"/>
                <c:pt idx="0">
                  <c:v>0.83709594981224611</c:v>
                </c:pt>
                <c:pt idx="1">
                  <c:v>1.0463699372653077</c:v>
                </c:pt>
                <c:pt idx="2">
                  <c:v>1.2556439247183691</c:v>
                </c:pt>
                <c:pt idx="3">
                  <c:v>1.4649179121714309</c:v>
                </c:pt>
                <c:pt idx="4">
                  <c:v>1.6741918996244922</c:v>
                </c:pt>
                <c:pt idx="5">
                  <c:v>1.8834658870775538</c:v>
                </c:pt>
                <c:pt idx="6">
                  <c:v>2.0927398745306154</c:v>
                </c:pt>
                <c:pt idx="7">
                  <c:v>2.302013861983677</c:v>
                </c:pt>
                <c:pt idx="8">
                  <c:v>2.5112878494367381</c:v>
                </c:pt>
                <c:pt idx="9">
                  <c:v>2.7205618368898001</c:v>
                </c:pt>
                <c:pt idx="10">
                  <c:v>2.9298358243428617</c:v>
                </c:pt>
                <c:pt idx="11">
                  <c:v>3.1391098117959233</c:v>
                </c:pt>
                <c:pt idx="12">
                  <c:v>3.3483837992489844</c:v>
                </c:pt>
                <c:pt idx="13">
                  <c:v>3.557657786702046</c:v>
                </c:pt>
                <c:pt idx="14">
                  <c:v>3.7669317741551076</c:v>
                </c:pt>
                <c:pt idx="15">
                  <c:v>3.9762057616081692</c:v>
                </c:pt>
                <c:pt idx="16">
                  <c:v>4.1854797490612308</c:v>
                </c:pt>
              </c:numCache>
            </c:numRef>
          </c:xVal>
          <c:yVal>
            <c:numRef>
              <c:f>Sheet1!$AD$22:$AD$38</c:f>
              <c:numCache>
                <c:formatCode>General</c:formatCode>
                <c:ptCount val="17"/>
                <c:pt idx="0">
                  <c:v>1.1279604412173825</c:v>
                </c:pt>
                <c:pt idx="1">
                  <c:v>0.94310505069950901</c:v>
                </c:pt>
                <c:pt idx="2">
                  <c:v>0.81039477560952899</c:v>
                </c:pt>
                <c:pt idx="3">
                  <c:v>0.7103917792619896</c:v>
                </c:pt>
                <c:pt idx="4">
                  <c:v>0.63231933323232459</c:v>
                </c:pt>
                <c:pt idx="5">
                  <c:v>0.56967884563000959</c:v>
                </c:pt>
                <c:pt idx="6">
                  <c:v>0.51831032471381333</c:v>
                </c:pt>
                <c:pt idx="7">
                  <c:v>0.4754255270090792</c:v>
                </c:pt>
                <c:pt idx="8">
                  <c:v>0.43908530530020828</c:v>
                </c:pt>
                <c:pt idx="9">
                  <c:v>0.40789926499037382</c:v>
                </c:pt>
                <c:pt idx="10">
                  <c:v>0.3808445353942933</c:v>
                </c:pt>
                <c:pt idx="11">
                  <c:v>0.35715191528152246</c:v>
                </c:pt>
                <c:pt idx="12">
                  <c:v>0.33623186623262591</c:v>
                </c:pt>
                <c:pt idx="13">
                  <c:v>0.31762497907423926</c:v>
                </c:pt>
                <c:pt idx="14">
                  <c:v>0.30096796587706931</c:v>
                </c:pt>
                <c:pt idx="15">
                  <c:v>0.28596978324997119</c:v>
                </c:pt>
                <c:pt idx="16">
                  <c:v>0.27239453318162921</c:v>
                </c:pt>
              </c:numCache>
            </c:numRef>
          </c:yVal>
          <c:smooth val="1"/>
        </c:ser>
        <c:ser>
          <c:idx val="3"/>
          <c:order val="3"/>
          <c:tx>
            <c:v>Tr 0.85 METHANE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Sheet1!$M$19:$M$38</c:f>
              <c:numCache>
                <c:formatCode>General</c:formatCode>
                <c:ptCount val="20"/>
                <c:pt idx="0">
                  <c:v>0.58118027100183356</c:v>
                </c:pt>
                <c:pt idx="1">
                  <c:v>1.1623605420036671</c:v>
                </c:pt>
                <c:pt idx="2">
                  <c:v>1.7435408130055001</c:v>
                </c:pt>
                <c:pt idx="3">
                  <c:v>2.3247210840073342</c:v>
                </c:pt>
                <c:pt idx="4">
                  <c:v>2.9059013550091675</c:v>
                </c:pt>
                <c:pt idx="5">
                  <c:v>3.4870816260110002</c:v>
                </c:pt>
                <c:pt idx="6">
                  <c:v>4.0682618970128344</c:v>
                </c:pt>
                <c:pt idx="7">
                  <c:v>4.6494421680146685</c:v>
                </c:pt>
                <c:pt idx="8">
                  <c:v>5.2306224390165017</c:v>
                </c:pt>
                <c:pt idx="9">
                  <c:v>5.8118027100183349</c:v>
                </c:pt>
                <c:pt idx="10">
                  <c:v>6.3929829810201682</c:v>
                </c:pt>
                <c:pt idx="11">
                  <c:v>6.9741632520220005</c:v>
                </c:pt>
                <c:pt idx="12">
                  <c:v>7.5553435230238355</c:v>
                </c:pt>
                <c:pt idx="13">
                  <c:v>8.1365237940256687</c:v>
                </c:pt>
                <c:pt idx="14">
                  <c:v>8.7177040650275028</c:v>
                </c:pt>
                <c:pt idx="15">
                  <c:v>9.2988843360293369</c:v>
                </c:pt>
                <c:pt idx="16">
                  <c:v>9.8800646070311693</c:v>
                </c:pt>
                <c:pt idx="17">
                  <c:v>10.461244878033003</c:v>
                </c:pt>
                <c:pt idx="18">
                  <c:v>11.042425149034836</c:v>
                </c:pt>
                <c:pt idx="19">
                  <c:v>11.62360542003667</c:v>
                </c:pt>
              </c:numCache>
            </c:numRef>
          </c:xVal>
          <c:yVal>
            <c:numRef>
              <c:f>Sheet1!$N$19:$N$38</c:f>
              <c:numCache>
                <c:formatCode>General</c:formatCode>
                <c:ptCount val="20"/>
                <c:pt idx="0">
                  <c:v>0.53021426991895082</c:v>
                </c:pt>
                <c:pt idx="1">
                  <c:v>0.47241787113382644</c:v>
                </c:pt>
                <c:pt idx="2">
                  <c:v>0.36844096169438062</c:v>
                </c:pt>
                <c:pt idx="3">
                  <c:v>0.29749790763655987</c:v>
                </c:pt>
                <c:pt idx="4">
                  <c:v>0.24844950373655164</c:v>
                </c:pt>
                <c:pt idx="5">
                  <c:v>0.2129500856988229</c:v>
                </c:pt>
                <c:pt idx="6">
                  <c:v>0.18618983324113766</c:v>
                </c:pt>
                <c:pt idx="7">
                  <c:v>0.1653397471138254</c:v>
                </c:pt>
                <c:pt idx="8">
                  <c:v>0.14865538655481847</c:v>
                </c:pt>
                <c:pt idx="9">
                  <c:v>0.13501061909539069</c:v>
                </c:pt>
                <c:pt idx="10">
                  <c:v>0.12364875663826237</c:v>
                </c:pt>
                <c:pt idx="11">
                  <c:v>0.11404364389769694</c:v>
                </c:pt>
                <c:pt idx="12">
                  <c:v>0.10581856717944713</c:v>
                </c:pt>
                <c:pt idx="13">
                  <c:v>9.8696948744889088E-2</c:v>
                </c:pt>
                <c:pt idx="14">
                  <c:v>9.247126721000952E-2</c:v>
                </c:pt>
                <c:pt idx="15">
                  <c:v>8.6982835408666623E-2</c:v>
                </c:pt>
                <c:pt idx="16">
                  <c:v>8.2108270078366394E-2</c:v>
                </c:pt>
                <c:pt idx="17">
                  <c:v>7.7750212619726811E-2</c:v>
                </c:pt>
                <c:pt idx="18">
                  <c:v>7.3830824130666342E-2</c:v>
                </c:pt>
                <c:pt idx="19">
                  <c:v>7.028713503689947E-2</c:v>
                </c:pt>
              </c:numCache>
            </c:numRef>
          </c:yVal>
          <c:smooth val="1"/>
        </c:ser>
        <c:ser>
          <c:idx val="4"/>
          <c:order val="4"/>
          <c:tx>
            <c:v>Tr 1 METHANE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Sheet1!$W$19:$W$38</c:f>
              <c:numCache>
                <c:formatCode>General</c:formatCode>
                <c:ptCount val="20"/>
                <c:pt idx="0">
                  <c:v>0.58118027100183356</c:v>
                </c:pt>
                <c:pt idx="1">
                  <c:v>1.1623605420036671</c:v>
                </c:pt>
                <c:pt idx="2">
                  <c:v>1.7435408130055001</c:v>
                </c:pt>
                <c:pt idx="3">
                  <c:v>2.3247210840073342</c:v>
                </c:pt>
                <c:pt idx="4">
                  <c:v>2.9059013550091675</c:v>
                </c:pt>
                <c:pt idx="5">
                  <c:v>3.4870816260110002</c:v>
                </c:pt>
                <c:pt idx="6">
                  <c:v>4.0682618970128344</c:v>
                </c:pt>
                <c:pt idx="7">
                  <c:v>4.6494421680146685</c:v>
                </c:pt>
                <c:pt idx="8">
                  <c:v>5.2306224390165017</c:v>
                </c:pt>
                <c:pt idx="9">
                  <c:v>5.8118027100183349</c:v>
                </c:pt>
                <c:pt idx="10">
                  <c:v>6.3929829810201682</c:v>
                </c:pt>
                <c:pt idx="11">
                  <c:v>6.9741632520220005</c:v>
                </c:pt>
                <c:pt idx="12">
                  <c:v>7.5553435230238355</c:v>
                </c:pt>
                <c:pt idx="13">
                  <c:v>8.1365237940256687</c:v>
                </c:pt>
                <c:pt idx="14">
                  <c:v>8.7177040650275028</c:v>
                </c:pt>
                <c:pt idx="15">
                  <c:v>9.2988843360293369</c:v>
                </c:pt>
                <c:pt idx="16">
                  <c:v>9.8800646070311693</c:v>
                </c:pt>
                <c:pt idx="17">
                  <c:v>10.461244878033003</c:v>
                </c:pt>
                <c:pt idx="18">
                  <c:v>11.042425149034836</c:v>
                </c:pt>
                <c:pt idx="19">
                  <c:v>11.62360542003667</c:v>
                </c:pt>
              </c:numCache>
            </c:numRef>
          </c:xVal>
          <c:yVal>
            <c:numRef>
              <c:f>Sheet1!$X$19:$X$38</c:f>
              <c:numCache>
                <c:formatCode>General</c:formatCode>
                <c:ptCount val="20"/>
                <c:pt idx="0">
                  <c:v>0.92067933824830628</c:v>
                </c:pt>
                <c:pt idx="1">
                  <c:v>0.63515895442450865</c:v>
                </c:pt>
                <c:pt idx="2">
                  <c:v>0.46957194222782667</c:v>
                </c:pt>
                <c:pt idx="3">
                  <c:v>0.37055381262069176</c:v>
                </c:pt>
                <c:pt idx="4">
                  <c:v>0.30554477248876982</c:v>
                </c:pt>
                <c:pt idx="5">
                  <c:v>0.25977638086312926</c:v>
                </c:pt>
                <c:pt idx="6">
                  <c:v>0.2258640907722346</c:v>
                </c:pt>
                <c:pt idx="7">
                  <c:v>0.1997504301742693</c:v>
                </c:pt>
                <c:pt idx="8">
                  <c:v>0.17903189138419556</c:v>
                </c:pt>
                <c:pt idx="9">
                  <c:v>0.16219749274704368</c:v>
                </c:pt>
                <c:pt idx="10">
                  <c:v>0.14825091467467405</c:v>
                </c:pt>
                <c:pt idx="11">
                  <c:v>0.13650907594963033</c:v>
                </c:pt>
                <c:pt idx="12">
                  <c:v>0.12648823277598106</c:v>
                </c:pt>
                <c:pt idx="13">
                  <c:v>0.11783632111440681</c:v>
                </c:pt>
                <c:pt idx="14">
                  <c:v>0.1102910637821881</c:v>
                </c:pt>
                <c:pt idx="15">
                  <c:v>0.10365309464870415</c:v>
                </c:pt>
                <c:pt idx="16">
                  <c:v>9.7768181072035609E-2</c:v>
                </c:pt>
                <c:pt idx="17">
                  <c:v>9.2515146737933762E-2</c:v>
                </c:pt>
                <c:pt idx="18">
                  <c:v>8.7797472453720757E-2</c:v>
                </c:pt>
                <c:pt idx="19">
                  <c:v>8.353733225770725E-2</c:v>
                </c:pt>
              </c:numCache>
            </c:numRef>
          </c:yVal>
          <c:smooth val="1"/>
        </c:ser>
        <c:ser>
          <c:idx val="5"/>
          <c:order val="5"/>
          <c:tx>
            <c:v>Tr 1.2 METHANE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Sheet1!$AG$19:$AG$38</c:f>
              <c:numCache>
                <c:formatCode>General</c:formatCode>
                <c:ptCount val="20"/>
                <c:pt idx="0">
                  <c:v>0.58118027100183356</c:v>
                </c:pt>
                <c:pt idx="1">
                  <c:v>1.1623605420036671</c:v>
                </c:pt>
                <c:pt idx="2">
                  <c:v>1.7435408130055001</c:v>
                </c:pt>
                <c:pt idx="3">
                  <c:v>2.3247210840073342</c:v>
                </c:pt>
                <c:pt idx="4">
                  <c:v>2.9059013550091675</c:v>
                </c:pt>
                <c:pt idx="5">
                  <c:v>3.4870816260110002</c:v>
                </c:pt>
                <c:pt idx="6">
                  <c:v>4.0682618970128344</c:v>
                </c:pt>
                <c:pt idx="7">
                  <c:v>4.6494421680146685</c:v>
                </c:pt>
                <c:pt idx="8">
                  <c:v>5.2306224390165017</c:v>
                </c:pt>
                <c:pt idx="9">
                  <c:v>5.8118027100183349</c:v>
                </c:pt>
                <c:pt idx="10">
                  <c:v>6.3929829810201682</c:v>
                </c:pt>
                <c:pt idx="11">
                  <c:v>6.9741632520220005</c:v>
                </c:pt>
                <c:pt idx="12">
                  <c:v>7.5553435230238355</c:v>
                </c:pt>
                <c:pt idx="13">
                  <c:v>8.1365237940256687</c:v>
                </c:pt>
                <c:pt idx="14">
                  <c:v>8.7177040650275028</c:v>
                </c:pt>
                <c:pt idx="15">
                  <c:v>9.2988843360293369</c:v>
                </c:pt>
                <c:pt idx="16">
                  <c:v>9.8800646070311693</c:v>
                </c:pt>
                <c:pt idx="17">
                  <c:v>10.461244878033003</c:v>
                </c:pt>
                <c:pt idx="18">
                  <c:v>11.042425149034836</c:v>
                </c:pt>
                <c:pt idx="19">
                  <c:v>11.62360542003667</c:v>
                </c:pt>
              </c:numCache>
            </c:numRef>
          </c:xVal>
          <c:yVal>
            <c:numRef>
              <c:f>Sheet1!$AH$19:$AH$38</c:f>
              <c:numCache>
                <c:formatCode>General</c:formatCode>
                <c:ptCount val="20"/>
                <c:pt idx="0">
                  <c:v>1.4271681699098895</c:v>
                </c:pt>
                <c:pt idx="1">
                  <c:v>0.84836918821037977</c:v>
                </c:pt>
                <c:pt idx="2">
                  <c:v>0.60269445012164935</c:v>
                </c:pt>
                <c:pt idx="3">
                  <c:v>0.46698328191301469</c:v>
                </c:pt>
                <c:pt idx="4">
                  <c:v>0.38104108664151015</c:v>
                </c:pt>
                <c:pt idx="5">
                  <c:v>0.32177132372466916</c:v>
                </c:pt>
                <c:pt idx="6">
                  <c:v>0.27843862550561327</c:v>
                </c:pt>
                <c:pt idx="7">
                  <c:v>0.24538226528324572</c:v>
                </c:pt>
                <c:pt idx="8">
                  <c:v>0.21933669648318349</c:v>
                </c:pt>
                <c:pt idx="9">
                  <c:v>0.19828666383491836</c:v>
                </c:pt>
                <c:pt idx="10">
                  <c:v>0.18092138898956966</c:v>
                </c:pt>
                <c:pt idx="11">
                  <c:v>0.16635160589136877</c:v>
                </c:pt>
                <c:pt idx="12">
                  <c:v>0.15395279403271842</c:v>
                </c:pt>
                <c:pt idx="13">
                  <c:v>0.14327351077141964</c:v>
                </c:pt>
                <c:pt idx="14">
                  <c:v>0.13397933432369716</c:v>
                </c:pt>
                <c:pt idx="15">
                  <c:v>0.12581726324011844</c:v>
                </c:pt>
                <c:pt idx="16">
                  <c:v>0.11859236435096782</c:v>
                </c:pt>
                <c:pt idx="17">
                  <c:v>0.11215202027573776</c:v>
                </c:pt>
                <c:pt idx="18">
                  <c:v>0.10637504008472683</c:v>
                </c:pt>
                <c:pt idx="19">
                  <c:v>0.10116396750572987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31104"/>
        <c:axId val="276611864"/>
      </c:scatterChart>
      <c:valAx>
        <c:axId val="2745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Vr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76611864"/>
        <c:crosses val="autoZero"/>
        <c:crossBetween val="midCat"/>
      </c:valAx>
      <c:valAx>
        <c:axId val="2766118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 sz="1800"/>
                  <a:t>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53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 0.85 BENZENE</c:v>
          </c:tx>
          <c:marker>
            <c:symbol val="none"/>
          </c:marker>
          <c:xVal>
            <c:numRef>
              <c:f>Sheet1!$AN$20:$AN$38</c:f>
              <c:numCache>
                <c:formatCode>General</c:formatCode>
                <c:ptCount val="19"/>
                <c:pt idx="0">
                  <c:v>0.41854797490612305</c:v>
                </c:pt>
                <c:pt idx="1">
                  <c:v>0.62782196235918453</c:v>
                </c:pt>
                <c:pt idx="2">
                  <c:v>0.83709594981224611</c:v>
                </c:pt>
                <c:pt idx="3">
                  <c:v>1.0463699372653077</c:v>
                </c:pt>
                <c:pt idx="4">
                  <c:v>1.2556439247183691</c:v>
                </c:pt>
                <c:pt idx="5">
                  <c:v>1.4649179121714309</c:v>
                </c:pt>
                <c:pt idx="6">
                  <c:v>1.6741918996244922</c:v>
                </c:pt>
                <c:pt idx="7">
                  <c:v>1.8834658870775538</c:v>
                </c:pt>
                <c:pt idx="8">
                  <c:v>2.0927398745306154</c:v>
                </c:pt>
                <c:pt idx="9">
                  <c:v>2.302013861983677</c:v>
                </c:pt>
                <c:pt idx="10">
                  <c:v>2.5112878494367381</c:v>
                </c:pt>
                <c:pt idx="11">
                  <c:v>2.7205618368898001</c:v>
                </c:pt>
                <c:pt idx="12">
                  <c:v>2.9298358243428617</c:v>
                </c:pt>
                <c:pt idx="13">
                  <c:v>3.1391098117959233</c:v>
                </c:pt>
                <c:pt idx="14">
                  <c:v>3.3483837992489844</c:v>
                </c:pt>
                <c:pt idx="15">
                  <c:v>3.557657786702046</c:v>
                </c:pt>
                <c:pt idx="16">
                  <c:v>3.7669317741551076</c:v>
                </c:pt>
                <c:pt idx="17">
                  <c:v>3.9762057616081692</c:v>
                </c:pt>
                <c:pt idx="18">
                  <c:v>4.1854797490612308</c:v>
                </c:pt>
              </c:numCache>
            </c:numRef>
          </c:xVal>
          <c:yVal>
            <c:numRef>
              <c:f>Sheet1!$AO$20:$AO$38</c:f>
              <c:numCache>
                <c:formatCode>General</c:formatCode>
                <c:ptCount val="19"/>
                <c:pt idx="0">
                  <c:v>0.32688354857647545</c:v>
                </c:pt>
                <c:pt idx="1">
                  <c:v>0.50014787726504195</c:v>
                </c:pt>
                <c:pt idx="2">
                  <c:v>0.50392013227634969</c:v>
                </c:pt>
                <c:pt idx="3">
                  <c:v>0.47189942645955391</c:v>
                </c:pt>
                <c:pt idx="4">
                  <c:v>0.43412474899032633</c:v>
                </c:pt>
                <c:pt idx="5">
                  <c:v>0.39833866965373416</c:v>
                </c:pt>
                <c:pt idx="6">
                  <c:v>0.36636918361341042</c:v>
                </c:pt>
                <c:pt idx="7">
                  <c:v>0.33831696509332587</c:v>
                </c:pt>
                <c:pt idx="8">
                  <c:v>0.31379236416374279</c:v>
                </c:pt>
                <c:pt idx="9">
                  <c:v>0.29230875076513402</c:v>
                </c:pt>
                <c:pt idx="10">
                  <c:v>0.27340717948342197</c:v>
                </c:pt>
                <c:pt idx="11">
                  <c:v>0.25669018219518885</c:v>
                </c:pt>
                <c:pt idx="12">
                  <c:v>0.24182455421181534</c:v>
                </c:pt>
                <c:pt idx="13">
                  <c:v>0.22853435174207121</c:v>
                </c:pt>
                <c:pt idx="14">
                  <c:v>0.21659173468348489</c:v>
                </c:pt>
                <c:pt idx="15">
                  <c:v>0.20580829414225937</c:v>
                </c:pt>
                <c:pt idx="16">
                  <c:v>0.19602763371456969</c:v>
                </c:pt>
                <c:pt idx="17">
                  <c:v>0.18711928647895187</c:v>
                </c:pt>
                <c:pt idx="18">
                  <c:v>0.17897381975781673</c:v>
                </c:pt>
              </c:numCache>
            </c:numRef>
          </c:yVal>
          <c:smooth val="1"/>
        </c:ser>
        <c:ser>
          <c:idx val="1"/>
          <c:order val="1"/>
          <c:tx>
            <c:v>Tr 1 BENZENE</c:v>
          </c:tx>
          <c:marker>
            <c:symbol val="none"/>
          </c:marker>
          <c:xVal>
            <c:numRef>
              <c:f>Sheet1!$AX$20:$AX$38</c:f>
              <c:numCache>
                <c:formatCode>General</c:formatCode>
                <c:ptCount val="19"/>
                <c:pt idx="0">
                  <c:v>0.41854797490612305</c:v>
                </c:pt>
                <c:pt idx="1">
                  <c:v>0.62782196235918453</c:v>
                </c:pt>
                <c:pt idx="2">
                  <c:v>0.83709594981224611</c:v>
                </c:pt>
                <c:pt idx="3">
                  <c:v>1.0463699372653077</c:v>
                </c:pt>
                <c:pt idx="4">
                  <c:v>1.2556439247183691</c:v>
                </c:pt>
                <c:pt idx="5">
                  <c:v>1.4649179121714309</c:v>
                </c:pt>
                <c:pt idx="6">
                  <c:v>1.6741918996244922</c:v>
                </c:pt>
                <c:pt idx="7">
                  <c:v>1.8834658870775538</c:v>
                </c:pt>
                <c:pt idx="8">
                  <c:v>2.0927398745306154</c:v>
                </c:pt>
                <c:pt idx="9">
                  <c:v>2.302013861983677</c:v>
                </c:pt>
                <c:pt idx="10">
                  <c:v>2.5112878494367381</c:v>
                </c:pt>
                <c:pt idx="11">
                  <c:v>2.7205618368898001</c:v>
                </c:pt>
                <c:pt idx="12">
                  <c:v>2.9298358243428617</c:v>
                </c:pt>
                <c:pt idx="13">
                  <c:v>3.1391098117959233</c:v>
                </c:pt>
                <c:pt idx="14">
                  <c:v>3.3483837992489844</c:v>
                </c:pt>
                <c:pt idx="15">
                  <c:v>3.557657786702046</c:v>
                </c:pt>
                <c:pt idx="16">
                  <c:v>3.7669317741551076</c:v>
                </c:pt>
                <c:pt idx="17">
                  <c:v>3.9762057616081692</c:v>
                </c:pt>
                <c:pt idx="18">
                  <c:v>4.1854797490612308</c:v>
                </c:pt>
              </c:numCache>
            </c:numRef>
          </c:xVal>
          <c:yVal>
            <c:numRef>
              <c:f>Sheet1!$AY$20:$AY$38</c:f>
              <c:numCache>
                <c:formatCode>General</c:formatCode>
                <c:ptCount val="19"/>
                <c:pt idx="0">
                  <c:v>0.98279971623838536</c:v>
                </c:pt>
                <c:pt idx="1">
                  <c:v>0.87688094431643115</c:v>
                </c:pt>
                <c:pt idx="2">
                  <c:v>0.7627265100909314</c:v>
                </c:pt>
                <c:pt idx="3">
                  <c:v>0.6671383366762027</c:v>
                </c:pt>
                <c:pt idx="4">
                  <c:v>0.59008985534719871</c:v>
                </c:pt>
                <c:pt idx="5">
                  <c:v>0.52781679155196282</c:v>
                </c:pt>
                <c:pt idx="6">
                  <c:v>0.47685866341126248</c:v>
                </c:pt>
                <c:pt idx="7">
                  <c:v>0.43456693178726247</c:v>
                </c:pt>
                <c:pt idx="8">
                  <c:v>0.39898951045117431</c:v>
                </c:pt>
                <c:pt idx="9">
                  <c:v>0.36868960911649823</c:v>
                </c:pt>
                <c:pt idx="10">
                  <c:v>0.34259887104617009</c:v>
                </c:pt>
                <c:pt idx="11">
                  <c:v>0.3199117966561642</c:v>
                </c:pt>
                <c:pt idx="12">
                  <c:v>0.30001212457163773</c:v>
                </c:pt>
                <c:pt idx="13">
                  <c:v>0.2824216231135438</c:v>
                </c:pt>
                <c:pt idx="14">
                  <c:v>0.26676418064034729</c:v>
                </c:pt>
                <c:pt idx="15">
                  <c:v>0.25274031433288441</c:v>
                </c:pt>
                <c:pt idx="16">
                  <c:v>0.24010882619211721</c:v>
                </c:pt>
                <c:pt idx="17">
                  <c:v>0.22867341855745835</c:v>
                </c:pt>
                <c:pt idx="18">
                  <c:v>0.21827279616671949</c:v>
                </c:pt>
              </c:numCache>
            </c:numRef>
          </c:yVal>
          <c:smooth val="1"/>
        </c:ser>
        <c:ser>
          <c:idx val="2"/>
          <c:order val="2"/>
          <c:tx>
            <c:v>Tr 1.2 BENZENE</c:v>
          </c:tx>
          <c:marker>
            <c:symbol val="none"/>
          </c:marker>
          <c:xVal>
            <c:numRef>
              <c:f>Sheet1!$BH$21:$BH$38</c:f>
              <c:numCache>
                <c:formatCode>General</c:formatCode>
                <c:ptCount val="18"/>
                <c:pt idx="0">
                  <c:v>0.62782196235918453</c:v>
                </c:pt>
                <c:pt idx="1">
                  <c:v>0.83709594981224611</c:v>
                </c:pt>
                <c:pt idx="2">
                  <c:v>1.0463699372653077</c:v>
                </c:pt>
                <c:pt idx="3">
                  <c:v>1.2556439247183691</c:v>
                </c:pt>
                <c:pt idx="4">
                  <c:v>1.4649179121714309</c:v>
                </c:pt>
                <c:pt idx="5">
                  <c:v>1.6741918996244922</c:v>
                </c:pt>
                <c:pt idx="6">
                  <c:v>1.8834658870775538</c:v>
                </c:pt>
                <c:pt idx="7">
                  <c:v>2.0927398745306154</c:v>
                </c:pt>
                <c:pt idx="8">
                  <c:v>2.302013861983677</c:v>
                </c:pt>
                <c:pt idx="9">
                  <c:v>2.5112878494367381</c:v>
                </c:pt>
                <c:pt idx="10">
                  <c:v>2.7205618368898001</c:v>
                </c:pt>
                <c:pt idx="11">
                  <c:v>2.9298358243428617</c:v>
                </c:pt>
                <c:pt idx="12">
                  <c:v>3.1391098117959233</c:v>
                </c:pt>
                <c:pt idx="13">
                  <c:v>3.3483837992489844</c:v>
                </c:pt>
                <c:pt idx="14">
                  <c:v>3.557657786702046</c:v>
                </c:pt>
                <c:pt idx="15">
                  <c:v>3.7669317741551076</c:v>
                </c:pt>
                <c:pt idx="16">
                  <c:v>3.9762057616081692</c:v>
                </c:pt>
                <c:pt idx="17">
                  <c:v>4.1854797490612308</c:v>
                </c:pt>
              </c:numCache>
            </c:numRef>
          </c:xVal>
          <c:yVal>
            <c:numRef>
              <c:f>Sheet1!$BI$21:$BI$38</c:f>
              <c:numCache>
                <c:formatCode>General</c:formatCode>
                <c:ptCount val="18"/>
                <c:pt idx="0">
                  <c:v>1.3603000658091462</c:v>
                </c:pt>
                <c:pt idx="1">
                  <c:v>1.0966765065960449</c:v>
                </c:pt>
                <c:pt idx="2">
                  <c:v>0.92012460259066642</c:v>
                </c:pt>
                <c:pt idx="3">
                  <c:v>0.79284648424347892</c:v>
                </c:pt>
                <c:pt idx="4">
                  <c:v>0.69657846569760473</c:v>
                </c:pt>
                <c:pt idx="5">
                  <c:v>0.62117622365438863</c:v>
                </c:pt>
                <c:pt idx="6">
                  <c:v>0.56050680703904976</c:v>
                </c:pt>
                <c:pt idx="7">
                  <c:v>0.51063270002558914</c:v>
                </c:pt>
                <c:pt idx="8">
                  <c:v>0.46890683288074686</c:v>
                </c:pt>
                <c:pt idx="9">
                  <c:v>0.43348290603728051</c:v>
                </c:pt>
                <c:pt idx="10">
                  <c:v>0.40303350594167625</c:v>
                </c:pt>
                <c:pt idx="11">
                  <c:v>0.376579648528373</c:v>
                </c:pt>
                <c:pt idx="12">
                  <c:v>0.35338344346975986</c:v>
                </c:pt>
                <c:pt idx="13">
                  <c:v>0.33287816073982718</c:v>
                </c:pt>
                <c:pt idx="14">
                  <c:v>0.31462131562964152</c:v>
                </c:pt>
                <c:pt idx="15">
                  <c:v>0.29826238744611089</c:v>
                </c:pt>
                <c:pt idx="16">
                  <c:v>0.28352010759530744</c:v>
                </c:pt>
                <c:pt idx="17">
                  <c:v>0.27016616242064062</c:v>
                </c:pt>
              </c:numCache>
            </c:numRef>
          </c:yVal>
          <c:smooth val="1"/>
        </c:ser>
        <c:ser>
          <c:idx val="3"/>
          <c:order val="3"/>
          <c:tx>
            <c:v>Tr 0.85 METHANE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Sheet1!$AR$19:$AR$38</c:f>
              <c:numCache>
                <c:formatCode>General</c:formatCode>
                <c:ptCount val="20"/>
                <c:pt idx="0">
                  <c:v>0.58118027100183356</c:v>
                </c:pt>
                <c:pt idx="1">
                  <c:v>1.1623605420036671</c:v>
                </c:pt>
                <c:pt idx="2">
                  <c:v>1.7435408130055001</c:v>
                </c:pt>
                <c:pt idx="3">
                  <c:v>2.3247210840073342</c:v>
                </c:pt>
                <c:pt idx="4">
                  <c:v>2.9059013550091675</c:v>
                </c:pt>
                <c:pt idx="5">
                  <c:v>3.4870816260110002</c:v>
                </c:pt>
                <c:pt idx="6">
                  <c:v>4.0682618970128344</c:v>
                </c:pt>
                <c:pt idx="7">
                  <c:v>4.6494421680146685</c:v>
                </c:pt>
                <c:pt idx="8">
                  <c:v>5.2306224390165017</c:v>
                </c:pt>
                <c:pt idx="9">
                  <c:v>5.8118027100183349</c:v>
                </c:pt>
                <c:pt idx="10">
                  <c:v>6.3929829810201682</c:v>
                </c:pt>
                <c:pt idx="11">
                  <c:v>6.9741632520220005</c:v>
                </c:pt>
                <c:pt idx="12">
                  <c:v>7.5553435230238355</c:v>
                </c:pt>
                <c:pt idx="13">
                  <c:v>8.1365237940256687</c:v>
                </c:pt>
                <c:pt idx="14">
                  <c:v>8.7177040650275028</c:v>
                </c:pt>
                <c:pt idx="15">
                  <c:v>9.2988843360293369</c:v>
                </c:pt>
                <c:pt idx="16">
                  <c:v>9.8800646070311693</c:v>
                </c:pt>
                <c:pt idx="17">
                  <c:v>10.461244878033003</c:v>
                </c:pt>
                <c:pt idx="18">
                  <c:v>11.042425149034836</c:v>
                </c:pt>
                <c:pt idx="19">
                  <c:v>11.62360542003667</c:v>
                </c:pt>
              </c:numCache>
            </c:numRef>
          </c:xVal>
          <c:yVal>
            <c:numRef>
              <c:f>Sheet1!$AS$19:$AS$38</c:f>
              <c:numCache>
                <c:formatCode>General</c:formatCode>
                <c:ptCount val="20"/>
                <c:pt idx="0">
                  <c:v>0.53823545654935256</c:v>
                </c:pt>
                <c:pt idx="1">
                  <c:v>0.46547721102463852</c:v>
                </c:pt>
                <c:pt idx="2">
                  <c:v>0.36335798818325127</c:v>
                </c:pt>
                <c:pt idx="3">
                  <c:v>0.29398747126625185</c:v>
                </c:pt>
                <c:pt idx="4">
                  <c:v>0.24593254994772223</c:v>
                </c:pt>
                <c:pt idx="5">
                  <c:v>0.21107089072099749</c:v>
                </c:pt>
                <c:pt idx="6">
                  <c:v>0.18473798177280318</c:v>
                </c:pt>
                <c:pt idx="7">
                  <c:v>0.16418628582720965</c:v>
                </c:pt>
                <c:pt idx="8">
                  <c:v>0.14771779425167833</c:v>
                </c:pt>
                <c:pt idx="9">
                  <c:v>0.13423393615965601</c:v>
                </c:pt>
                <c:pt idx="10">
                  <c:v>0.12299508133313682</c:v>
                </c:pt>
                <c:pt idx="11">
                  <c:v>0.11348604109844458</c:v>
                </c:pt>
                <c:pt idx="12">
                  <c:v>0.10533739301868841</c:v>
                </c:pt>
                <c:pt idx="13">
                  <c:v>9.8277551644683783E-2</c:v>
                </c:pt>
                <c:pt idx="14">
                  <c:v>9.21025029812471E-2</c:v>
                </c:pt>
                <c:pt idx="15">
                  <c:v>8.6656080495146989E-2</c:v>
                </c:pt>
                <c:pt idx="16">
                  <c:v>8.1816749079928974E-2</c:v>
                </c:pt>
                <c:pt idx="17">
                  <c:v>7.7488529590042543E-2</c:v>
                </c:pt>
                <c:pt idx="18">
                  <c:v>7.3594629277695861E-2</c:v>
                </c:pt>
                <c:pt idx="19">
                  <c:v>7.0072883398199601E-2</c:v>
                </c:pt>
              </c:numCache>
            </c:numRef>
          </c:yVal>
          <c:smooth val="1"/>
        </c:ser>
        <c:ser>
          <c:idx val="4"/>
          <c:order val="4"/>
          <c:tx>
            <c:v>Tr 1 METHANE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Sheet1!$BB$19:$BB$38</c:f>
              <c:numCache>
                <c:formatCode>General</c:formatCode>
                <c:ptCount val="20"/>
                <c:pt idx="0">
                  <c:v>0.58118027100183356</c:v>
                </c:pt>
                <c:pt idx="1">
                  <c:v>1.1623605420036671</c:v>
                </c:pt>
                <c:pt idx="2">
                  <c:v>1.7435408130055001</c:v>
                </c:pt>
                <c:pt idx="3">
                  <c:v>2.3247210840073342</c:v>
                </c:pt>
                <c:pt idx="4">
                  <c:v>2.9059013550091675</c:v>
                </c:pt>
                <c:pt idx="5">
                  <c:v>3.4870816260110002</c:v>
                </c:pt>
                <c:pt idx="6">
                  <c:v>4.0682618970128344</c:v>
                </c:pt>
                <c:pt idx="7">
                  <c:v>4.6494421680146685</c:v>
                </c:pt>
                <c:pt idx="8">
                  <c:v>5.2306224390165017</c:v>
                </c:pt>
                <c:pt idx="9">
                  <c:v>5.8118027100183349</c:v>
                </c:pt>
                <c:pt idx="10">
                  <c:v>6.3929829810201682</c:v>
                </c:pt>
                <c:pt idx="11">
                  <c:v>6.9741632520220005</c:v>
                </c:pt>
                <c:pt idx="12">
                  <c:v>7.5553435230238355</c:v>
                </c:pt>
                <c:pt idx="13">
                  <c:v>8.1365237940256687</c:v>
                </c:pt>
                <c:pt idx="14">
                  <c:v>8.7177040650275028</c:v>
                </c:pt>
                <c:pt idx="15">
                  <c:v>9.2988843360293369</c:v>
                </c:pt>
                <c:pt idx="16">
                  <c:v>9.8800646070311693</c:v>
                </c:pt>
                <c:pt idx="17">
                  <c:v>10.461244878033003</c:v>
                </c:pt>
                <c:pt idx="18">
                  <c:v>11.042425149034836</c:v>
                </c:pt>
                <c:pt idx="19">
                  <c:v>11.62360542003667</c:v>
                </c:pt>
              </c:numCache>
            </c:numRef>
          </c:xVal>
          <c:yVal>
            <c:numRef>
              <c:f>Sheet1!$BC$19:$BC$38</c:f>
              <c:numCache>
                <c:formatCode>General</c:formatCode>
                <c:ptCount val="20"/>
                <c:pt idx="0">
                  <c:v>0.90134485786666851</c:v>
                </c:pt>
                <c:pt idx="1">
                  <c:v>0.6214079529699631</c:v>
                </c:pt>
                <c:pt idx="2">
                  <c:v>0.46136184280499937</c:v>
                </c:pt>
                <c:pt idx="3">
                  <c:v>0.3652038759557153</c:v>
                </c:pt>
                <c:pt idx="4">
                  <c:v>0.3017916847065385</c:v>
                </c:pt>
                <c:pt idx="5">
                  <c:v>0.25699507902716623</c:v>
                </c:pt>
                <c:pt idx="6">
                  <c:v>0.22371611902466088</c:v>
                </c:pt>
                <c:pt idx="7">
                  <c:v>0.19803784173194269</c:v>
                </c:pt>
                <c:pt idx="8">
                  <c:v>0.17763150813057249</c:v>
                </c:pt>
                <c:pt idx="9">
                  <c:v>0.16102873113488814</c:v>
                </c:pt>
                <c:pt idx="10">
                  <c:v>0.14725885580340914</c:v>
                </c:pt>
                <c:pt idx="11">
                  <c:v>0.13565499958215602</c:v>
                </c:pt>
                <c:pt idx="12">
                  <c:v>0.12574404832825886</c:v>
                </c:pt>
                <c:pt idx="13">
                  <c:v>0.11718114724546122</c:v>
                </c:pt>
                <c:pt idx="14">
                  <c:v>0.10970904897503075</c:v>
                </c:pt>
                <c:pt idx="15">
                  <c:v>0.10313198378674308</c:v>
                </c:pt>
                <c:pt idx="16">
                  <c:v>9.7298346269787991E-2</c:v>
                </c:pt>
                <c:pt idx="17">
                  <c:v>9.208891598275433E-2</c:v>
                </c:pt>
                <c:pt idx="18">
                  <c:v>8.7408654461514898E-2</c:v>
                </c:pt>
                <c:pt idx="19">
                  <c:v>8.3180873708108741E-2</c:v>
                </c:pt>
              </c:numCache>
            </c:numRef>
          </c:yVal>
          <c:smooth val="1"/>
        </c:ser>
        <c:ser>
          <c:idx val="5"/>
          <c:order val="5"/>
          <c:tx>
            <c:v>Tr 1.2 METHANE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Sheet1!$BL$19:$BL$38</c:f>
              <c:numCache>
                <c:formatCode>General</c:formatCode>
                <c:ptCount val="20"/>
                <c:pt idx="0">
                  <c:v>0.58118027100183356</c:v>
                </c:pt>
                <c:pt idx="1">
                  <c:v>1.1623605420036671</c:v>
                </c:pt>
                <c:pt idx="2">
                  <c:v>1.7435408130055001</c:v>
                </c:pt>
                <c:pt idx="3">
                  <c:v>2.3247210840073342</c:v>
                </c:pt>
                <c:pt idx="4">
                  <c:v>2.9059013550091675</c:v>
                </c:pt>
                <c:pt idx="5">
                  <c:v>3.4870816260110002</c:v>
                </c:pt>
                <c:pt idx="6">
                  <c:v>4.0682618970128344</c:v>
                </c:pt>
                <c:pt idx="7">
                  <c:v>4.6494421680146685</c:v>
                </c:pt>
                <c:pt idx="8">
                  <c:v>5.2306224390165017</c:v>
                </c:pt>
                <c:pt idx="9">
                  <c:v>5.8118027100183349</c:v>
                </c:pt>
                <c:pt idx="10">
                  <c:v>6.3929829810201682</c:v>
                </c:pt>
                <c:pt idx="11">
                  <c:v>6.9741632520220005</c:v>
                </c:pt>
                <c:pt idx="12">
                  <c:v>7.5553435230238355</c:v>
                </c:pt>
                <c:pt idx="13">
                  <c:v>8.1365237940256687</c:v>
                </c:pt>
                <c:pt idx="14">
                  <c:v>8.7177040650275028</c:v>
                </c:pt>
                <c:pt idx="15">
                  <c:v>9.2988843360293369</c:v>
                </c:pt>
                <c:pt idx="16">
                  <c:v>9.8800646070311693</c:v>
                </c:pt>
                <c:pt idx="17">
                  <c:v>10.461244878033003</c:v>
                </c:pt>
                <c:pt idx="18">
                  <c:v>11.042425149034836</c:v>
                </c:pt>
                <c:pt idx="19">
                  <c:v>11.62360542003667</c:v>
                </c:pt>
              </c:numCache>
            </c:numRef>
          </c:xVal>
          <c:yVal>
            <c:numRef>
              <c:f>Sheet1!$BM$19:$BM$37</c:f>
              <c:numCache>
                <c:formatCode>General</c:formatCode>
                <c:ptCount val="19"/>
                <c:pt idx="0">
                  <c:v>1.3801899442444023</c:v>
                </c:pt>
                <c:pt idx="1">
                  <c:v>0.82876194893872879</c:v>
                </c:pt>
                <c:pt idx="2">
                  <c:v>0.59220613564921964</c:v>
                </c:pt>
                <c:pt idx="3">
                  <c:v>0.46050456083361435</c:v>
                </c:pt>
                <c:pt idx="4">
                  <c:v>0.37665428434868631</c:v>
                </c:pt>
                <c:pt idx="5">
                  <c:v>0.31860810184909233</c:v>
                </c:pt>
                <c:pt idx="6">
                  <c:v>0.27605125318230983</c:v>
                </c:pt>
                <c:pt idx="7">
                  <c:v>0.24351715801123353</c:v>
                </c:pt>
                <c:pt idx="8">
                  <c:v>0.21783970160526081</c:v>
                </c:pt>
                <c:pt idx="9">
                  <c:v>0.19705876131391323</c:v>
                </c:pt>
                <c:pt idx="10">
                  <c:v>0.17989610207506876</c:v>
                </c:pt>
                <c:pt idx="11">
                  <c:v>0.1654826630369329</c:v>
                </c:pt>
                <c:pt idx="12">
                  <c:v>0.15320700239224358</c:v>
                </c:pt>
                <c:pt idx="13">
                  <c:v>0.14262644442168571</c:v>
                </c:pt>
                <c:pt idx="14">
                  <c:v>0.13341262139829829</c:v>
                </c:pt>
                <c:pt idx="15">
                  <c:v>0.12531682101142863</c:v>
                </c:pt>
                <c:pt idx="16">
                  <c:v>0.1181472173327202</c:v>
                </c:pt>
                <c:pt idx="17">
                  <c:v>0.11175348850770218</c:v>
                </c:pt>
                <c:pt idx="18">
                  <c:v>0.10601616911141838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13040"/>
        <c:axId val="276613432"/>
      </c:scatterChart>
      <c:valAx>
        <c:axId val="2766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Vr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613432"/>
        <c:crosses val="autoZero"/>
        <c:crossBetween val="midCat"/>
      </c:valAx>
      <c:valAx>
        <c:axId val="27661343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 sz="1600"/>
                  <a:t>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61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302559</xdr:colOff>
      <xdr:row>40</xdr:row>
      <xdr:rowOff>0</xdr:rowOff>
    </xdr:from>
    <xdr:to>
      <xdr:col>23</xdr:col>
      <xdr:colOff>235565</xdr:colOff>
      <xdr:row>58</xdr:row>
      <xdr:rowOff>153629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254854</xdr:colOff>
      <xdr:row>40</xdr:row>
      <xdr:rowOff>54430</xdr:rowOff>
    </xdr:from>
    <xdr:to>
      <xdr:col>53</xdr:col>
      <xdr:colOff>286774</xdr:colOff>
      <xdr:row>61</xdr:row>
      <xdr:rowOff>153630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4"/>
  <sheetViews>
    <sheetView tabSelected="1" topLeftCell="AV15" zoomScale="93" zoomScaleNormal="93" workbookViewId="0">
      <selection activeCell="BE25" sqref="BE25"/>
    </sheetView>
  </sheetViews>
  <sheetFormatPr defaultRowHeight="15" x14ac:dyDescent="0.25"/>
  <cols>
    <col min="2" max="2" width="10.140625" customWidth="1"/>
    <col min="3" max="3" width="13.28515625" bestFit="1" customWidth="1"/>
    <col min="4" max="4" width="14.5703125" customWidth="1"/>
    <col min="5" max="5" width="13.140625" customWidth="1"/>
    <col min="7" max="7" width="10.140625" bestFit="1" customWidth="1"/>
    <col min="8" max="8" width="12.140625" bestFit="1" customWidth="1"/>
    <col min="9" max="10" width="9.28515625" bestFit="1" customWidth="1"/>
    <col min="11" max="11" width="10" bestFit="1" customWidth="1"/>
    <col min="12" max="14" width="9.28515625" bestFit="1" customWidth="1"/>
    <col min="17" max="20" width="9.28515625" bestFit="1" customWidth="1"/>
    <col min="22" max="24" width="9.28515625" bestFit="1" customWidth="1"/>
    <col min="27" max="27" width="9.28515625" bestFit="1" customWidth="1"/>
    <col min="28" max="28" width="12.42578125" bestFit="1" customWidth="1"/>
    <col min="29" max="30" width="9.28515625" bestFit="1" customWidth="1"/>
    <col min="32" max="34" width="9.28515625" bestFit="1" customWidth="1"/>
    <col min="38" max="38" width="9.28515625" bestFit="1" customWidth="1"/>
    <col min="39" max="39" width="10.140625" bestFit="1" customWidth="1"/>
    <col min="40" max="41" width="9.28515625" bestFit="1" customWidth="1"/>
    <col min="43" max="43" width="10.42578125" bestFit="1" customWidth="1"/>
    <col min="44" max="45" width="9.28515625" bestFit="1" customWidth="1"/>
    <col min="48" max="48" width="9.28515625" bestFit="1" customWidth="1"/>
    <col min="49" max="49" width="10.140625" bestFit="1" customWidth="1"/>
    <col min="50" max="51" width="9.28515625" bestFit="1" customWidth="1"/>
    <col min="53" max="53" width="10.42578125" bestFit="1" customWidth="1"/>
    <col min="54" max="55" width="9.28515625" bestFit="1" customWidth="1"/>
    <col min="58" max="58" width="9.28515625" bestFit="1" customWidth="1"/>
    <col min="59" max="59" width="12.42578125" bestFit="1" customWidth="1"/>
    <col min="60" max="61" width="9.28515625" bestFit="1" customWidth="1"/>
    <col min="63" max="63" width="10.42578125" bestFit="1" customWidth="1"/>
    <col min="64" max="65" width="9.28515625" bestFit="1" customWidth="1"/>
  </cols>
  <sheetData>
    <row r="1" spans="2:65" x14ac:dyDescent="0.25">
      <c r="B1" s="1"/>
    </row>
    <row r="3" spans="2:65" ht="15.75" thickBot="1" x14ac:dyDescent="0.3">
      <c r="B3" s="4"/>
      <c r="C3" s="5"/>
      <c r="D3" s="5"/>
      <c r="E3" s="5"/>
      <c r="F3" s="3"/>
    </row>
    <row r="4" spans="2:65" x14ac:dyDescent="0.25">
      <c r="B4" s="65"/>
      <c r="C4" s="66" t="s">
        <v>22</v>
      </c>
      <c r="D4" s="67" t="s">
        <v>23</v>
      </c>
      <c r="E4" s="10"/>
      <c r="F4" s="47" t="s">
        <v>8</v>
      </c>
      <c r="G4" s="48"/>
      <c r="H4" s="49"/>
      <c r="J4" s="56" t="s">
        <v>10</v>
      </c>
      <c r="K4" s="57"/>
      <c r="L4" s="58"/>
    </row>
    <row r="5" spans="2:65" x14ac:dyDescent="0.25">
      <c r="B5" s="68" t="s">
        <v>0</v>
      </c>
      <c r="C5" s="69">
        <v>0</v>
      </c>
      <c r="D5" s="70">
        <f>1-POWER(2,0.5)</f>
        <v>-0.41421356237309515</v>
      </c>
      <c r="E5" s="10"/>
      <c r="F5" s="50" t="s">
        <v>5</v>
      </c>
      <c r="G5" s="51">
        <v>562.1</v>
      </c>
      <c r="H5" s="52" t="s">
        <v>9</v>
      </c>
      <c r="J5" s="59" t="s">
        <v>5</v>
      </c>
      <c r="K5" s="60">
        <v>190.4</v>
      </c>
      <c r="L5" s="61" t="s">
        <v>9</v>
      </c>
    </row>
    <row r="6" spans="2:65" ht="17.25" x14ac:dyDescent="0.25">
      <c r="B6" s="68" t="s">
        <v>1</v>
      </c>
      <c r="C6" s="69">
        <v>1</v>
      </c>
      <c r="D6" s="70">
        <f>1+POWER(2,0.5)</f>
        <v>2.4142135623730949</v>
      </c>
      <c r="E6" s="10"/>
      <c r="F6" s="50" t="s">
        <v>6</v>
      </c>
      <c r="G6" s="51">
        <f>48.9*100000</f>
        <v>4890000</v>
      </c>
      <c r="H6" s="52" t="s">
        <v>25</v>
      </c>
      <c r="J6" s="59" t="s">
        <v>6</v>
      </c>
      <c r="K6" s="60">
        <f>46*100000</f>
        <v>4600000</v>
      </c>
      <c r="L6" s="61" t="s">
        <v>27</v>
      </c>
    </row>
    <row r="7" spans="2:65" ht="17.25" x14ac:dyDescent="0.25">
      <c r="B7" s="68" t="s">
        <v>2</v>
      </c>
      <c r="C7" s="69">
        <v>0.42748000000000003</v>
      </c>
      <c r="D7" s="70">
        <v>0.457235</v>
      </c>
      <c r="E7" s="10"/>
      <c r="F7" s="50" t="s">
        <v>7</v>
      </c>
      <c r="G7" s="51">
        <f>259*0.000001</f>
        <v>2.5900000000000001E-4</v>
      </c>
      <c r="H7" s="52" t="s">
        <v>26</v>
      </c>
      <c r="J7" s="59" t="s">
        <v>7</v>
      </c>
      <c r="K7" s="60">
        <f>99.2*0.000001</f>
        <v>9.9199999999999999E-5</v>
      </c>
      <c r="L7" s="61" t="s">
        <v>28</v>
      </c>
    </row>
    <row r="8" spans="2:65" ht="15.75" thickBot="1" x14ac:dyDescent="0.3">
      <c r="B8" s="68" t="s">
        <v>3</v>
      </c>
      <c r="C8" s="69">
        <v>8.6639999999999995E-2</v>
      </c>
      <c r="D8" s="70">
        <v>7.7796000000000004E-2</v>
      </c>
      <c r="E8" s="10"/>
      <c r="F8" s="53" t="s">
        <v>4</v>
      </c>
      <c r="G8" s="54">
        <v>0.21199999999999999</v>
      </c>
      <c r="H8" s="55"/>
      <c r="J8" s="62" t="s">
        <v>4</v>
      </c>
      <c r="K8" s="63">
        <v>1.0999999999999999E-2</v>
      </c>
      <c r="L8" s="64"/>
    </row>
    <row r="9" spans="2:65" x14ac:dyDescent="0.25">
      <c r="B9" s="68" t="s">
        <v>11</v>
      </c>
      <c r="C9" s="69">
        <f>0.48+1.574*$G$8-0.176*($G$8^2)</f>
        <v>0.80577785599999996</v>
      </c>
      <c r="D9" s="70">
        <f>0.37464+1.54226*$G$8-0.26992*($G$8^2)</f>
        <v>0.68946783552000002</v>
      </c>
      <c r="E9" s="10"/>
    </row>
    <row r="10" spans="2:65" x14ac:dyDescent="0.25">
      <c r="B10" s="71" t="s">
        <v>12</v>
      </c>
      <c r="C10" s="72">
        <f>0.48+1.574*$K$8-0.176*($K$8^2)</f>
        <v>0.49729270399999997</v>
      </c>
      <c r="D10" s="73">
        <f>0.37464+1.54226*$K$8-0.26992*($K$8^2)</f>
        <v>0.39157219967999995</v>
      </c>
      <c r="E10" s="10"/>
    </row>
    <row r="11" spans="2:65" ht="15.75" thickBot="1" x14ac:dyDescent="0.3">
      <c r="B11" s="10"/>
      <c r="C11" s="10"/>
      <c r="D11" s="10"/>
      <c r="E11" s="10"/>
    </row>
    <row r="12" spans="2:65" x14ac:dyDescent="0.25">
      <c r="B12" s="38" t="s">
        <v>13</v>
      </c>
      <c r="C12" s="39">
        <f>C7*(8.314^2)*($G$5^2)/$G$6</f>
        <v>1.9092119874287556</v>
      </c>
      <c r="D12" s="40">
        <f>D7*(8.314^2)*($G$5^2)/$G$6</f>
        <v>2.0421038249087373</v>
      </c>
      <c r="E12" s="10"/>
      <c r="G12" s="37" t="s">
        <v>41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L12" s="24" t="s">
        <v>42</v>
      </c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</row>
    <row r="13" spans="2:65" x14ac:dyDescent="0.25">
      <c r="B13" s="41" t="s">
        <v>14</v>
      </c>
      <c r="C13" s="42">
        <f>C8*8.314*$G$5/$G$6</f>
        <v>8.2800543970552163E-5</v>
      </c>
      <c r="D13" s="43">
        <f>D8*8.314*$G$5/$G$6</f>
        <v>7.4348466282699396E-5</v>
      </c>
      <c r="E13" s="10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</row>
    <row r="14" spans="2:65" x14ac:dyDescent="0.25">
      <c r="B14" s="41"/>
      <c r="C14" s="42"/>
      <c r="D14" s="43"/>
      <c r="E14" s="10"/>
      <c r="F14" s="1"/>
    </row>
    <row r="15" spans="2:65" x14ac:dyDescent="0.25">
      <c r="B15" s="41" t="s">
        <v>15</v>
      </c>
      <c r="C15" s="42">
        <f>C7*(8.314^2)*($K$5^2)/$K$6</f>
        <v>0.23286911757053272</v>
      </c>
      <c r="D15" s="43">
        <f>D7*(8.314^2)*($K$5^2)/$K$6</f>
        <v>0.24907811119201487</v>
      </c>
      <c r="E15" s="10"/>
      <c r="G15" s="11"/>
      <c r="H15" s="11"/>
      <c r="I15" s="11"/>
      <c r="J15" s="25" t="s">
        <v>29</v>
      </c>
      <c r="K15" s="25"/>
      <c r="L15" s="11"/>
      <c r="M15" s="11"/>
      <c r="N15" s="11"/>
      <c r="Q15" s="11"/>
      <c r="R15" s="11"/>
      <c r="S15" s="11"/>
      <c r="T15" s="25" t="s">
        <v>30</v>
      </c>
      <c r="U15" s="25"/>
      <c r="V15" s="11"/>
      <c r="W15" s="11"/>
      <c r="X15" s="11"/>
      <c r="Y15" s="11"/>
      <c r="Z15" s="11"/>
      <c r="AA15" s="25" t="s">
        <v>21</v>
      </c>
      <c r="AB15" s="25"/>
      <c r="AC15" s="25"/>
      <c r="AD15" s="25"/>
      <c r="AE15" s="25"/>
      <c r="AF15" s="25"/>
      <c r="AG15" s="25"/>
      <c r="AH15" s="25"/>
      <c r="AI15" s="11"/>
      <c r="AJ15" s="11"/>
      <c r="AK15" s="11"/>
      <c r="AL15" s="11"/>
      <c r="AM15" s="11"/>
      <c r="AN15" s="11"/>
      <c r="AO15" s="25" t="s">
        <v>29</v>
      </c>
      <c r="AP15" s="25"/>
      <c r="AQ15" s="11"/>
      <c r="AR15" s="11"/>
      <c r="AS15" s="11"/>
      <c r="AT15" s="11"/>
      <c r="AU15" s="11"/>
      <c r="AV15" s="11"/>
      <c r="AW15" s="11"/>
      <c r="AX15" s="11"/>
      <c r="AY15" s="25" t="s">
        <v>20</v>
      </c>
      <c r="AZ15" s="25"/>
      <c r="BA15" s="11"/>
      <c r="BB15" s="11"/>
      <c r="BC15" s="11"/>
      <c r="BD15" s="11"/>
      <c r="BE15" s="11"/>
      <c r="BF15" s="25" t="s">
        <v>31</v>
      </c>
      <c r="BG15" s="25"/>
      <c r="BH15" s="25"/>
      <c r="BI15" s="25"/>
      <c r="BJ15" s="25"/>
      <c r="BK15" s="25"/>
      <c r="BL15" s="25"/>
      <c r="BM15" s="25"/>
    </row>
    <row r="16" spans="2:65" ht="15.75" thickBot="1" x14ac:dyDescent="0.3">
      <c r="B16" s="44" t="s">
        <v>16</v>
      </c>
      <c r="C16" s="45">
        <f>C8*8.314*$K$5/$K$6</f>
        <v>2.9815189648695655E-5</v>
      </c>
      <c r="D16" s="46">
        <f>D8*8.314*$K$5/$K$6</f>
        <v>2.6771727769043483E-5</v>
      </c>
      <c r="E16" s="10"/>
      <c r="F16" s="2"/>
      <c r="H16" t="s">
        <v>36</v>
      </c>
      <c r="L16" t="s">
        <v>10</v>
      </c>
      <c r="R16" t="s">
        <v>36</v>
      </c>
      <c r="V16" t="s">
        <v>10</v>
      </c>
      <c r="AB16" t="s">
        <v>36</v>
      </c>
      <c r="AF16" t="s">
        <v>10</v>
      </c>
      <c r="AM16" t="s">
        <v>36</v>
      </c>
      <c r="AQ16" t="s">
        <v>10</v>
      </c>
      <c r="AW16" t="s">
        <v>36</v>
      </c>
      <c r="BA16" t="s">
        <v>10</v>
      </c>
      <c r="BG16" t="s">
        <v>36</v>
      </c>
      <c r="BK16" t="s">
        <v>10</v>
      </c>
    </row>
    <row r="17" spans="1:66" ht="16.5" thickBot="1" x14ac:dyDescent="0.3">
      <c r="B17" s="10"/>
      <c r="C17" s="10"/>
      <c r="D17" s="10"/>
      <c r="E17" s="10"/>
      <c r="G17" s="15" t="s">
        <v>37</v>
      </c>
      <c r="H17" s="16" t="s">
        <v>38</v>
      </c>
      <c r="I17" s="16" t="s">
        <v>39</v>
      </c>
      <c r="J17" s="17" t="s">
        <v>40</v>
      </c>
      <c r="K17" s="8"/>
      <c r="L17" s="15" t="s">
        <v>38</v>
      </c>
      <c r="M17" s="16" t="s">
        <v>39</v>
      </c>
      <c r="N17" s="17" t="s">
        <v>40</v>
      </c>
      <c r="O17" s="8"/>
      <c r="P17" s="8"/>
      <c r="Q17" s="15" t="s">
        <v>37</v>
      </c>
      <c r="R17" s="16" t="s">
        <v>38</v>
      </c>
      <c r="S17" s="16" t="s">
        <v>39</v>
      </c>
      <c r="T17" s="17" t="s">
        <v>40</v>
      </c>
      <c r="U17" s="8"/>
      <c r="V17" s="15" t="s">
        <v>38</v>
      </c>
      <c r="W17" s="16" t="s">
        <v>39</v>
      </c>
      <c r="X17" s="17" t="s">
        <v>40</v>
      </c>
      <c r="Y17" s="8"/>
      <c r="Z17" s="8"/>
      <c r="AA17" s="15" t="s">
        <v>37</v>
      </c>
      <c r="AB17" s="16" t="s">
        <v>38</v>
      </c>
      <c r="AC17" s="16" t="s">
        <v>39</v>
      </c>
      <c r="AD17" s="17" t="s">
        <v>40</v>
      </c>
      <c r="AE17" s="8"/>
      <c r="AF17" s="15" t="s">
        <v>38</v>
      </c>
      <c r="AG17" s="16" t="s">
        <v>39</v>
      </c>
      <c r="AH17" s="17" t="s">
        <v>40</v>
      </c>
      <c r="AI17" s="8"/>
      <c r="AJ17" s="8"/>
      <c r="AK17" s="8"/>
      <c r="AL17" s="15" t="s">
        <v>37</v>
      </c>
      <c r="AM17" s="16" t="s">
        <v>38</v>
      </c>
      <c r="AN17" s="16" t="s">
        <v>39</v>
      </c>
      <c r="AO17" s="17" t="s">
        <v>40</v>
      </c>
      <c r="AP17" s="8"/>
      <c r="AQ17" s="15" t="s">
        <v>38</v>
      </c>
      <c r="AR17" s="16" t="s">
        <v>39</v>
      </c>
      <c r="AS17" s="17" t="s">
        <v>40</v>
      </c>
      <c r="AT17" s="8"/>
      <c r="AU17" s="8"/>
      <c r="AV17" s="15" t="s">
        <v>37</v>
      </c>
      <c r="AW17" s="16" t="s">
        <v>38</v>
      </c>
      <c r="AX17" s="16" t="s">
        <v>39</v>
      </c>
      <c r="AY17" s="17" t="s">
        <v>40</v>
      </c>
      <c r="AZ17" s="8"/>
      <c r="BA17" s="15" t="s">
        <v>38</v>
      </c>
      <c r="BB17" s="16" t="s">
        <v>39</v>
      </c>
      <c r="BC17" s="17" t="s">
        <v>40</v>
      </c>
      <c r="BD17" s="8"/>
      <c r="BE17" s="8"/>
      <c r="BF17" s="15" t="s">
        <v>37</v>
      </c>
      <c r="BG17" s="16" t="s">
        <v>38</v>
      </c>
      <c r="BH17" s="16" t="s">
        <v>39</v>
      </c>
      <c r="BI17" s="17" t="s">
        <v>40</v>
      </c>
      <c r="BJ17" s="74"/>
      <c r="BK17" s="15" t="s">
        <v>38</v>
      </c>
      <c r="BL17" s="16" t="s">
        <v>39</v>
      </c>
      <c r="BM17" s="17" t="s">
        <v>40</v>
      </c>
      <c r="BN17" s="8"/>
    </row>
    <row r="18" spans="1:66" ht="15.75" x14ac:dyDescent="0.25">
      <c r="A18" s="26"/>
      <c r="B18" s="27" t="s">
        <v>32</v>
      </c>
      <c r="C18" s="27">
        <v>0.85</v>
      </c>
      <c r="D18" s="27">
        <v>1</v>
      </c>
      <c r="E18" s="28">
        <v>1.2</v>
      </c>
      <c r="G18" s="18">
        <v>0</v>
      </c>
      <c r="H18" s="19"/>
      <c r="I18" s="19"/>
      <c r="J18" s="20"/>
      <c r="K18" s="8"/>
      <c r="L18" s="18"/>
      <c r="M18" s="19"/>
      <c r="N18" s="20"/>
      <c r="O18" s="8"/>
      <c r="P18" s="8"/>
      <c r="Q18" s="18"/>
      <c r="R18" s="19"/>
      <c r="S18" s="19"/>
      <c r="T18" s="20"/>
      <c r="U18" s="8"/>
      <c r="V18" s="18"/>
      <c r="W18" s="19"/>
      <c r="X18" s="20"/>
      <c r="Y18" s="8"/>
      <c r="Z18" s="8"/>
      <c r="AA18" s="18"/>
      <c r="AB18" s="19"/>
      <c r="AC18" s="19"/>
      <c r="AD18" s="20"/>
      <c r="AE18" s="8"/>
      <c r="AF18" s="18"/>
      <c r="AG18" s="19"/>
      <c r="AH18" s="20"/>
      <c r="AI18" s="8"/>
      <c r="AJ18" s="8"/>
      <c r="AK18" s="8"/>
      <c r="AL18" s="18"/>
      <c r="AM18" s="19"/>
      <c r="AN18" s="19"/>
      <c r="AO18" s="20"/>
      <c r="AP18" s="8"/>
      <c r="AQ18" s="18"/>
      <c r="AR18" s="19"/>
      <c r="AS18" s="20"/>
      <c r="AT18" s="8"/>
      <c r="AU18" s="8"/>
      <c r="AV18" s="18"/>
      <c r="AW18" s="19"/>
      <c r="AX18" s="19"/>
      <c r="AY18" s="20"/>
      <c r="AZ18" s="8"/>
      <c r="BA18" s="18"/>
      <c r="BB18" s="19"/>
      <c r="BC18" s="20"/>
      <c r="BD18" s="8"/>
      <c r="BE18" s="8"/>
      <c r="BF18" s="18"/>
      <c r="BG18" s="19"/>
      <c r="BH18" s="19"/>
      <c r="BI18" s="20"/>
      <c r="BJ18" s="74"/>
      <c r="BK18" s="18"/>
      <c r="BL18" s="19"/>
      <c r="BM18" s="20"/>
      <c r="BN18" s="8"/>
    </row>
    <row r="19" spans="1:66" ht="15.75" x14ac:dyDescent="0.25">
      <c r="A19" s="29"/>
      <c r="B19" s="12" t="s">
        <v>33</v>
      </c>
      <c r="C19" s="14" t="s">
        <v>17</v>
      </c>
      <c r="D19" s="14" t="s">
        <v>18</v>
      </c>
      <c r="E19" s="30" t="s">
        <v>19</v>
      </c>
      <c r="G19" s="18">
        <v>2.0000000000000001E-4</v>
      </c>
      <c r="H19" s="19">
        <f>(8.314*477.785)/(G19-$C$13)-($C$12*$C$21/((G19+$C$5*$C$13)*(G19+$C$6*$C$13)))</f>
        <v>-4240991.3195424527</v>
      </c>
      <c r="I19" s="19">
        <f t="shared" ref="I19" si="0">$G$6*G19/(8.314*$G$5)</f>
        <v>0.20927398745306153</v>
      </c>
      <c r="J19" s="20">
        <f t="shared" ref="J19" si="1">H19/$G$6</f>
        <v>-0.86727838845448935</v>
      </c>
      <c r="K19" s="8"/>
      <c r="L19" s="18">
        <f t="shared" ref="L19:L38" si="2">(8.314*161.84)/(G19-$C$16)-($C$15*$C$26/((G19+$C$5*$C$16)*(G19+$C$6*$C$16)))</f>
        <v>2438985.6416271739</v>
      </c>
      <c r="M19" s="19">
        <f t="shared" ref="M19:M38" si="3">$K$6*G19/(8.314*$K$5)</f>
        <v>0.58118027100183356</v>
      </c>
      <c r="N19" s="20">
        <f t="shared" ref="N19:N38" si="4">L19/$K$6</f>
        <v>0.53021426991895082</v>
      </c>
      <c r="O19" s="8"/>
      <c r="P19" s="8"/>
      <c r="Q19" s="18">
        <v>2.0000000000000001E-4</v>
      </c>
      <c r="R19" s="19">
        <f t="shared" ref="R19:R38" si="5">(8.314*562.1)/(Q19-$C$13)-($C$12*$D$21/((Q19+$C$5*$C$13)*(Q19+$C$6*$C$13)))</f>
        <v>6119302.2190749794</v>
      </c>
      <c r="S19" s="19">
        <f t="shared" ref="S19:S38" si="6">$G$6*Q19/(8.314*$G$5)</f>
        <v>0.20927398745306153</v>
      </c>
      <c r="T19" s="20">
        <f t="shared" ref="T19:T38" si="7">R19/$G$6</f>
        <v>1.2513910468455991</v>
      </c>
      <c r="U19" s="8"/>
      <c r="V19" s="18">
        <f t="shared" ref="V19:V38" si="8">(8.314*190.4)/(Q19-$C$16)-($C$15*$D$26/((Q19+$C$5*$C$16)*(Q19+$C$6*$C$16)))</f>
        <v>4235124.9559422089</v>
      </c>
      <c r="W19" s="19">
        <f t="shared" ref="W19:W38" si="9">$K$6*Q19/(8.314*$K$5)</f>
        <v>0.58118027100183356</v>
      </c>
      <c r="X19" s="20">
        <f t="shared" ref="X19:X38" si="10">V19/$K$6</f>
        <v>0.92067933824830628</v>
      </c>
      <c r="Y19" s="8"/>
      <c r="Z19" s="8"/>
      <c r="AA19" s="18">
        <v>2.0000000000000001E-4</v>
      </c>
      <c r="AB19" s="19">
        <f t="shared" ref="AB19:AB38" si="11">(8.314*674.52)/(AA19-$C$13)-($C$12*$E$21/((AA19+$C$5*$C$13)*(AA19+$C$6*$C$13)))</f>
        <v>19086695.834651753</v>
      </c>
      <c r="AC19" s="19">
        <f t="shared" ref="AC19:AC37" si="12">$G$6*AA19/(8.314*$G$5)</f>
        <v>0.20927398745306153</v>
      </c>
      <c r="AD19" s="20">
        <f t="shared" ref="AD19:AD38" si="13">AB19/$G$6</f>
        <v>3.903209782137373</v>
      </c>
      <c r="AE19" s="8"/>
      <c r="AF19" s="18">
        <f t="shared" ref="AF19:AF38" si="14">(8.314*228.48)/(AA19-$C$16)-($C$15*$E$26/((AA19+$C$5*$C$16)*(AA19+$C$6*$C$16)))</f>
        <v>6564973.581585492</v>
      </c>
      <c r="AG19" s="19">
        <f t="shared" ref="AG19:AG38" si="15">$K$6*AA19/(8.314*$K$5)</f>
        <v>0.58118027100183356</v>
      </c>
      <c r="AH19" s="20">
        <f t="shared" ref="AH19:AH38" si="16">AF19/$K$6</f>
        <v>1.4271681699098895</v>
      </c>
      <c r="AI19" s="8"/>
      <c r="AJ19" s="8"/>
      <c r="AK19" s="8"/>
      <c r="AL19" s="18">
        <v>2.0000000000000001E-4</v>
      </c>
      <c r="AM19" s="19">
        <f t="shared" ref="AM19:AM38" si="17">(8.314*477.785)/(AL19-$D$13)-($D$12*$C$22/((AL19+$D$5*$D$13)*(AL19+$D$6*$D$13)))</f>
        <v>-3703704.6191890277</v>
      </c>
      <c r="AN19" s="19">
        <f t="shared" ref="AN19:AN38" si="18">$G$6*AL19/(8.314*$G$5)</f>
        <v>0.20927398745306153</v>
      </c>
      <c r="AO19" s="20">
        <f t="shared" ref="AO19:AO38" si="19">AM19/$G$6</f>
        <v>-0.75740380760511816</v>
      </c>
      <c r="AP19" s="8"/>
      <c r="AQ19" s="18">
        <f t="shared" ref="AQ19:AQ38" si="20">(8.314*161.84)/(AL19-$D$16)-($D$15*$C$27/((AL19+$D$5*$D$16)*(AL19+$D$6*$D$16)))</f>
        <v>2475883.1001270218</v>
      </c>
      <c r="AR19" s="19">
        <f t="shared" ref="AR19:AR38" si="21">$K$6*AL19/(8.314*$K$5)</f>
        <v>0.58118027100183356</v>
      </c>
      <c r="AS19" s="20">
        <f t="shared" ref="AS19:AS38" si="22">AQ19/$K$6</f>
        <v>0.53823545654935256</v>
      </c>
      <c r="AT19" s="8"/>
      <c r="AU19" s="8"/>
      <c r="AV19" s="18">
        <v>2.0000000000000001E-4</v>
      </c>
      <c r="AW19" s="19">
        <f t="shared" ref="AW19:AW38" si="23">(8.314*562.1)/(AV19-$D$13)-($D$12*$D$22/((AV19+$D$5*$D$13)*(AV19+$D$6*$D$13)))</f>
        <v>5389858.7577453852</v>
      </c>
      <c r="AX19" s="19">
        <f t="shared" ref="AX19:AX38" si="24">$G$6*AV19/(8.314*$G$5)</f>
        <v>0.20927398745306153</v>
      </c>
      <c r="AY19" s="20">
        <f t="shared" ref="AY19:AY38" si="25">AW19/$G$6</f>
        <v>1.1022206048559069</v>
      </c>
      <c r="AZ19" s="8"/>
      <c r="BA19" s="18">
        <f t="shared" ref="BA19:BA38" si="26">(8.314*190.2)/(AV19-$D$16)-($D$15*$D$27/((AV19+$D$5*$D$16)*(AV19+$D$6*$D$16)))</f>
        <v>4146186.3461866751</v>
      </c>
      <c r="BB19" s="19">
        <f t="shared" ref="BB19:BB38" si="27">$K$6*AV19/(8.314*$K$5)</f>
        <v>0.58118027100183356</v>
      </c>
      <c r="BC19" s="20">
        <f t="shared" ref="BC19:BC38" si="28">BA19/$K$6</f>
        <v>0.90134485786666851</v>
      </c>
      <c r="BD19" s="8"/>
      <c r="BE19" s="8"/>
      <c r="BF19" s="18">
        <v>2.0000000000000001E-4</v>
      </c>
      <c r="BG19" s="19">
        <f t="shared" ref="BG19:BG38" si="29">(8.314*674.52)/(BF19-$D$13)-($D$12*$E$22/((BF19+$D$5*$D$13)*(BF19+$D$6*$D$13)))</f>
        <v>16876281.218642622</v>
      </c>
      <c r="BH19" s="19">
        <f t="shared" ref="BH19:BH38" si="30">$G$6*BF19/(8.314*$G$5)</f>
        <v>0.20927398745306153</v>
      </c>
      <c r="BI19" s="20">
        <f t="shared" ref="BI19:BI38" si="31">BG19/$G$6</f>
        <v>3.4511822533011496</v>
      </c>
      <c r="BJ19" s="74"/>
      <c r="BK19" s="18">
        <f t="shared" ref="BK19:BK38" si="32">(8.314*228.48)/(BF19-$D$16)-($D$15*$E$27/((BF19+$D$5*$D$16)*(BF19+$D$6*$D$16)))</f>
        <v>6348873.7435242506</v>
      </c>
      <c r="BL19" s="19">
        <f t="shared" ref="BL19:BL38" si="33">$K$6*BF19/(8.314*$K$5)</f>
        <v>0.58118027100183356</v>
      </c>
      <c r="BM19" s="20">
        <f t="shared" ref="BM19:BM38" si="34">BK19/$K$6</f>
        <v>1.3801899442444023</v>
      </c>
      <c r="BN19" s="8"/>
    </row>
    <row r="20" spans="1:66" ht="15.75" x14ac:dyDescent="0.25">
      <c r="A20" s="29"/>
      <c r="B20" s="12"/>
      <c r="C20" s="14">
        <f>G5*0.85</f>
        <v>477.78500000000003</v>
      </c>
      <c r="D20" s="14">
        <f>G5*1</f>
        <v>562.1</v>
      </c>
      <c r="E20" s="30">
        <f>G5*1.2</f>
        <v>674.52</v>
      </c>
      <c r="G20" s="18">
        <v>4.0000000000000002E-4</v>
      </c>
      <c r="H20" s="19">
        <f t="shared" ref="H20:H38" si="35">(8.314*477.785)/(G20-$C$13)-($C$12*$C$21/((G20+$C$5*$C$13)*(G20+$C$6*$C$13)))</f>
        <v>1354393.5944880527</v>
      </c>
      <c r="I20" s="19">
        <f t="shared" ref="I20:I38" si="36">$G$6*G20/(8.314*$G$5)</f>
        <v>0.41854797490612305</v>
      </c>
      <c r="J20" s="20">
        <f t="shared" ref="J20:J38" si="37">H20/$G$6</f>
        <v>0.27697210521228072</v>
      </c>
      <c r="K20" s="8"/>
      <c r="L20" s="18">
        <f t="shared" si="2"/>
        <v>2173122.2072156016</v>
      </c>
      <c r="M20" s="19">
        <f t="shared" si="3"/>
        <v>1.1623605420036671</v>
      </c>
      <c r="N20" s="20">
        <f t="shared" si="4"/>
        <v>0.47241787113382644</v>
      </c>
      <c r="O20" s="8"/>
      <c r="P20" s="8"/>
      <c r="Q20" s="18">
        <v>4.0000000000000002E-4</v>
      </c>
      <c r="R20" s="19">
        <f t="shared" si="5"/>
        <v>4846867.287845796</v>
      </c>
      <c r="S20" s="19">
        <f t="shared" ref="S20:S26" si="38">$G$6*Q20/(8.314*$G$5)</f>
        <v>0.41854797490612305</v>
      </c>
      <c r="T20" s="20">
        <f t="shared" ref="T20:T26" si="39">R20/$G$6</f>
        <v>0.9911794044674429</v>
      </c>
      <c r="U20" s="8"/>
      <c r="V20" s="18">
        <f t="shared" si="8"/>
        <v>2921731.1903527398</v>
      </c>
      <c r="W20" s="19">
        <f t="shared" si="9"/>
        <v>1.1623605420036671</v>
      </c>
      <c r="X20" s="20">
        <f t="shared" si="10"/>
        <v>0.63515895442450865</v>
      </c>
      <c r="Y20" s="8"/>
      <c r="Z20" s="8"/>
      <c r="AA20" s="18">
        <v>4.0000000000000002E-4</v>
      </c>
      <c r="AB20" s="19">
        <f t="shared" si="11"/>
        <v>9255629.5474634245</v>
      </c>
      <c r="AC20" s="19">
        <f t="shared" si="12"/>
        <v>0.41854797490612305</v>
      </c>
      <c r="AD20" s="20">
        <f t="shared" si="13"/>
        <v>1.8927667786223772</v>
      </c>
      <c r="AE20" s="8"/>
      <c r="AF20" s="18">
        <f t="shared" si="14"/>
        <v>3902498.2657677471</v>
      </c>
      <c r="AG20" s="19">
        <f t="shared" si="15"/>
        <v>1.1623605420036671</v>
      </c>
      <c r="AH20" s="20">
        <f t="shared" si="16"/>
        <v>0.84836918821037977</v>
      </c>
      <c r="AI20" s="8"/>
      <c r="AJ20" s="8"/>
      <c r="AK20" s="8"/>
      <c r="AL20" s="18">
        <v>4.0000000000000002E-4</v>
      </c>
      <c r="AM20" s="19">
        <f t="shared" si="17"/>
        <v>1598460.5525389649</v>
      </c>
      <c r="AN20" s="19">
        <f t="shared" si="18"/>
        <v>0.41854797490612305</v>
      </c>
      <c r="AO20" s="20">
        <f t="shared" si="19"/>
        <v>0.32688354857647545</v>
      </c>
      <c r="AP20" s="8"/>
      <c r="AQ20" s="18">
        <f t="shared" si="20"/>
        <v>2141195.1707133371</v>
      </c>
      <c r="AR20" s="19">
        <f t="shared" si="21"/>
        <v>1.1623605420036671</v>
      </c>
      <c r="AS20" s="20">
        <f t="shared" si="22"/>
        <v>0.46547721102463852</v>
      </c>
      <c r="AT20" s="8"/>
      <c r="AU20" s="8"/>
      <c r="AV20" s="18">
        <v>4.0000000000000002E-4</v>
      </c>
      <c r="AW20" s="19">
        <f t="shared" si="23"/>
        <v>4805890.6124057043</v>
      </c>
      <c r="AX20" s="19">
        <f t="shared" si="24"/>
        <v>0.41854797490612305</v>
      </c>
      <c r="AY20" s="20">
        <f t="shared" si="25"/>
        <v>0.98279971623838536</v>
      </c>
      <c r="AZ20" s="8"/>
      <c r="BA20" s="18">
        <f t="shared" si="26"/>
        <v>2858476.5836618301</v>
      </c>
      <c r="BB20" s="19">
        <f t="shared" si="27"/>
        <v>1.1623605420036671</v>
      </c>
      <c r="BC20" s="20">
        <f t="shared" si="28"/>
        <v>0.6214079529699631</v>
      </c>
      <c r="BD20" s="8"/>
      <c r="BE20" s="8"/>
      <c r="BF20" s="18">
        <v>4.0000000000000002E-4</v>
      </c>
      <c r="BG20" s="19">
        <f t="shared" si="29"/>
        <v>8890886.7419441007</v>
      </c>
      <c r="BH20" s="19">
        <f t="shared" si="30"/>
        <v>0.41854797490612305</v>
      </c>
      <c r="BI20" s="20">
        <f t="shared" si="31"/>
        <v>1.8181772478413294</v>
      </c>
      <c r="BJ20" s="74"/>
      <c r="BK20" s="18">
        <f t="shared" si="32"/>
        <v>3812304.9651181526</v>
      </c>
      <c r="BL20" s="19">
        <f t="shared" si="33"/>
        <v>1.1623605420036671</v>
      </c>
      <c r="BM20" s="20">
        <f t="shared" si="34"/>
        <v>0.82876194893872879</v>
      </c>
      <c r="BN20" s="8"/>
    </row>
    <row r="21" spans="1:66" ht="15.75" x14ac:dyDescent="0.25">
      <c r="A21" s="29" t="s">
        <v>22</v>
      </c>
      <c r="B21" s="12" t="s">
        <v>35</v>
      </c>
      <c r="C21" s="12">
        <f>(1+$C$9*(1-0.85^0.5))^2</f>
        <v>1.1297295812677861</v>
      </c>
      <c r="D21" s="12">
        <f>(1+$C$9*(1-1^0.5))^2</f>
        <v>1</v>
      </c>
      <c r="E21" s="31">
        <f>(1+$C$9*(1-1.2^0.5))^2</f>
        <v>0.85209965252908992</v>
      </c>
      <c r="G21" s="18">
        <v>5.9999999999999995E-4</v>
      </c>
      <c r="H21" s="19">
        <f t="shared" si="35"/>
        <v>2415590.9878691491</v>
      </c>
      <c r="I21" s="19">
        <f t="shared" si="36"/>
        <v>0.62782196235918453</v>
      </c>
      <c r="J21" s="20">
        <f t="shared" si="37"/>
        <v>0.49398588708980556</v>
      </c>
      <c r="K21" s="8"/>
      <c r="L21" s="18">
        <f t="shared" si="2"/>
        <v>1694828.4237941508</v>
      </c>
      <c r="M21" s="19">
        <f t="shared" si="3"/>
        <v>1.7435408130055001</v>
      </c>
      <c r="N21" s="20">
        <f t="shared" si="4"/>
        <v>0.36844096169438062</v>
      </c>
      <c r="O21" s="8"/>
      <c r="P21" s="8"/>
      <c r="Q21" s="18">
        <v>5.9999999999999995E-4</v>
      </c>
      <c r="R21" s="19">
        <f t="shared" si="5"/>
        <v>4375529.7110803407</v>
      </c>
      <c r="S21" s="19">
        <f t="shared" si="38"/>
        <v>0.62782196235918453</v>
      </c>
      <c r="T21" s="20">
        <f t="shared" si="39"/>
        <v>0.89479135195916992</v>
      </c>
      <c r="U21" s="8"/>
      <c r="V21" s="18">
        <f t="shared" si="8"/>
        <v>2160030.9342480027</v>
      </c>
      <c r="W21" s="19">
        <f t="shared" si="9"/>
        <v>1.7435408130055001</v>
      </c>
      <c r="X21" s="20">
        <f t="shared" si="10"/>
        <v>0.46957194222782667</v>
      </c>
      <c r="Y21" s="8"/>
      <c r="Z21" s="8"/>
      <c r="AA21" s="18">
        <v>5.9999999999999995E-4</v>
      </c>
      <c r="AB21" s="19">
        <f t="shared" si="11"/>
        <v>6871937.6076456066</v>
      </c>
      <c r="AC21" s="19">
        <f t="shared" si="12"/>
        <v>0.62782196235918453</v>
      </c>
      <c r="AD21" s="20">
        <f t="shared" si="13"/>
        <v>1.4053042142424554</v>
      </c>
      <c r="AE21" s="8"/>
      <c r="AF21" s="18">
        <f t="shared" si="14"/>
        <v>2772394.4705595872</v>
      </c>
      <c r="AG21" s="19">
        <f t="shared" si="15"/>
        <v>1.7435408130055001</v>
      </c>
      <c r="AH21" s="20">
        <f t="shared" si="16"/>
        <v>0.60269445012164935</v>
      </c>
      <c r="AI21" s="8"/>
      <c r="AJ21" s="8"/>
      <c r="AK21" s="8"/>
      <c r="AL21" s="18">
        <v>5.9999999999999995E-4</v>
      </c>
      <c r="AM21" s="19">
        <f t="shared" si="17"/>
        <v>2445723.1198260551</v>
      </c>
      <c r="AN21" s="19">
        <f t="shared" si="18"/>
        <v>0.62782196235918453</v>
      </c>
      <c r="AO21" s="20">
        <f t="shared" si="19"/>
        <v>0.50014787726504195</v>
      </c>
      <c r="AP21" s="8"/>
      <c r="AQ21" s="18">
        <f t="shared" si="20"/>
        <v>1671446.7456429559</v>
      </c>
      <c r="AR21" s="19">
        <f t="shared" si="21"/>
        <v>1.7435408130055001</v>
      </c>
      <c r="AS21" s="20">
        <f t="shared" si="22"/>
        <v>0.36335798818325127</v>
      </c>
      <c r="AT21" s="8"/>
      <c r="AU21" s="8"/>
      <c r="AV21" s="18">
        <v>5.9999999999999995E-4</v>
      </c>
      <c r="AW21" s="19">
        <f t="shared" si="23"/>
        <v>4287947.8177073486</v>
      </c>
      <c r="AX21" s="19">
        <f t="shared" si="24"/>
        <v>0.62782196235918453</v>
      </c>
      <c r="AY21" s="20">
        <f t="shared" si="25"/>
        <v>0.87688094431643115</v>
      </c>
      <c r="AZ21" s="8"/>
      <c r="BA21" s="18">
        <f t="shared" si="26"/>
        <v>2122264.4769029971</v>
      </c>
      <c r="BB21" s="19">
        <f t="shared" si="27"/>
        <v>1.7435408130055001</v>
      </c>
      <c r="BC21" s="20">
        <f t="shared" si="28"/>
        <v>0.46136184280499937</v>
      </c>
      <c r="BD21" s="8"/>
      <c r="BE21" s="8"/>
      <c r="BF21" s="18">
        <v>5.9999999999999995E-4</v>
      </c>
      <c r="BG21" s="19">
        <f t="shared" si="29"/>
        <v>6651867.3218067251</v>
      </c>
      <c r="BH21" s="19">
        <f t="shared" si="30"/>
        <v>0.62782196235918453</v>
      </c>
      <c r="BI21" s="20">
        <f t="shared" si="31"/>
        <v>1.3603000658091462</v>
      </c>
      <c r="BJ21" s="74"/>
      <c r="BK21" s="18">
        <f t="shared" si="32"/>
        <v>2724148.2239864105</v>
      </c>
      <c r="BL21" s="19">
        <f t="shared" si="33"/>
        <v>1.7435408130055001</v>
      </c>
      <c r="BM21" s="20">
        <f t="shared" si="34"/>
        <v>0.59220613564921964</v>
      </c>
      <c r="BN21" s="8"/>
    </row>
    <row r="22" spans="1:66" ht="15.75" x14ac:dyDescent="0.25">
      <c r="A22" s="29" t="s">
        <v>23</v>
      </c>
      <c r="B22" s="13" t="s">
        <v>35</v>
      </c>
      <c r="C22" s="13">
        <f>(1+$D$9*(1-0.85^0.5))^2</f>
        <v>1.1105153040207183</v>
      </c>
      <c r="D22" s="13">
        <f>(1+$D$9*(1-1^0.5))^2</f>
        <v>1</v>
      </c>
      <c r="E22" s="32">
        <f>(1+$D$9*(1-1.2^0.5))^2</f>
        <v>0.87271780025629198</v>
      </c>
      <c r="G22" s="18">
        <v>8.0000000000000004E-4</v>
      </c>
      <c r="H22" s="19">
        <f t="shared" si="35"/>
        <v>2484583.3660077793</v>
      </c>
      <c r="I22" s="19">
        <f t="shared" si="36"/>
        <v>0.83709594981224611</v>
      </c>
      <c r="J22" s="20">
        <f t="shared" si="37"/>
        <v>0.50809475787480152</v>
      </c>
      <c r="K22" s="8"/>
      <c r="L22" s="18">
        <f t="shared" si="2"/>
        <v>1368490.3751281754</v>
      </c>
      <c r="M22" s="19">
        <f t="shared" si="3"/>
        <v>2.3247210840073342</v>
      </c>
      <c r="N22" s="20">
        <f t="shared" si="4"/>
        <v>0.29749790763655987</v>
      </c>
      <c r="O22" s="8"/>
      <c r="P22" s="8"/>
      <c r="Q22" s="18">
        <v>8.0000000000000004E-4</v>
      </c>
      <c r="R22" s="19">
        <f t="shared" si="5"/>
        <v>3812693.0640497059</v>
      </c>
      <c r="S22" s="19">
        <f t="shared" si="38"/>
        <v>0.83709594981224611</v>
      </c>
      <c r="T22" s="20">
        <f t="shared" si="39"/>
        <v>0.77969183313899915</v>
      </c>
      <c r="U22" s="8"/>
      <c r="V22" s="18">
        <f t="shared" si="8"/>
        <v>1704547.5380551822</v>
      </c>
      <c r="W22" s="19">
        <f t="shared" si="9"/>
        <v>2.3247210840073342</v>
      </c>
      <c r="X22" s="20">
        <f t="shared" si="10"/>
        <v>0.37055381262069176</v>
      </c>
      <c r="Y22" s="8"/>
      <c r="Z22" s="8"/>
      <c r="AA22" s="18">
        <v>8.0000000000000004E-4</v>
      </c>
      <c r="AB22" s="19">
        <f t="shared" si="11"/>
        <v>5515726.5575530007</v>
      </c>
      <c r="AC22" s="19">
        <f t="shared" si="12"/>
        <v>0.83709594981224611</v>
      </c>
      <c r="AD22" s="20">
        <f t="shared" si="13"/>
        <v>1.1279604412173825</v>
      </c>
      <c r="AE22" s="8"/>
      <c r="AF22" s="18">
        <f t="shared" si="14"/>
        <v>2148123.0967998677</v>
      </c>
      <c r="AG22" s="19">
        <f t="shared" si="15"/>
        <v>2.3247210840073342</v>
      </c>
      <c r="AH22" s="20">
        <f t="shared" si="16"/>
        <v>0.46698328191301469</v>
      </c>
      <c r="AI22" s="8"/>
      <c r="AJ22" s="8"/>
      <c r="AK22" s="8"/>
      <c r="AL22" s="18">
        <v>8.0000000000000004E-4</v>
      </c>
      <c r="AM22" s="19">
        <f t="shared" si="17"/>
        <v>2464169.4468313502</v>
      </c>
      <c r="AN22" s="19">
        <f t="shared" si="18"/>
        <v>0.83709594981224611</v>
      </c>
      <c r="AO22" s="20">
        <f t="shared" si="19"/>
        <v>0.50392013227634969</v>
      </c>
      <c r="AP22" s="8"/>
      <c r="AQ22" s="18">
        <f t="shared" si="20"/>
        <v>1352342.3678247584</v>
      </c>
      <c r="AR22" s="19">
        <f t="shared" si="21"/>
        <v>2.3247210840073342</v>
      </c>
      <c r="AS22" s="20">
        <f t="shared" si="22"/>
        <v>0.29398747126625185</v>
      </c>
      <c r="AT22" s="8"/>
      <c r="AU22" s="8"/>
      <c r="AV22" s="18">
        <v>8.0000000000000004E-4</v>
      </c>
      <c r="AW22" s="19">
        <f t="shared" si="23"/>
        <v>3729732.6343446546</v>
      </c>
      <c r="AX22" s="19">
        <f t="shared" si="24"/>
        <v>0.83709594981224611</v>
      </c>
      <c r="AY22" s="20">
        <f t="shared" si="25"/>
        <v>0.7627265100909314</v>
      </c>
      <c r="AZ22" s="8"/>
      <c r="BA22" s="18">
        <f t="shared" si="26"/>
        <v>1679937.8293962902</v>
      </c>
      <c r="BB22" s="19">
        <f t="shared" si="27"/>
        <v>2.3247210840073342</v>
      </c>
      <c r="BC22" s="20">
        <f t="shared" si="28"/>
        <v>0.3652038759557153</v>
      </c>
      <c r="BD22" s="8"/>
      <c r="BE22" s="8"/>
      <c r="BF22" s="18">
        <v>8.0000000000000004E-4</v>
      </c>
      <c r="BG22" s="19">
        <f t="shared" si="29"/>
        <v>5362748.1172546595</v>
      </c>
      <c r="BH22" s="19">
        <f t="shared" si="30"/>
        <v>0.83709594981224611</v>
      </c>
      <c r="BI22" s="20">
        <f t="shared" si="31"/>
        <v>1.0966765065960449</v>
      </c>
      <c r="BJ22" s="74"/>
      <c r="BK22" s="18">
        <f t="shared" si="32"/>
        <v>2118320.979834626</v>
      </c>
      <c r="BL22" s="19">
        <f t="shared" si="33"/>
        <v>2.3247210840073342</v>
      </c>
      <c r="BM22" s="20">
        <f t="shared" si="34"/>
        <v>0.46050456083361435</v>
      </c>
      <c r="BN22" s="8"/>
    </row>
    <row r="23" spans="1:66" ht="15.75" x14ac:dyDescent="0.25">
      <c r="A23" s="29"/>
      <c r="B23" s="12"/>
      <c r="C23" s="12"/>
      <c r="D23" s="12"/>
      <c r="E23" s="31"/>
      <c r="G23" s="18">
        <v>1E-3</v>
      </c>
      <c r="H23" s="19">
        <f t="shared" si="35"/>
        <v>2338947.8012101324</v>
      </c>
      <c r="I23" s="19">
        <f t="shared" si="36"/>
        <v>1.0463699372653077</v>
      </c>
      <c r="J23" s="20">
        <f t="shared" si="37"/>
        <v>0.47831243378530314</v>
      </c>
      <c r="K23" s="8"/>
      <c r="L23" s="18">
        <f t="shared" si="2"/>
        <v>1142867.7171881376</v>
      </c>
      <c r="M23" s="19">
        <f t="shared" si="3"/>
        <v>2.9059013550091675</v>
      </c>
      <c r="N23" s="20">
        <f t="shared" si="4"/>
        <v>0.24844950373655164</v>
      </c>
      <c r="O23" s="8"/>
      <c r="P23" s="8"/>
      <c r="Q23" s="18">
        <v>1E-3</v>
      </c>
      <c r="R23" s="19">
        <f t="shared" si="5"/>
        <v>3331966.6666441644</v>
      </c>
      <c r="S23" s="19">
        <f t="shared" si="38"/>
        <v>1.0463699372653077</v>
      </c>
      <c r="T23" s="20">
        <f t="shared" si="39"/>
        <v>0.6813837764098496</v>
      </c>
      <c r="U23" s="8"/>
      <c r="V23" s="18">
        <f t="shared" si="8"/>
        <v>1405505.9534483412</v>
      </c>
      <c r="W23" s="19">
        <f t="shared" si="9"/>
        <v>2.9059013550091675</v>
      </c>
      <c r="X23" s="20">
        <f t="shared" si="10"/>
        <v>0.30554477248876982</v>
      </c>
      <c r="Y23" s="8"/>
      <c r="Z23" s="8"/>
      <c r="AA23" s="18">
        <v>1E-3</v>
      </c>
      <c r="AB23" s="19">
        <f t="shared" si="11"/>
        <v>4611783.697920599</v>
      </c>
      <c r="AC23" s="19">
        <f t="shared" si="12"/>
        <v>1.0463699372653077</v>
      </c>
      <c r="AD23" s="20">
        <f t="shared" si="13"/>
        <v>0.94310505069950901</v>
      </c>
      <c r="AE23" s="8"/>
      <c r="AF23" s="18">
        <f t="shared" si="14"/>
        <v>1752788.9985509466</v>
      </c>
      <c r="AG23" s="19">
        <f t="shared" si="15"/>
        <v>2.9059013550091675</v>
      </c>
      <c r="AH23" s="20">
        <f t="shared" si="16"/>
        <v>0.38104108664151015</v>
      </c>
      <c r="AI23" s="8"/>
      <c r="AJ23" s="8"/>
      <c r="AK23" s="8"/>
      <c r="AL23" s="18">
        <v>1E-3</v>
      </c>
      <c r="AM23" s="19">
        <f t="shared" si="17"/>
        <v>2307588.1953872186</v>
      </c>
      <c r="AN23" s="19">
        <f t="shared" si="18"/>
        <v>1.0463699372653077</v>
      </c>
      <c r="AO23" s="20">
        <f t="shared" si="19"/>
        <v>0.47189942645955391</v>
      </c>
      <c r="AP23" s="8"/>
      <c r="AQ23" s="18">
        <f t="shared" si="20"/>
        <v>1131289.7297595222</v>
      </c>
      <c r="AR23" s="19">
        <f t="shared" si="21"/>
        <v>2.9059013550091675</v>
      </c>
      <c r="AS23" s="20">
        <f t="shared" si="22"/>
        <v>0.24593254994772223</v>
      </c>
      <c r="AT23" s="8"/>
      <c r="AU23" s="8"/>
      <c r="AV23" s="18">
        <v>1E-3</v>
      </c>
      <c r="AW23" s="19">
        <f t="shared" si="23"/>
        <v>3262306.4663466313</v>
      </c>
      <c r="AX23" s="19">
        <f t="shared" si="24"/>
        <v>1.0463699372653077</v>
      </c>
      <c r="AY23" s="20">
        <f t="shared" si="25"/>
        <v>0.6671383366762027</v>
      </c>
      <c r="AZ23" s="8"/>
      <c r="BA23" s="18">
        <f t="shared" si="26"/>
        <v>1388241.7496500772</v>
      </c>
      <c r="BB23" s="19">
        <f t="shared" si="27"/>
        <v>2.9059013550091675</v>
      </c>
      <c r="BC23" s="20">
        <f t="shared" si="28"/>
        <v>0.3017916847065385</v>
      </c>
      <c r="BD23" s="8"/>
      <c r="BE23" s="8"/>
      <c r="BF23" s="18">
        <v>1E-3</v>
      </c>
      <c r="BG23" s="19">
        <f t="shared" si="29"/>
        <v>4499409.3066683589</v>
      </c>
      <c r="BH23" s="19">
        <f t="shared" si="30"/>
        <v>1.0463699372653077</v>
      </c>
      <c r="BI23" s="20">
        <f t="shared" si="31"/>
        <v>0.92012460259066642</v>
      </c>
      <c r="BJ23" s="74"/>
      <c r="BK23" s="18">
        <f t="shared" si="32"/>
        <v>1732609.7080039571</v>
      </c>
      <c r="BL23" s="19">
        <f t="shared" si="33"/>
        <v>2.9059013550091675</v>
      </c>
      <c r="BM23" s="20">
        <f t="shared" si="34"/>
        <v>0.37665428434868631</v>
      </c>
      <c r="BN23" s="8"/>
    </row>
    <row r="24" spans="1:66" ht="15.75" x14ac:dyDescent="0.25">
      <c r="A24" s="29"/>
      <c r="B24" s="12" t="s">
        <v>34</v>
      </c>
      <c r="C24" s="14" t="s">
        <v>17</v>
      </c>
      <c r="D24" s="14" t="s">
        <v>18</v>
      </c>
      <c r="E24" s="30" t="s">
        <v>19</v>
      </c>
      <c r="G24" s="18">
        <v>1.1999999999999999E-3</v>
      </c>
      <c r="H24" s="19">
        <f t="shared" si="35"/>
        <v>2154429.3968106364</v>
      </c>
      <c r="I24" s="19">
        <f t="shared" si="36"/>
        <v>1.2556439247183691</v>
      </c>
      <c r="J24" s="20">
        <f t="shared" si="37"/>
        <v>0.44057860875473137</v>
      </c>
      <c r="K24" s="8"/>
      <c r="L24" s="18">
        <f t="shared" si="2"/>
        <v>979570.39421458531</v>
      </c>
      <c r="M24" s="19">
        <f t="shared" si="3"/>
        <v>3.4870816260110002</v>
      </c>
      <c r="N24" s="20">
        <f t="shared" si="4"/>
        <v>0.2129500856988229</v>
      </c>
      <c r="O24" s="8"/>
      <c r="P24" s="8"/>
      <c r="Q24" s="18">
        <v>1.1999999999999999E-3</v>
      </c>
      <c r="R24" s="19">
        <f t="shared" si="5"/>
        <v>2942785.4506382206</v>
      </c>
      <c r="S24" s="19">
        <f t="shared" si="38"/>
        <v>1.2556439247183691</v>
      </c>
      <c r="T24" s="20">
        <f t="shared" si="39"/>
        <v>0.60179661567243781</v>
      </c>
      <c r="U24" s="8"/>
      <c r="V24" s="18">
        <f t="shared" si="8"/>
        <v>1194971.3519703946</v>
      </c>
      <c r="W24" s="19">
        <f t="shared" si="9"/>
        <v>3.4870816260110002</v>
      </c>
      <c r="X24" s="20">
        <f t="shared" si="10"/>
        <v>0.25977638086312926</v>
      </c>
      <c r="Y24" s="8"/>
      <c r="Z24" s="8"/>
      <c r="AA24" s="18">
        <v>1.1999999999999999E-3</v>
      </c>
      <c r="AB24" s="19">
        <f t="shared" si="11"/>
        <v>3962830.4527305965</v>
      </c>
      <c r="AC24" s="19">
        <f t="shared" si="12"/>
        <v>1.2556439247183691</v>
      </c>
      <c r="AD24" s="20">
        <f t="shared" si="13"/>
        <v>0.81039477560952899</v>
      </c>
      <c r="AE24" s="8"/>
      <c r="AF24" s="18">
        <f t="shared" si="14"/>
        <v>1480148.089133478</v>
      </c>
      <c r="AG24" s="19">
        <f t="shared" si="15"/>
        <v>3.4870816260110002</v>
      </c>
      <c r="AH24" s="20">
        <f t="shared" si="16"/>
        <v>0.32177132372466916</v>
      </c>
      <c r="AI24" s="8"/>
      <c r="AJ24" s="8"/>
      <c r="AK24" s="8"/>
      <c r="AL24" s="18">
        <v>1.1999999999999999E-3</v>
      </c>
      <c r="AM24" s="19">
        <f t="shared" si="17"/>
        <v>2122870.0225626957</v>
      </c>
      <c r="AN24" s="19">
        <f t="shared" si="18"/>
        <v>1.2556439247183691</v>
      </c>
      <c r="AO24" s="20">
        <f t="shared" si="19"/>
        <v>0.43412474899032633</v>
      </c>
      <c r="AP24" s="8"/>
      <c r="AQ24" s="18">
        <f t="shared" si="20"/>
        <v>970926.09731658851</v>
      </c>
      <c r="AR24" s="19">
        <f t="shared" si="21"/>
        <v>3.4870816260110002</v>
      </c>
      <c r="AS24" s="20">
        <f t="shared" si="22"/>
        <v>0.21107089072099749</v>
      </c>
      <c r="AT24" s="8"/>
      <c r="AU24" s="8"/>
      <c r="AV24" s="18">
        <v>1.1999999999999999E-3</v>
      </c>
      <c r="AW24" s="19">
        <f t="shared" si="23"/>
        <v>2885539.3926478019</v>
      </c>
      <c r="AX24" s="19">
        <f t="shared" si="24"/>
        <v>1.2556439247183691</v>
      </c>
      <c r="AY24" s="20">
        <f t="shared" si="25"/>
        <v>0.59008985534719871</v>
      </c>
      <c r="AZ24" s="8"/>
      <c r="BA24" s="18">
        <f t="shared" si="26"/>
        <v>1182177.3635249645</v>
      </c>
      <c r="BB24" s="19">
        <f t="shared" si="27"/>
        <v>3.4870816260110002</v>
      </c>
      <c r="BC24" s="20">
        <f t="shared" si="28"/>
        <v>0.25699507902716623</v>
      </c>
      <c r="BD24" s="8"/>
      <c r="BE24" s="8"/>
      <c r="BF24" s="18">
        <v>1.1999999999999999E-3</v>
      </c>
      <c r="BG24" s="19">
        <f t="shared" si="29"/>
        <v>3877019.3079506122</v>
      </c>
      <c r="BH24" s="19">
        <f t="shared" si="30"/>
        <v>1.2556439247183691</v>
      </c>
      <c r="BI24" s="20">
        <f t="shared" si="31"/>
        <v>0.79284648424347892</v>
      </c>
      <c r="BJ24" s="74"/>
      <c r="BK24" s="18">
        <f t="shared" si="32"/>
        <v>1465597.2685058247</v>
      </c>
      <c r="BL24" s="19">
        <f t="shared" si="33"/>
        <v>3.4870816260110002</v>
      </c>
      <c r="BM24" s="20">
        <f t="shared" si="34"/>
        <v>0.31860810184909233</v>
      </c>
      <c r="BN24" s="8"/>
    </row>
    <row r="25" spans="1:66" ht="15.75" x14ac:dyDescent="0.25">
      <c r="A25" s="29"/>
      <c r="B25" s="12"/>
      <c r="C25" s="14">
        <f>K5*0.85</f>
        <v>161.84</v>
      </c>
      <c r="D25" s="14">
        <v>190.4</v>
      </c>
      <c r="E25" s="30">
        <f>190.4*1.2</f>
        <v>228.48</v>
      </c>
      <c r="G25" s="18">
        <v>1.4E-3</v>
      </c>
      <c r="H25" s="19">
        <f t="shared" si="35"/>
        <v>1976714.2254891091</v>
      </c>
      <c r="I25" s="19">
        <f t="shared" si="36"/>
        <v>1.4649179121714309</v>
      </c>
      <c r="J25" s="20">
        <f t="shared" si="37"/>
        <v>0.40423603793233315</v>
      </c>
      <c r="K25" s="8"/>
      <c r="L25" s="18">
        <f t="shared" si="2"/>
        <v>856473.23290923319</v>
      </c>
      <c r="M25" s="19">
        <f t="shared" si="3"/>
        <v>4.0682618970128344</v>
      </c>
      <c r="N25" s="20">
        <f t="shared" si="4"/>
        <v>0.18618983324113766</v>
      </c>
      <c r="O25" s="8"/>
      <c r="P25" s="8"/>
      <c r="Q25" s="18">
        <v>1.4E-3</v>
      </c>
      <c r="R25" s="19">
        <f t="shared" si="5"/>
        <v>2628211.5987974908</v>
      </c>
      <c r="S25" s="19">
        <f t="shared" si="38"/>
        <v>1.4649179121714309</v>
      </c>
      <c r="T25" s="20">
        <f t="shared" si="39"/>
        <v>0.53746658462116381</v>
      </c>
      <c r="U25" s="8"/>
      <c r="V25" s="18">
        <f t="shared" si="8"/>
        <v>1038974.8175522791</v>
      </c>
      <c r="W25" s="19">
        <f t="shared" si="9"/>
        <v>4.0682618970128344</v>
      </c>
      <c r="X25" s="20">
        <f t="shared" si="10"/>
        <v>0.2258640907722346</v>
      </c>
      <c r="Y25" s="8"/>
      <c r="Z25" s="8"/>
      <c r="AA25" s="18">
        <v>1.4E-3</v>
      </c>
      <c r="AB25" s="19">
        <f t="shared" si="11"/>
        <v>3473815.8005911293</v>
      </c>
      <c r="AC25" s="19">
        <f t="shared" si="12"/>
        <v>1.4649179121714309</v>
      </c>
      <c r="AD25" s="20">
        <f t="shared" si="13"/>
        <v>0.7103917792619896</v>
      </c>
      <c r="AE25" s="8"/>
      <c r="AF25" s="18">
        <f t="shared" si="14"/>
        <v>1280817.677325821</v>
      </c>
      <c r="AG25" s="19">
        <f t="shared" si="15"/>
        <v>4.0682618970128344</v>
      </c>
      <c r="AH25" s="20">
        <f t="shared" si="16"/>
        <v>0.27843862550561327</v>
      </c>
      <c r="AI25" s="8"/>
      <c r="AJ25" s="8"/>
      <c r="AK25" s="8"/>
      <c r="AL25" s="18">
        <v>1.4E-3</v>
      </c>
      <c r="AM25" s="19">
        <f t="shared" si="17"/>
        <v>1947876.09460676</v>
      </c>
      <c r="AN25" s="19">
        <f t="shared" si="18"/>
        <v>1.4649179121714309</v>
      </c>
      <c r="AO25" s="20">
        <f t="shared" si="19"/>
        <v>0.39833866965373416</v>
      </c>
      <c r="AP25" s="8"/>
      <c r="AQ25" s="18">
        <f t="shared" si="20"/>
        <v>849794.71615489456</v>
      </c>
      <c r="AR25" s="19">
        <f t="shared" si="21"/>
        <v>4.0682618970128344</v>
      </c>
      <c r="AS25" s="20">
        <f t="shared" si="22"/>
        <v>0.18473798177280318</v>
      </c>
      <c r="AT25" s="8"/>
      <c r="AU25" s="8"/>
      <c r="AV25" s="18">
        <v>1.4E-3</v>
      </c>
      <c r="AW25" s="19">
        <f t="shared" si="23"/>
        <v>2581024.110689098</v>
      </c>
      <c r="AX25" s="19">
        <f t="shared" si="24"/>
        <v>1.4649179121714309</v>
      </c>
      <c r="AY25" s="20">
        <f t="shared" si="25"/>
        <v>0.52781679155196282</v>
      </c>
      <c r="AZ25" s="8"/>
      <c r="BA25" s="18">
        <f t="shared" si="26"/>
        <v>1029094.14751344</v>
      </c>
      <c r="BB25" s="19">
        <f t="shared" si="27"/>
        <v>4.0682618970128344</v>
      </c>
      <c r="BC25" s="20">
        <f t="shared" si="28"/>
        <v>0.22371611902466088</v>
      </c>
      <c r="BD25" s="8"/>
      <c r="BE25" s="8"/>
      <c r="BF25" s="18">
        <v>1.4E-3</v>
      </c>
      <c r="BG25" s="19">
        <f t="shared" si="29"/>
        <v>3406268.6972612869</v>
      </c>
      <c r="BH25" s="19">
        <f t="shared" si="30"/>
        <v>1.4649179121714309</v>
      </c>
      <c r="BI25" s="20">
        <f t="shared" si="31"/>
        <v>0.69657846569760473</v>
      </c>
      <c r="BJ25" s="74"/>
      <c r="BK25" s="18">
        <f t="shared" si="32"/>
        <v>1269835.7646386253</v>
      </c>
      <c r="BL25" s="19">
        <f t="shared" si="33"/>
        <v>4.0682618970128344</v>
      </c>
      <c r="BM25" s="20">
        <f t="shared" si="34"/>
        <v>0.27605125318230983</v>
      </c>
      <c r="BN25" s="8"/>
    </row>
    <row r="26" spans="1:66" ht="15.75" x14ac:dyDescent="0.25">
      <c r="A26" s="29" t="s">
        <v>22</v>
      </c>
      <c r="B26" s="12" t="s">
        <v>35</v>
      </c>
      <c r="C26" s="12">
        <f>(1+$C$10*(1-0.85^0.5))^2</f>
        <v>1.079129300782973</v>
      </c>
      <c r="D26" s="12">
        <f>(1+$C$10*(1-1^0.5))^2</f>
        <v>1</v>
      </c>
      <c r="E26" s="31">
        <f>(1+$C$10*(1-1.2^0.5))^2</f>
        <v>0.90732452776646833</v>
      </c>
      <c r="G26" s="18">
        <v>1.6000000000000001E-3</v>
      </c>
      <c r="H26" s="19">
        <f t="shared" si="35"/>
        <v>1817101.8673031386</v>
      </c>
      <c r="I26" s="19">
        <f t="shared" si="36"/>
        <v>1.6741918996244922</v>
      </c>
      <c r="J26" s="20">
        <f t="shared" si="37"/>
        <v>0.37159547388612241</v>
      </c>
      <c r="K26" s="8"/>
      <c r="L26" s="18">
        <f t="shared" si="2"/>
        <v>760562.83672359679</v>
      </c>
      <c r="M26" s="19">
        <f t="shared" si="3"/>
        <v>4.6494421680146685</v>
      </c>
      <c r="N26" s="20">
        <f t="shared" si="4"/>
        <v>0.1653397471138254</v>
      </c>
      <c r="O26" s="8"/>
      <c r="P26" s="8"/>
      <c r="Q26" s="18">
        <v>1.6000000000000001E-3</v>
      </c>
      <c r="R26" s="19">
        <f t="shared" si="5"/>
        <v>2371123.9901432111</v>
      </c>
      <c r="S26" s="19">
        <f t="shared" si="38"/>
        <v>1.6741918996244922</v>
      </c>
      <c r="T26" s="20">
        <f t="shared" si="39"/>
        <v>0.48489243152212907</v>
      </c>
      <c r="U26" s="8"/>
      <c r="V26" s="18">
        <f t="shared" si="8"/>
        <v>918851.97880163882</v>
      </c>
      <c r="W26" s="19">
        <f t="shared" si="9"/>
        <v>4.6494421680146685</v>
      </c>
      <c r="X26" s="20">
        <f t="shared" si="10"/>
        <v>0.1997504301742693</v>
      </c>
      <c r="Y26" s="8"/>
      <c r="Z26" s="8"/>
      <c r="AA26" s="18">
        <v>1.6000000000000001E-3</v>
      </c>
      <c r="AB26" s="19">
        <f t="shared" si="11"/>
        <v>3092041.5395060671</v>
      </c>
      <c r="AC26" s="19">
        <f t="shared" si="12"/>
        <v>1.6741918996244922</v>
      </c>
      <c r="AD26" s="20">
        <f t="shared" si="13"/>
        <v>0.63231933323232459</v>
      </c>
      <c r="AE26" s="8"/>
      <c r="AF26" s="18">
        <f t="shared" si="14"/>
        <v>1128758.4203029303</v>
      </c>
      <c r="AG26" s="19">
        <f t="shared" si="15"/>
        <v>4.6494421680146685</v>
      </c>
      <c r="AH26" s="20">
        <f t="shared" si="16"/>
        <v>0.24538226528324572</v>
      </c>
      <c r="AI26" s="8"/>
      <c r="AJ26" s="8"/>
      <c r="AK26" s="8"/>
      <c r="AL26" s="18">
        <v>1.6000000000000001E-3</v>
      </c>
      <c r="AM26" s="19">
        <f t="shared" si="17"/>
        <v>1791545.3078695768</v>
      </c>
      <c r="AN26" s="19">
        <f t="shared" si="18"/>
        <v>1.6741918996244922</v>
      </c>
      <c r="AO26" s="20">
        <f t="shared" si="19"/>
        <v>0.36636918361341042</v>
      </c>
      <c r="AP26" s="8"/>
      <c r="AQ26" s="18">
        <f t="shared" si="20"/>
        <v>755256.91480516433</v>
      </c>
      <c r="AR26" s="19">
        <f t="shared" si="21"/>
        <v>4.6494421680146685</v>
      </c>
      <c r="AS26" s="20">
        <f t="shared" si="22"/>
        <v>0.16418628582720965</v>
      </c>
      <c r="AT26" s="8"/>
      <c r="AU26" s="8"/>
      <c r="AV26" s="18">
        <v>1.6000000000000001E-3</v>
      </c>
      <c r="AW26" s="19">
        <f t="shared" si="23"/>
        <v>2331838.8640810736</v>
      </c>
      <c r="AX26" s="19">
        <f t="shared" si="24"/>
        <v>1.6741918996244922</v>
      </c>
      <c r="AY26" s="20">
        <f t="shared" si="25"/>
        <v>0.47685866341126248</v>
      </c>
      <c r="AZ26" s="8"/>
      <c r="BA26" s="18">
        <f t="shared" si="26"/>
        <v>910974.07196693635</v>
      </c>
      <c r="BB26" s="19">
        <f t="shared" si="27"/>
        <v>4.6494421680146685</v>
      </c>
      <c r="BC26" s="20">
        <f t="shared" si="28"/>
        <v>0.19803784173194269</v>
      </c>
      <c r="BD26" s="8"/>
      <c r="BE26" s="8"/>
      <c r="BF26" s="18">
        <v>1.6000000000000001E-3</v>
      </c>
      <c r="BG26" s="19">
        <f t="shared" si="29"/>
        <v>3037551.7336699604</v>
      </c>
      <c r="BH26" s="19">
        <f t="shared" si="30"/>
        <v>1.6741918996244922</v>
      </c>
      <c r="BI26" s="20">
        <f t="shared" si="31"/>
        <v>0.62117622365438863</v>
      </c>
      <c r="BJ26" s="74"/>
      <c r="BK26" s="18">
        <f t="shared" si="32"/>
        <v>1120178.9268516742</v>
      </c>
      <c r="BL26" s="19">
        <f t="shared" si="33"/>
        <v>4.6494421680146685</v>
      </c>
      <c r="BM26" s="20">
        <f t="shared" si="34"/>
        <v>0.24351715801123353</v>
      </c>
      <c r="BN26" s="8"/>
    </row>
    <row r="27" spans="1:66" ht="16.5" thickBot="1" x14ac:dyDescent="0.3">
      <c r="A27" s="33" t="s">
        <v>23</v>
      </c>
      <c r="B27" s="34" t="s">
        <v>35</v>
      </c>
      <c r="C27" s="35">
        <f>(1+$D$10*(1-0.85^0.5))^2</f>
        <v>1.0620548810096209</v>
      </c>
      <c r="D27" s="35">
        <f>(1+$D$10*(1-1^0.5))^2</f>
        <v>1</v>
      </c>
      <c r="E27" s="36">
        <f>(1+$D$10*(1-1.2^0.5))^2</f>
        <v>0.9266494827192896</v>
      </c>
      <c r="G27" s="18">
        <v>1.8E-3</v>
      </c>
      <c r="H27" s="19">
        <f t="shared" si="35"/>
        <v>1676814.0917894063</v>
      </c>
      <c r="I27" s="19">
        <f t="shared" si="36"/>
        <v>1.8834658870775538</v>
      </c>
      <c r="J27" s="20">
        <f t="shared" si="37"/>
        <v>0.3429067672370974</v>
      </c>
      <c r="K27" s="8"/>
      <c r="L27" s="18">
        <f t="shared" si="2"/>
        <v>683814.778152165</v>
      </c>
      <c r="M27" s="19">
        <f t="shared" si="3"/>
        <v>5.2306224390165017</v>
      </c>
      <c r="N27" s="20">
        <f t="shared" si="4"/>
        <v>0.14865538655481847</v>
      </c>
      <c r="O27" s="8"/>
      <c r="P27" s="8"/>
      <c r="Q27" s="18">
        <v>1.8E-3</v>
      </c>
      <c r="R27" s="19">
        <f t="shared" si="5"/>
        <v>2158116.9420643398</v>
      </c>
      <c r="S27" s="19">
        <f t="shared" si="6"/>
        <v>1.8834658870775538</v>
      </c>
      <c r="T27" s="20">
        <f t="shared" si="7"/>
        <v>0.44133270798861751</v>
      </c>
      <c r="U27" s="8"/>
      <c r="V27" s="18">
        <f t="shared" si="8"/>
        <v>823546.70036729961</v>
      </c>
      <c r="W27" s="19">
        <f t="shared" si="9"/>
        <v>5.2306224390165017</v>
      </c>
      <c r="X27" s="20">
        <f t="shared" si="10"/>
        <v>0.17903189138419556</v>
      </c>
      <c r="Y27" s="8"/>
      <c r="Z27" s="8"/>
      <c r="AA27" s="18">
        <v>1.8E-3</v>
      </c>
      <c r="AB27" s="19">
        <f t="shared" si="11"/>
        <v>2785729.5551307471</v>
      </c>
      <c r="AC27" s="19">
        <f t="shared" si="12"/>
        <v>1.8834658870775538</v>
      </c>
      <c r="AD27" s="20">
        <f t="shared" si="13"/>
        <v>0.56967884563000959</v>
      </c>
      <c r="AE27" s="8"/>
      <c r="AF27" s="18">
        <f t="shared" si="14"/>
        <v>1008948.8038226441</v>
      </c>
      <c r="AG27" s="19">
        <f t="shared" si="15"/>
        <v>5.2306224390165017</v>
      </c>
      <c r="AH27" s="20">
        <f t="shared" si="16"/>
        <v>0.21933669648318349</v>
      </c>
      <c r="AI27" s="8"/>
      <c r="AJ27" s="8"/>
      <c r="AK27" s="8"/>
      <c r="AL27" s="18">
        <v>1.8E-3</v>
      </c>
      <c r="AM27" s="19">
        <f t="shared" si="17"/>
        <v>1654369.9593063635</v>
      </c>
      <c r="AN27" s="19">
        <f t="shared" si="18"/>
        <v>1.8834658870775538</v>
      </c>
      <c r="AO27" s="20">
        <f t="shared" si="19"/>
        <v>0.33831696509332587</v>
      </c>
      <c r="AP27" s="8"/>
      <c r="AQ27" s="18">
        <f t="shared" si="20"/>
        <v>679501.85355772031</v>
      </c>
      <c r="AR27" s="19">
        <f t="shared" si="21"/>
        <v>5.2306224390165017</v>
      </c>
      <c r="AS27" s="20">
        <f t="shared" si="22"/>
        <v>0.14771779425167833</v>
      </c>
      <c r="AT27" s="8"/>
      <c r="AU27" s="8"/>
      <c r="AV27" s="18">
        <v>1.8E-3</v>
      </c>
      <c r="AW27" s="19">
        <f t="shared" si="23"/>
        <v>2125032.2964397133</v>
      </c>
      <c r="AX27" s="19">
        <f t="shared" si="24"/>
        <v>1.8834658870775538</v>
      </c>
      <c r="AY27" s="20">
        <f t="shared" si="25"/>
        <v>0.43456693178726247</v>
      </c>
      <c r="AZ27" s="8"/>
      <c r="BA27" s="18">
        <f t="shared" si="26"/>
        <v>817104.93740063347</v>
      </c>
      <c r="BB27" s="19">
        <f t="shared" si="27"/>
        <v>5.2306224390165017</v>
      </c>
      <c r="BC27" s="20">
        <f t="shared" si="28"/>
        <v>0.17763150813057249</v>
      </c>
      <c r="BD27" s="8"/>
      <c r="BE27" s="8"/>
      <c r="BF27" s="18">
        <v>1.8E-3</v>
      </c>
      <c r="BG27" s="19">
        <f t="shared" si="29"/>
        <v>2740878.2864209535</v>
      </c>
      <c r="BH27" s="19">
        <f t="shared" si="30"/>
        <v>1.8834658870775538</v>
      </c>
      <c r="BI27" s="20">
        <f t="shared" si="31"/>
        <v>0.56050680703904976</v>
      </c>
      <c r="BJ27" s="74"/>
      <c r="BK27" s="18">
        <f t="shared" si="32"/>
        <v>1002062.6273841998</v>
      </c>
      <c r="BL27" s="19">
        <f t="shared" si="33"/>
        <v>5.2306224390165017</v>
      </c>
      <c r="BM27" s="20">
        <f t="shared" si="34"/>
        <v>0.21783970160526081</v>
      </c>
      <c r="BN27" s="8"/>
    </row>
    <row r="28" spans="1:66" ht="15.75" x14ac:dyDescent="0.25">
      <c r="B28" s="10"/>
      <c r="C28" s="10"/>
      <c r="D28" s="10"/>
      <c r="E28" s="10"/>
      <c r="G28" s="18">
        <v>2E-3</v>
      </c>
      <c r="H28" s="19">
        <f t="shared" si="35"/>
        <v>1554143.9408112406</v>
      </c>
      <c r="I28" s="19">
        <f t="shared" si="36"/>
        <v>2.0927398745306154</v>
      </c>
      <c r="J28" s="20">
        <f t="shared" si="37"/>
        <v>0.31782084679166472</v>
      </c>
      <c r="K28" s="8"/>
      <c r="L28" s="18">
        <f t="shared" si="2"/>
        <v>621048.84783879714</v>
      </c>
      <c r="M28" s="19">
        <f t="shared" si="3"/>
        <v>5.8118027100183349</v>
      </c>
      <c r="N28" s="20">
        <f t="shared" si="4"/>
        <v>0.13501061909539069</v>
      </c>
      <c r="O28" s="8"/>
      <c r="P28" s="8"/>
      <c r="Q28" s="18">
        <v>2E-3</v>
      </c>
      <c r="R28" s="19">
        <f t="shared" si="5"/>
        <v>1979237.488605699</v>
      </c>
      <c r="S28" s="19">
        <f t="shared" si="6"/>
        <v>2.0927398745306154</v>
      </c>
      <c r="T28" s="20">
        <f t="shared" si="7"/>
        <v>0.40475204265965214</v>
      </c>
      <c r="U28" s="8"/>
      <c r="V28" s="18">
        <f t="shared" si="8"/>
        <v>746108.4666364009</v>
      </c>
      <c r="W28" s="19">
        <f t="shared" si="9"/>
        <v>5.8118027100183349</v>
      </c>
      <c r="X28" s="20">
        <f t="shared" si="10"/>
        <v>0.16219749274704368</v>
      </c>
      <c r="Y28" s="8"/>
      <c r="Z28" s="8"/>
      <c r="AA28" s="18">
        <v>2E-3</v>
      </c>
      <c r="AB28" s="19">
        <f t="shared" si="11"/>
        <v>2534537.4878505473</v>
      </c>
      <c r="AC28" s="19">
        <f t="shared" si="12"/>
        <v>2.0927398745306154</v>
      </c>
      <c r="AD28" s="20">
        <f t="shared" si="13"/>
        <v>0.51831032471381333</v>
      </c>
      <c r="AE28" s="8"/>
      <c r="AF28" s="18">
        <f t="shared" si="14"/>
        <v>912118.65364062448</v>
      </c>
      <c r="AG28" s="19">
        <f t="shared" si="15"/>
        <v>5.8118027100183349</v>
      </c>
      <c r="AH28" s="20">
        <f t="shared" si="16"/>
        <v>0.19828666383491836</v>
      </c>
      <c r="AI28" s="8"/>
      <c r="AJ28" s="8"/>
      <c r="AK28" s="8"/>
      <c r="AL28" s="18">
        <v>2E-3</v>
      </c>
      <c r="AM28" s="19">
        <f t="shared" si="17"/>
        <v>1534444.6607607021</v>
      </c>
      <c r="AN28" s="19">
        <f t="shared" si="18"/>
        <v>2.0927398745306154</v>
      </c>
      <c r="AO28" s="20">
        <f t="shared" si="19"/>
        <v>0.31379236416374279</v>
      </c>
      <c r="AP28" s="8"/>
      <c r="AQ28" s="18">
        <f t="shared" si="20"/>
        <v>617476.10633441759</v>
      </c>
      <c r="AR28" s="19">
        <f t="shared" si="21"/>
        <v>5.8118027100183349</v>
      </c>
      <c r="AS28" s="20">
        <f t="shared" si="22"/>
        <v>0.13423393615965601</v>
      </c>
      <c r="AT28" s="8"/>
      <c r="AU28" s="8"/>
      <c r="AV28" s="18">
        <v>2E-3</v>
      </c>
      <c r="AW28" s="19">
        <f t="shared" si="23"/>
        <v>1951058.7061062425</v>
      </c>
      <c r="AX28" s="19">
        <f t="shared" si="24"/>
        <v>2.0927398745306154</v>
      </c>
      <c r="AY28" s="20">
        <f t="shared" si="25"/>
        <v>0.39898951045117431</v>
      </c>
      <c r="AZ28" s="8"/>
      <c r="BA28" s="18">
        <f t="shared" si="26"/>
        <v>740732.16322048544</v>
      </c>
      <c r="BB28" s="19">
        <f t="shared" si="27"/>
        <v>5.8118027100183349</v>
      </c>
      <c r="BC28" s="20">
        <f t="shared" si="28"/>
        <v>0.16102873113488814</v>
      </c>
      <c r="BD28" s="8"/>
      <c r="BE28" s="8"/>
      <c r="BF28" s="18">
        <v>2E-3</v>
      </c>
      <c r="BG28" s="19">
        <f t="shared" si="29"/>
        <v>2496993.903125131</v>
      </c>
      <c r="BH28" s="19">
        <f t="shared" si="30"/>
        <v>2.0927398745306154</v>
      </c>
      <c r="BI28" s="20">
        <f t="shared" si="31"/>
        <v>0.51063270002558914</v>
      </c>
      <c r="BJ28" s="74"/>
      <c r="BK28" s="18">
        <f t="shared" si="32"/>
        <v>906470.30204400083</v>
      </c>
      <c r="BL28" s="19">
        <f t="shared" si="33"/>
        <v>5.8118027100183349</v>
      </c>
      <c r="BM28" s="20">
        <f t="shared" si="34"/>
        <v>0.19705876131391323</v>
      </c>
      <c r="BN28" s="8"/>
    </row>
    <row r="29" spans="1:66" ht="15.75" x14ac:dyDescent="0.25">
      <c r="G29" s="18">
        <v>2.2000000000000001E-3</v>
      </c>
      <c r="H29" s="19">
        <f t="shared" si="35"/>
        <v>1446731.9083940282</v>
      </c>
      <c r="I29" s="19">
        <f t="shared" si="36"/>
        <v>2.302013861983677</v>
      </c>
      <c r="J29" s="20">
        <f t="shared" si="37"/>
        <v>0.29585519599059884</v>
      </c>
      <c r="K29" s="8"/>
      <c r="L29" s="18">
        <f t="shared" si="2"/>
        <v>568784.2805360069</v>
      </c>
      <c r="M29" s="19">
        <f t="shared" si="3"/>
        <v>6.3929829810201682</v>
      </c>
      <c r="N29" s="20">
        <f t="shared" si="4"/>
        <v>0.12364875663826237</v>
      </c>
      <c r="O29" s="8"/>
      <c r="P29" s="8"/>
      <c r="Q29" s="18">
        <v>2.2000000000000001E-3</v>
      </c>
      <c r="R29" s="19">
        <f t="shared" si="5"/>
        <v>1827144.9321530918</v>
      </c>
      <c r="S29" s="19">
        <f t="shared" si="6"/>
        <v>2.302013861983677</v>
      </c>
      <c r="T29" s="20">
        <f t="shared" si="7"/>
        <v>0.37364927037895534</v>
      </c>
      <c r="U29" s="8"/>
      <c r="V29" s="18">
        <f t="shared" si="8"/>
        <v>681954.20750350063</v>
      </c>
      <c r="W29" s="19">
        <f t="shared" si="9"/>
        <v>6.3929829810201682</v>
      </c>
      <c r="X29" s="20">
        <f t="shared" si="10"/>
        <v>0.14825091467467405</v>
      </c>
      <c r="Y29" s="8"/>
      <c r="Z29" s="8"/>
      <c r="AA29" s="18">
        <v>2.2000000000000001E-3</v>
      </c>
      <c r="AB29" s="19">
        <f t="shared" si="11"/>
        <v>2324830.8270743974</v>
      </c>
      <c r="AC29" s="19">
        <f t="shared" si="12"/>
        <v>2.302013861983677</v>
      </c>
      <c r="AD29" s="20">
        <f t="shared" si="13"/>
        <v>0.4754255270090792</v>
      </c>
      <c r="AE29" s="8"/>
      <c r="AF29" s="18">
        <f t="shared" si="14"/>
        <v>832238.38935202046</v>
      </c>
      <c r="AG29" s="19">
        <f t="shared" si="15"/>
        <v>6.3929829810201682</v>
      </c>
      <c r="AH29" s="20">
        <f t="shared" si="16"/>
        <v>0.18092138898956966</v>
      </c>
      <c r="AI29" s="8"/>
      <c r="AJ29" s="8"/>
      <c r="AK29" s="8"/>
      <c r="AL29" s="18">
        <v>2.2000000000000001E-3</v>
      </c>
      <c r="AM29" s="19">
        <f t="shared" si="17"/>
        <v>1429389.7912415054</v>
      </c>
      <c r="AN29" s="19">
        <f t="shared" si="18"/>
        <v>2.302013861983677</v>
      </c>
      <c r="AO29" s="20">
        <f t="shared" si="19"/>
        <v>0.29230875076513402</v>
      </c>
      <c r="AP29" s="8"/>
      <c r="AQ29" s="18">
        <f t="shared" si="20"/>
        <v>565777.37413242937</v>
      </c>
      <c r="AR29" s="19">
        <f t="shared" si="21"/>
        <v>6.3929829810201682</v>
      </c>
      <c r="AS29" s="20">
        <f t="shared" si="22"/>
        <v>0.12299508133313682</v>
      </c>
      <c r="AT29" s="8"/>
      <c r="AU29" s="8"/>
      <c r="AV29" s="18">
        <v>2.2000000000000001E-3</v>
      </c>
      <c r="AW29" s="19">
        <f t="shared" si="23"/>
        <v>1802892.1885796762</v>
      </c>
      <c r="AX29" s="19">
        <f t="shared" si="24"/>
        <v>2.302013861983677</v>
      </c>
      <c r="AY29" s="20">
        <f t="shared" si="25"/>
        <v>0.36868960911649823</v>
      </c>
      <c r="AZ29" s="8"/>
      <c r="BA29" s="18">
        <f t="shared" si="26"/>
        <v>677390.73669568205</v>
      </c>
      <c r="BB29" s="19">
        <f t="shared" si="27"/>
        <v>6.3929829810201682</v>
      </c>
      <c r="BC29" s="20">
        <f t="shared" si="28"/>
        <v>0.14725885580340914</v>
      </c>
      <c r="BD29" s="8"/>
      <c r="BE29" s="8"/>
      <c r="BF29" s="18">
        <v>2.2000000000000001E-3</v>
      </c>
      <c r="BG29" s="19">
        <f t="shared" si="29"/>
        <v>2292954.4127868521</v>
      </c>
      <c r="BH29" s="19">
        <f t="shared" si="30"/>
        <v>2.302013861983677</v>
      </c>
      <c r="BI29" s="20">
        <f t="shared" si="31"/>
        <v>0.46890683288074686</v>
      </c>
      <c r="BJ29" s="74"/>
      <c r="BK29" s="18">
        <f t="shared" si="32"/>
        <v>827522.06954531628</v>
      </c>
      <c r="BL29" s="19">
        <f t="shared" si="33"/>
        <v>6.3929829810201682</v>
      </c>
      <c r="BM29" s="20">
        <f t="shared" si="34"/>
        <v>0.17989610207506876</v>
      </c>
      <c r="BN29" s="8"/>
    </row>
    <row r="30" spans="1:66" ht="15.75" x14ac:dyDescent="0.25">
      <c r="G30" s="18">
        <v>2.3999999999999998E-3</v>
      </c>
      <c r="H30" s="19">
        <f t="shared" si="35"/>
        <v>1352297.0572677837</v>
      </c>
      <c r="I30" s="19">
        <f t="shared" si="36"/>
        <v>2.5112878494367381</v>
      </c>
      <c r="J30" s="20">
        <f t="shared" si="37"/>
        <v>0.27654336549443431</v>
      </c>
      <c r="K30" s="8"/>
      <c r="L30" s="18">
        <f t="shared" si="2"/>
        <v>524600.76192940597</v>
      </c>
      <c r="M30" s="19">
        <f t="shared" si="3"/>
        <v>6.9741632520220005</v>
      </c>
      <c r="N30" s="20">
        <f t="shared" si="4"/>
        <v>0.11404364389769694</v>
      </c>
      <c r="O30" s="8"/>
      <c r="P30" s="8"/>
      <c r="Q30" s="18">
        <v>2.3999999999999998E-3</v>
      </c>
      <c r="R30" s="19">
        <f t="shared" si="5"/>
        <v>1696381.3929771588</v>
      </c>
      <c r="S30" s="19">
        <f t="shared" si="6"/>
        <v>2.5112878494367381</v>
      </c>
      <c r="T30" s="20">
        <f t="shared" si="7"/>
        <v>0.34690826032252736</v>
      </c>
      <c r="U30" s="8"/>
      <c r="V30" s="18">
        <f t="shared" si="8"/>
        <v>627941.7493682995</v>
      </c>
      <c r="W30" s="19">
        <f t="shared" si="9"/>
        <v>6.9741632520220005</v>
      </c>
      <c r="X30" s="20">
        <f t="shared" si="10"/>
        <v>0.13650907594963033</v>
      </c>
      <c r="Y30" s="8"/>
      <c r="Z30" s="8"/>
      <c r="AA30" s="18">
        <v>2.3999999999999998E-3</v>
      </c>
      <c r="AB30" s="19">
        <f t="shared" si="11"/>
        <v>2147127.1429180186</v>
      </c>
      <c r="AC30" s="19">
        <f t="shared" si="12"/>
        <v>2.5112878494367381</v>
      </c>
      <c r="AD30" s="20">
        <f t="shared" si="13"/>
        <v>0.43908530530020828</v>
      </c>
      <c r="AE30" s="8"/>
      <c r="AF30" s="18">
        <f t="shared" si="14"/>
        <v>765217.38710029633</v>
      </c>
      <c r="AG30" s="19">
        <f t="shared" si="15"/>
        <v>6.9741632520220005</v>
      </c>
      <c r="AH30" s="20">
        <f t="shared" si="16"/>
        <v>0.16635160589136877</v>
      </c>
      <c r="AI30" s="8"/>
      <c r="AJ30" s="8"/>
      <c r="AK30" s="8"/>
      <c r="AL30" s="18">
        <v>2.3999999999999998E-3</v>
      </c>
      <c r="AM30" s="19">
        <f t="shared" si="17"/>
        <v>1336961.1076739335</v>
      </c>
      <c r="AN30" s="19">
        <f t="shared" si="18"/>
        <v>2.5112878494367381</v>
      </c>
      <c r="AO30" s="20">
        <f t="shared" si="19"/>
        <v>0.27340717948342197</v>
      </c>
      <c r="AP30" s="8"/>
      <c r="AQ30" s="18">
        <f t="shared" si="20"/>
        <v>522035.7890528451</v>
      </c>
      <c r="AR30" s="19">
        <f t="shared" si="21"/>
        <v>6.9741632520220005</v>
      </c>
      <c r="AS30" s="20">
        <f t="shared" si="22"/>
        <v>0.11348604109844458</v>
      </c>
      <c r="AT30" s="8"/>
      <c r="AU30" s="8"/>
      <c r="AV30" s="18">
        <v>2.3999999999999998E-3</v>
      </c>
      <c r="AW30" s="19">
        <f t="shared" si="23"/>
        <v>1675308.4794157718</v>
      </c>
      <c r="AX30" s="19">
        <f t="shared" si="24"/>
        <v>2.5112878494367381</v>
      </c>
      <c r="AY30" s="20">
        <f t="shared" si="25"/>
        <v>0.34259887104617009</v>
      </c>
      <c r="AZ30" s="8"/>
      <c r="BA30" s="18">
        <f t="shared" si="26"/>
        <v>624012.99807791773</v>
      </c>
      <c r="BB30" s="19">
        <f t="shared" si="27"/>
        <v>6.9741632520220005</v>
      </c>
      <c r="BC30" s="20">
        <f t="shared" si="28"/>
        <v>0.13565499958215602</v>
      </c>
      <c r="BD30" s="8"/>
      <c r="BE30" s="8"/>
      <c r="BF30" s="18">
        <v>2.3999999999999998E-3</v>
      </c>
      <c r="BG30" s="19">
        <f t="shared" si="29"/>
        <v>2119731.4105223017</v>
      </c>
      <c r="BH30" s="19">
        <f t="shared" si="30"/>
        <v>2.5112878494367381</v>
      </c>
      <c r="BI30" s="20">
        <f t="shared" si="31"/>
        <v>0.43348290603728051</v>
      </c>
      <c r="BJ30" s="74"/>
      <c r="BK30" s="18">
        <f t="shared" si="32"/>
        <v>761220.24996989139</v>
      </c>
      <c r="BL30" s="19">
        <f t="shared" si="33"/>
        <v>6.9741632520220005</v>
      </c>
      <c r="BM30" s="20">
        <f t="shared" si="34"/>
        <v>0.1654826630369329</v>
      </c>
      <c r="BN30" s="8"/>
    </row>
    <row r="31" spans="1:66" ht="15.75" x14ac:dyDescent="0.25">
      <c r="G31" s="18">
        <v>2.5999999999999999E-3</v>
      </c>
      <c r="H31" s="19">
        <f t="shared" si="35"/>
        <v>1268845.5191518655</v>
      </c>
      <c r="I31" s="19">
        <f t="shared" si="36"/>
        <v>2.7205618368898001</v>
      </c>
      <c r="J31" s="20">
        <f t="shared" si="37"/>
        <v>0.25947761127850011</v>
      </c>
      <c r="K31" s="8"/>
      <c r="L31" s="18">
        <f t="shared" si="2"/>
        <v>486765.40902545676</v>
      </c>
      <c r="M31" s="19">
        <f t="shared" si="3"/>
        <v>7.5553435230238355</v>
      </c>
      <c r="N31" s="20">
        <f t="shared" si="4"/>
        <v>0.10581856717944713</v>
      </c>
      <c r="O31" s="8"/>
      <c r="P31" s="8"/>
      <c r="Q31" s="18">
        <v>2.5999999999999999E-3</v>
      </c>
      <c r="R31" s="19">
        <f t="shared" si="5"/>
        <v>1582836.0142298657</v>
      </c>
      <c r="S31" s="19">
        <f t="shared" si="6"/>
        <v>2.7205618368898001</v>
      </c>
      <c r="T31" s="20">
        <f t="shared" si="7"/>
        <v>0.32368834646827521</v>
      </c>
      <c r="U31" s="8"/>
      <c r="V31" s="18">
        <f t="shared" si="8"/>
        <v>581845.87076951284</v>
      </c>
      <c r="W31" s="19">
        <f t="shared" si="9"/>
        <v>7.5553435230238355</v>
      </c>
      <c r="X31" s="20">
        <f t="shared" si="10"/>
        <v>0.12648823277598106</v>
      </c>
      <c r="Y31" s="8"/>
      <c r="Z31" s="8"/>
      <c r="AA31" s="18">
        <v>2.5999999999999999E-3</v>
      </c>
      <c r="AB31" s="19">
        <f t="shared" si="11"/>
        <v>1994627.4058029279</v>
      </c>
      <c r="AC31" s="19">
        <f t="shared" si="12"/>
        <v>2.7205618368898001</v>
      </c>
      <c r="AD31" s="20">
        <f t="shared" si="13"/>
        <v>0.40789926499037382</v>
      </c>
      <c r="AE31" s="8"/>
      <c r="AF31" s="18">
        <f t="shared" si="14"/>
        <v>708182.85255050473</v>
      </c>
      <c r="AG31" s="19">
        <f t="shared" si="15"/>
        <v>7.5553435230238355</v>
      </c>
      <c r="AH31" s="20">
        <f t="shared" si="16"/>
        <v>0.15395279403271842</v>
      </c>
      <c r="AI31" s="8"/>
      <c r="AJ31" s="8"/>
      <c r="AK31" s="8"/>
      <c r="AL31" s="18">
        <v>2.5999999999999999E-3</v>
      </c>
      <c r="AM31" s="19">
        <f t="shared" si="17"/>
        <v>1255214.9909344735</v>
      </c>
      <c r="AN31" s="19">
        <f t="shared" si="18"/>
        <v>2.7205618368898001</v>
      </c>
      <c r="AO31" s="20">
        <f t="shared" si="19"/>
        <v>0.25669018219518885</v>
      </c>
      <c r="AP31" s="8"/>
      <c r="AQ31" s="18">
        <f t="shared" si="20"/>
        <v>484552.00788596668</v>
      </c>
      <c r="AR31" s="19">
        <f t="shared" si="21"/>
        <v>7.5553435230238355</v>
      </c>
      <c r="AS31" s="20">
        <f t="shared" si="22"/>
        <v>0.10533739301868841</v>
      </c>
      <c r="AT31" s="8"/>
      <c r="AU31" s="8"/>
      <c r="AV31" s="18">
        <v>2.5999999999999999E-3</v>
      </c>
      <c r="AW31" s="19">
        <f t="shared" si="23"/>
        <v>1564368.6856486429</v>
      </c>
      <c r="AX31" s="19">
        <f t="shared" si="24"/>
        <v>2.7205618368898001</v>
      </c>
      <c r="AY31" s="20">
        <f t="shared" si="25"/>
        <v>0.3199117966561642</v>
      </c>
      <c r="AZ31" s="8"/>
      <c r="BA31" s="18">
        <f t="shared" si="26"/>
        <v>578422.62230999081</v>
      </c>
      <c r="BB31" s="19">
        <f t="shared" si="27"/>
        <v>7.5553435230238355</v>
      </c>
      <c r="BC31" s="20">
        <f t="shared" si="28"/>
        <v>0.12574404832825886</v>
      </c>
      <c r="BD31" s="8"/>
      <c r="BE31" s="8"/>
      <c r="BF31" s="18">
        <v>2.5999999999999999E-3</v>
      </c>
      <c r="BG31" s="19">
        <f t="shared" si="29"/>
        <v>1970833.844054797</v>
      </c>
      <c r="BH31" s="19">
        <f t="shared" si="30"/>
        <v>2.7205618368898001</v>
      </c>
      <c r="BI31" s="20">
        <f t="shared" si="31"/>
        <v>0.40303350594167625</v>
      </c>
      <c r="BJ31" s="74"/>
      <c r="BK31" s="18">
        <f t="shared" si="32"/>
        <v>704752.21100432042</v>
      </c>
      <c r="BL31" s="19">
        <f t="shared" si="33"/>
        <v>7.5553435230238355</v>
      </c>
      <c r="BM31" s="20">
        <f t="shared" si="34"/>
        <v>0.15320700239224358</v>
      </c>
      <c r="BN31" s="8"/>
    </row>
    <row r="32" spans="1:66" ht="15.75" x14ac:dyDescent="0.25">
      <c r="G32" s="18">
        <v>2.8E-3</v>
      </c>
      <c r="H32" s="19">
        <f t="shared" si="35"/>
        <v>1194699.2211463184</v>
      </c>
      <c r="I32" s="19">
        <f t="shared" si="36"/>
        <v>2.9298358243428617</v>
      </c>
      <c r="J32" s="20">
        <f t="shared" si="37"/>
        <v>0.24431476915057634</v>
      </c>
      <c r="K32" s="8"/>
      <c r="L32" s="18">
        <f t="shared" si="2"/>
        <v>454005.96422648983</v>
      </c>
      <c r="M32" s="19">
        <f t="shared" si="3"/>
        <v>8.1365237940256687</v>
      </c>
      <c r="N32" s="20">
        <f t="shared" si="4"/>
        <v>9.8696948744889088E-2</v>
      </c>
      <c r="O32" s="8"/>
      <c r="P32" s="8"/>
      <c r="Q32" s="18">
        <v>2.8E-3</v>
      </c>
      <c r="R32" s="19">
        <f t="shared" si="5"/>
        <v>1483368.1671293923</v>
      </c>
      <c r="S32" s="19">
        <f t="shared" si="6"/>
        <v>2.9298358243428617</v>
      </c>
      <c r="T32" s="20">
        <f t="shared" si="7"/>
        <v>0.30334727344159351</v>
      </c>
      <c r="U32" s="8"/>
      <c r="V32" s="18">
        <f t="shared" si="8"/>
        <v>542047.07712627132</v>
      </c>
      <c r="W32" s="19">
        <f t="shared" si="9"/>
        <v>8.1365237940256687</v>
      </c>
      <c r="X32" s="20">
        <f t="shared" si="10"/>
        <v>0.11783632111440681</v>
      </c>
      <c r="Y32" s="8"/>
      <c r="Z32" s="8"/>
      <c r="AA32" s="18">
        <v>2.8E-3</v>
      </c>
      <c r="AB32" s="19">
        <f t="shared" si="11"/>
        <v>1862329.7780780944</v>
      </c>
      <c r="AC32" s="19">
        <f t="shared" si="12"/>
        <v>2.9298358243428617</v>
      </c>
      <c r="AD32" s="20">
        <f t="shared" si="13"/>
        <v>0.3808445353942933</v>
      </c>
      <c r="AE32" s="8"/>
      <c r="AF32" s="18">
        <f t="shared" si="14"/>
        <v>659058.14954853035</v>
      </c>
      <c r="AG32" s="19">
        <f t="shared" si="15"/>
        <v>8.1365237940256687</v>
      </c>
      <c r="AH32" s="20">
        <f t="shared" si="16"/>
        <v>0.14327351077141964</v>
      </c>
      <c r="AI32" s="8"/>
      <c r="AJ32" s="8"/>
      <c r="AK32" s="8"/>
      <c r="AL32" s="18">
        <v>2.8E-3</v>
      </c>
      <c r="AM32" s="19">
        <f t="shared" si="17"/>
        <v>1182522.070095777</v>
      </c>
      <c r="AN32" s="19">
        <f t="shared" si="18"/>
        <v>2.9298358243428617</v>
      </c>
      <c r="AO32" s="20">
        <f t="shared" si="19"/>
        <v>0.24182455421181534</v>
      </c>
      <c r="AP32" s="8"/>
      <c r="AQ32" s="18">
        <f t="shared" si="20"/>
        <v>452076.73756554542</v>
      </c>
      <c r="AR32" s="19">
        <f t="shared" si="21"/>
        <v>8.1365237940256687</v>
      </c>
      <c r="AS32" s="20">
        <f t="shared" si="22"/>
        <v>9.8277551644683783E-2</v>
      </c>
      <c r="AT32" s="8"/>
      <c r="AU32" s="8"/>
      <c r="AV32" s="18">
        <v>2.8E-3</v>
      </c>
      <c r="AW32" s="19">
        <f t="shared" si="23"/>
        <v>1467059.2891553086</v>
      </c>
      <c r="AX32" s="19">
        <f t="shared" si="24"/>
        <v>2.9298358243428617</v>
      </c>
      <c r="AY32" s="20">
        <f t="shared" si="25"/>
        <v>0.30001212457163773</v>
      </c>
      <c r="AZ32" s="8"/>
      <c r="BA32" s="18">
        <f t="shared" si="26"/>
        <v>539033.2773291216</v>
      </c>
      <c r="BB32" s="19">
        <f t="shared" si="27"/>
        <v>8.1365237940256687</v>
      </c>
      <c r="BC32" s="20">
        <f t="shared" si="28"/>
        <v>0.11718114724546122</v>
      </c>
      <c r="BD32" s="8"/>
      <c r="BE32" s="8"/>
      <c r="BF32" s="18">
        <v>2.8E-3</v>
      </c>
      <c r="BG32" s="19">
        <f t="shared" si="29"/>
        <v>1841474.481303744</v>
      </c>
      <c r="BH32" s="19">
        <f t="shared" si="30"/>
        <v>2.9298358243428617</v>
      </c>
      <c r="BI32" s="20">
        <f t="shared" si="31"/>
        <v>0.376579648528373</v>
      </c>
      <c r="BJ32" s="74"/>
      <c r="BK32" s="18">
        <f t="shared" si="32"/>
        <v>656081.64433975425</v>
      </c>
      <c r="BL32" s="19">
        <f t="shared" si="33"/>
        <v>8.1365237940256687</v>
      </c>
      <c r="BM32" s="20">
        <f t="shared" si="34"/>
        <v>0.14262644442168571</v>
      </c>
      <c r="BN32" s="8"/>
    </row>
    <row r="33" spans="1:66" ht="15.75" x14ac:dyDescent="0.25">
      <c r="G33" s="18">
        <v>3.0000000000000001E-3</v>
      </c>
      <c r="H33" s="19">
        <f t="shared" si="35"/>
        <v>1128466.2793819294</v>
      </c>
      <c r="I33" s="19">
        <f t="shared" si="36"/>
        <v>3.1391098117959233</v>
      </c>
      <c r="J33" s="20">
        <f t="shared" si="37"/>
        <v>0.23077020028260314</v>
      </c>
      <c r="K33" s="8"/>
      <c r="L33" s="18">
        <f t="shared" si="2"/>
        <v>425367.82916604378</v>
      </c>
      <c r="M33" s="19">
        <f t="shared" si="3"/>
        <v>8.7177040650275028</v>
      </c>
      <c r="N33" s="20">
        <f t="shared" si="4"/>
        <v>9.247126721000952E-2</v>
      </c>
      <c r="O33" s="8"/>
      <c r="P33" s="8"/>
      <c r="Q33" s="18">
        <v>3.0000000000000001E-3</v>
      </c>
      <c r="R33" s="19">
        <f t="shared" si="5"/>
        <v>1395544.477492258</v>
      </c>
      <c r="S33" s="19">
        <f t="shared" si="6"/>
        <v>3.1391098117959233</v>
      </c>
      <c r="T33" s="20">
        <f t="shared" si="7"/>
        <v>0.28538741871007323</v>
      </c>
      <c r="U33" s="8"/>
      <c r="V33" s="18">
        <f t="shared" si="8"/>
        <v>507338.89339806524</v>
      </c>
      <c r="W33" s="19">
        <f t="shared" si="9"/>
        <v>8.7177040650275028</v>
      </c>
      <c r="X33" s="20">
        <f t="shared" si="10"/>
        <v>0.1102910637821881</v>
      </c>
      <c r="Y33" s="8"/>
      <c r="Z33" s="8"/>
      <c r="AA33" s="18">
        <v>3.0000000000000001E-3</v>
      </c>
      <c r="AB33" s="19">
        <f t="shared" si="11"/>
        <v>1746472.8657266449</v>
      </c>
      <c r="AC33" s="19">
        <f t="shared" si="12"/>
        <v>3.1391098117959233</v>
      </c>
      <c r="AD33" s="20">
        <f t="shared" si="13"/>
        <v>0.35715191528152246</v>
      </c>
      <c r="AE33" s="8"/>
      <c r="AF33" s="18">
        <f t="shared" si="14"/>
        <v>616304.93788900692</v>
      </c>
      <c r="AG33" s="19">
        <f t="shared" si="15"/>
        <v>8.7177040650275028</v>
      </c>
      <c r="AH33" s="20">
        <f t="shared" si="16"/>
        <v>0.13397933432369716</v>
      </c>
      <c r="AI33" s="8"/>
      <c r="AJ33" s="8"/>
      <c r="AK33" s="8"/>
      <c r="AL33" s="18">
        <v>3.0000000000000001E-3</v>
      </c>
      <c r="AM33" s="19">
        <f t="shared" si="17"/>
        <v>1117532.9800187282</v>
      </c>
      <c r="AN33" s="19">
        <f t="shared" si="18"/>
        <v>3.1391098117959233</v>
      </c>
      <c r="AO33" s="20">
        <f t="shared" si="19"/>
        <v>0.22853435174207121</v>
      </c>
      <c r="AP33" s="8"/>
      <c r="AQ33" s="18">
        <f t="shared" si="20"/>
        <v>423671.51371373667</v>
      </c>
      <c r="AR33" s="19">
        <f t="shared" si="21"/>
        <v>8.7177040650275028</v>
      </c>
      <c r="AS33" s="20">
        <f t="shared" si="22"/>
        <v>9.21025029812471E-2</v>
      </c>
      <c r="AT33" s="8"/>
      <c r="AU33" s="8"/>
      <c r="AV33" s="18">
        <v>3.0000000000000001E-3</v>
      </c>
      <c r="AW33" s="19">
        <f t="shared" si="23"/>
        <v>1381041.737025229</v>
      </c>
      <c r="AX33" s="19">
        <f t="shared" si="24"/>
        <v>3.1391098117959233</v>
      </c>
      <c r="AY33" s="20">
        <f t="shared" si="25"/>
        <v>0.2824216231135438</v>
      </c>
      <c r="AZ33" s="8"/>
      <c r="BA33" s="18">
        <f t="shared" si="26"/>
        <v>504661.62528514146</v>
      </c>
      <c r="BB33" s="19">
        <f t="shared" si="27"/>
        <v>8.7177040650275028</v>
      </c>
      <c r="BC33" s="20">
        <f t="shared" si="28"/>
        <v>0.10970904897503075</v>
      </c>
      <c r="BD33" s="8"/>
      <c r="BE33" s="8"/>
      <c r="BF33" s="18">
        <v>3.0000000000000001E-3</v>
      </c>
      <c r="BG33" s="19">
        <f t="shared" si="29"/>
        <v>1728045.0385671258</v>
      </c>
      <c r="BH33" s="19">
        <f t="shared" si="30"/>
        <v>3.1391098117959233</v>
      </c>
      <c r="BI33" s="20">
        <f t="shared" si="31"/>
        <v>0.35338344346975986</v>
      </c>
      <c r="BJ33" s="74"/>
      <c r="BK33" s="18">
        <f t="shared" si="32"/>
        <v>613698.05843217217</v>
      </c>
      <c r="BL33" s="19">
        <f t="shared" si="33"/>
        <v>8.7177040650275028</v>
      </c>
      <c r="BM33" s="20">
        <f t="shared" si="34"/>
        <v>0.13341262139829829</v>
      </c>
      <c r="BN33" s="8"/>
    </row>
    <row r="34" spans="1:66" ht="15.75" x14ac:dyDescent="0.25">
      <c r="G34" s="18">
        <v>3.2000000000000002E-3</v>
      </c>
      <c r="H34" s="19">
        <f t="shared" si="35"/>
        <v>1068996.9755598551</v>
      </c>
      <c r="I34" s="19">
        <f t="shared" si="36"/>
        <v>3.3483837992489844</v>
      </c>
      <c r="J34" s="20">
        <f t="shared" si="37"/>
        <v>0.21860878845804807</v>
      </c>
      <c r="K34" s="8"/>
      <c r="L34" s="18">
        <f t="shared" si="2"/>
        <v>400121.04287986644</v>
      </c>
      <c r="M34" s="19">
        <f t="shared" si="3"/>
        <v>9.2988843360293369</v>
      </c>
      <c r="N34" s="20">
        <f t="shared" si="4"/>
        <v>8.6982835408666623E-2</v>
      </c>
      <c r="O34" s="8"/>
      <c r="P34" s="8"/>
      <c r="Q34" s="18">
        <v>3.2000000000000002E-3</v>
      </c>
      <c r="R34" s="19">
        <f t="shared" si="5"/>
        <v>1317454.2367074755</v>
      </c>
      <c r="S34" s="19">
        <f t="shared" si="6"/>
        <v>3.3483837992489844</v>
      </c>
      <c r="T34" s="20">
        <f t="shared" si="7"/>
        <v>0.26941804431645716</v>
      </c>
      <c r="U34" s="8"/>
      <c r="V34" s="18">
        <f t="shared" si="8"/>
        <v>476804.23538403906</v>
      </c>
      <c r="W34" s="19">
        <f t="shared" si="9"/>
        <v>9.2988843360293369</v>
      </c>
      <c r="X34" s="20">
        <f t="shared" si="10"/>
        <v>0.10365309464870415</v>
      </c>
      <c r="Y34" s="8"/>
      <c r="Z34" s="8"/>
      <c r="AA34" s="18">
        <v>3.2000000000000002E-3</v>
      </c>
      <c r="AB34" s="19">
        <f t="shared" si="11"/>
        <v>1644173.8258775407</v>
      </c>
      <c r="AC34" s="19">
        <f t="shared" si="12"/>
        <v>3.3483837992489844</v>
      </c>
      <c r="AD34" s="20">
        <f t="shared" si="13"/>
        <v>0.33623186623262591</v>
      </c>
      <c r="AE34" s="8"/>
      <c r="AF34" s="18">
        <f t="shared" si="14"/>
        <v>578759.41090454475</v>
      </c>
      <c r="AG34" s="19">
        <f t="shared" si="15"/>
        <v>9.2988843360293369</v>
      </c>
      <c r="AH34" s="20">
        <f t="shared" si="16"/>
        <v>0.12581726324011844</v>
      </c>
      <c r="AI34" s="8"/>
      <c r="AJ34" s="8"/>
      <c r="AK34" s="8"/>
      <c r="AL34" s="18">
        <v>3.2000000000000002E-3</v>
      </c>
      <c r="AM34" s="19">
        <f t="shared" si="17"/>
        <v>1059133.5826022411</v>
      </c>
      <c r="AN34" s="19">
        <f t="shared" si="18"/>
        <v>3.3483837992489844</v>
      </c>
      <c r="AO34" s="20">
        <f t="shared" si="19"/>
        <v>0.21659173468348489</v>
      </c>
      <c r="AP34" s="8"/>
      <c r="AQ34" s="18">
        <f t="shared" si="20"/>
        <v>398617.97027767613</v>
      </c>
      <c r="AR34" s="19">
        <f t="shared" si="21"/>
        <v>9.2988843360293369</v>
      </c>
      <c r="AS34" s="20">
        <f t="shared" si="22"/>
        <v>8.6656080495146989E-2</v>
      </c>
      <c r="AT34" s="8"/>
      <c r="AU34" s="8"/>
      <c r="AV34" s="18">
        <v>3.2000000000000002E-3</v>
      </c>
      <c r="AW34" s="19">
        <f t="shared" si="23"/>
        <v>1304476.8433312983</v>
      </c>
      <c r="AX34" s="19">
        <f t="shared" si="24"/>
        <v>3.3483837992489844</v>
      </c>
      <c r="AY34" s="20">
        <f t="shared" si="25"/>
        <v>0.26676418064034729</v>
      </c>
      <c r="AZ34" s="8"/>
      <c r="BA34" s="18">
        <f t="shared" si="26"/>
        <v>474407.12541901821</v>
      </c>
      <c r="BB34" s="19">
        <f t="shared" si="27"/>
        <v>9.2988843360293369</v>
      </c>
      <c r="BC34" s="20">
        <f t="shared" si="28"/>
        <v>0.10313198378674308</v>
      </c>
      <c r="BD34" s="8"/>
      <c r="BE34" s="8"/>
      <c r="BF34" s="18">
        <v>3.2000000000000002E-3</v>
      </c>
      <c r="BG34" s="19">
        <f t="shared" si="29"/>
        <v>1627774.206017755</v>
      </c>
      <c r="BH34" s="19">
        <f t="shared" si="30"/>
        <v>3.3483837992489844</v>
      </c>
      <c r="BI34" s="20">
        <f t="shared" si="31"/>
        <v>0.33287816073982718</v>
      </c>
      <c r="BJ34" s="74"/>
      <c r="BK34" s="18">
        <f t="shared" si="32"/>
        <v>576457.37665257172</v>
      </c>
      <c r="BL34" s="19">
        <f t="shared" si="33"/>
        <v>9.2988843360293369</v>
      </c>
      <c r="BM34" s="20">
        <f t="shared" si="34"/>
        <v>0.12531682101142863</v>
      </c>
      <c r="BN34" s="8"/>
    </row>
    <row r="35" spans="1:66" ht="15.75" x14ac:dyDescent="0.25">
      <c r="G35" s="18">
        <v>3.3999999999999998E-3</v>
      </c>
      <c r="H35" s="19">
        <f t="shared" si="35"/>
        <v>1015340.7547102176</v>
      </c>
      <c r="I35" s="19">
        <f t="shared" si="36"/>
        <v>3.557657786702046</v>
      </c>
      <c r="J35" s="20">
        <f t="shared" si="37"/>
        <v>0.20763614615750872</v>
      </c>
      <c r="K35" s="8"/>
      <c r="L35" s="18">
        <f t="shared" si="2"/>
        <v>377698.04236048541</v>
      </c>
      <c r="M35" s="19">
        <f t="shared" si="3"/>
        <v>9.8800646070311693</v>
      </c>
      <c r="N35" s="20">
        <f t="shared" si="4"/>
        <v>8.2108270078366394E-2</v>
      </c>
      <c r="O35" s="8"/>
      <c r="P35" s="8"/>
      <c r="Q35" s="18">
        <v>3.3999999999999998E-3</v>
      </c>
      <c r="R35" s="19">
        <f t="shared" si="5"/>
        <v>1247578.3951520673</v>
      </c>
      <c r="S35" s="19">
        <f t="shared" si="6"/>
        <v>3.557657786702046</v>
      </c>
      <c r="T35" s="20">
        <f t="shared" si="7"/>
        <v>0.25512850616606692</v>
      </c>
      <c r="U35" s="8"/>
      <c r="V35" s="18">
        <f t="shared" si="8"/>
        <v>449733.63293136383</v>
      </c>
      <c r="W35" s="19">
        <f t="shared" si="9"/>
        <v>9.8800646070311693</v>
      </c>
      <c r="X35" s="20">
        <f t="shared" si="10"/>
        <v>9.7768181072035609E-2</v>
      </c>
      <c r="Y35" s="8"/>
      <c r="Z35" s="8"/>
      <c r="AA35" s="18">
        <v>3.3999999999999998E-3</v>
      </c>
      <c r="AB35" s="19">
        <f t="shared" si="11"/>
        <v>1553186.1476730299</v>
      </c>
      <c r="AC35" s="19">
        <f t="shared" si="12"/>
        <v>3.557657786702046</v>
      </c>
      <c r="AD35" s="20">
        <f t="shared" si="13"/>
        <v>0.31762497907423926</v>
      </c>
      <c r="AE35" s="8"/>
      <c r="AF35" s="18">
        <f t="shared" si="14"/>
        <v>545524.87601445196</v>
      </c>
      <c r="AG35" s="19">
        <f t="shared" si="15"/>
        <v>9.8800646070311693</v>
      </c>
      <c r="AH35" s="20">
        <f t="shared" si="16"/>
        <v>0.11859236435096782</v>
      </c>
      <c r="AI35" s="8"/>
      <c r="AJ35" s="8"/>
      <c r="AK35" s="8"/>
      <c r="AL35" s="18">
        <v>3.3999999999999998E-3</v>
      </c>
      <c r="AM35" s="19">
        <f t="shared" si="17"/>
        <v>1006402.5583556483</v>
      </c>
      <c r="AN35" s="19">
        <f t="shared" si="18"/>
        <v>3.557657786702046</v>
      </c>
      <c r="AO35" s="20">
        <f t="shared" si="19"/>
        <v>0.20580829414225937</v>
      </c>
      <c r="AP35" s="8"/>
      <c r="AQ35" s="18">
        <f t="shared" si="20"/>
        <v>376357.04576767329</v>
      </c>
      <c r="AR35" s="19">
        <f t="shared" si="21"/>
        <v>9.8800646070311693</v>
      </c>
      <c r="AS35" s="20">
        <f t="shared" si="22"/>
        <v>8.1816749079928974E-2</v>
      </c>
      <c r="AT35" s="8"/>
      <c r="AU35" s="8"/>
      <c r="AV35" s="18">
        <v>3.3999999999999998E-3</v>
      </c>
      <c r="AW35" s="19">
        <f t="shared" si="23"/>
        <v>1235900.1370878047</v>
      </c>
      <c r="AX35" s="19">
        <f t="shared" si="24"/>
        <v>3.557657786702046</v>
      </c>
      <c r="AY35" s="20">
        <f t="shared" si="25"/>
        <v>0.25274031433288441</v>
      </c>
      <c r="AZ35" s="8"/>
      <c r="BA35" s="18">
        <f t="shared" si="26"/>
        <v>447572.39284102473</v>
      </c>
      <c r="BB35" s="19">
        <f t="shared" si="27"/>
        <v>9.8800646070311693</v>
      </c>
      <c r="BC35" s="20">
        <f t="shared" si="28"/>
        <v>9.7298346269787991E-2</v>
      </c>
      <c r="BD35" s="8"/>
      <c r="BE35" s="8"/>
      <c r="BF35" s="18">
        <v>3.3999999999999998E-3</v>
      </c>
      <c r="BG35" s="19">
        <f t="shared" si="29"/>
        <v>1538498.2334289469</v>
      </c>
      <c r="BH35" s="19">
        <f t="shared" si="30"/>
        <v>3.557657786702046</v>
      </c>
      <c r="BI35" s="20">
        <f t="shared" si="31"/>
        <v>0.31462131562964152</v>
      </c>
      <c r="BJ35" s="74"/>
      <c r="BK35" s="18">
        <f t="shared" si="32"/>
        <v>543477.19973051292</v>
      </c>
      <c r="BL35" s="19">
        <f t="shared" si="33"/>
        <v>9.8800646070311693</v>
      </c>
      <c r="BM35" s="20">
        <f t="shared" si="34"/>
        <v>0.1181472173327202</v>
      </c>
      <c r="BN35" s="8"/>
    </row>
    <row r="36" spans="1:66" ht="15.75" x14ac:dyDescent="0.25">
      <c r="G36" s="18">
        <v>3.5999999999999999E-3</v>
      </c>
      <c r="H36" s="19">
        <f t="shared" si="35"/>
        <v>966708.9843794849</v>
      </c>
      <c r="I36" s="19">
        <f t="shared" si="36"/>
        <v>3.7669317741551076</v>
      </c>
      <c r="J36" s="20">
        <f t="shared" si="37"/>
        <v>0.19769099885061042</v>
      </c>
      <c r="K36" s="8"/>
      <c r="L36" s="18">
        <f t="shared" si="2"/>
        <v>357650.97805074335</v>
      </c>
      <c r="M36" s="19">
        <f t="shared" si="3"/>
        <v>10.461244878033003</v>
      </c>
      <c r="N36" s="20">
        <f t="shared" si="4"/>
        <v>7.7750212619726811E-2</v>
      </c>
      <c r="O36" s="8"/>
      <c r="P36" s="8"/>
      <c r="Q36" s="18">
        <v>3.5999999999999999E-3</v>
      </c>
      <c r="R36" s="19">
        <f t="shared" si="5"/>
        <v>1184695.3655726474</v>
      </c>
      <c r="S36" s="19">
        <f t="shared" si="6"/>
        <v>3.7669317741551076</v>
      </c>
      <c r="T36" s="20">
        <f t="shared" si="7"/>
        <v>0.24226899091465182</v>
      </c>
      <c r="U36" s="8"/>
      <c r="V36" s="18">
        <f t="shared" si="8"/>
        <v>425569.67499449529</v>
      </c>
      <c r="W36" s="19">
        <f t="shared" si="9"/>
        <v>10.461244878033003</v>
      </c>
      <c r="X36" s="20">
        <f t="shared" si="10"/>
        <v>9.2515146737933762E-2</v>
      </c>
      <c r="Y36" s="8"/>
      <c r="Z36" s="8"/>
      <c r="AA36" s="18">
        <v>3.5999999999999999E-3</v>
      </c>
      <c r="AB36" s="19">
        <f t="shared" si="11"/>
        <v>1471733.3531388689</v>
      </c>
      <c r="AC36" s="19">
        <f t="shared" si="12"/>
        <v>3.7669317741551076</v>
      </c>
      <c r="AD36" s="20">
        <f t="shared" si="13"/>
        <v>0.30096796587706931</v>
      </c>
      <c r="AE36" s="8"/>
      <c r="AF36" s="18">
        <f t="shared" si="14"/>
        <v>515899.29326839367</v>
      </c>
      <c r="AG36" s="19">
        <f t="shared" si="15"/>
        <v>10.461244878033003</v>
      </c>
      <c r="AH36" s="20">
        <f t="shared" si="16"/>
        <v>0.11215202027573776</v>
      </c>
      <c r="AI36" s="8"/>
      <c r="AJ36" s="8"/>
      <c r="AK36" s="8"/>
      <c r="AL36" s="18">
        <v>3.5999999999999999E-3</v>
      </c>
      <c r="AM36" s="19">
        <f t="shared" si="17"/>
        <v>958575.12886424572</v>
      </c>
      <c r="AN36" s="19">
        <f t="shared" si="18"/>
        <v>3.7669317741551076</v>
      </c>
      <c r="AO36" s="20">
        <f t="shared" si="19"/>
        <v>0.19602763371456969</v>
      </c>
      <c r="AP36" s="8"/>
      <c r="AQ36" s="18">
        <f t="shared" si="20"/>
        <v>356447.23611419572</v>
      </c>
      <c r="AR36" s="19">
        <f t="shared" si="21"/>
        <v>10.461244878033003</v>
      </c>
      <c r="AS36" s="20">
        <f t="shared" si="22"/>
        <v>7.7488529590042543E-2</v>
      </c>
      <c r="AT36" s="8"/>
      <c r="AU36" s="8"/>
      <c r="AV36" s="18">
        <v>3.5999999999999999E-3</v>
      </c>
      <c r="AW36" s="19">
        <f t="shared" si="23"/>
        <v>1174132.1600794531</v>
      </c>
      <c r="AX36" s="19">
        <f t="shared" si="24"/>
        <v>3.7669317741551076</v>
      </c>
      <c r="AY36" s="20">
        <f t="shared" si="25"/>
        <v>0.24010882619211721</v>
      </c>
      <c r="AZ36" s="8"/>
      <c r="BA36" s="18">
        <f t="shared" si="26"/>
        <v>423609.01352066989</v>
      </c>
      <c r="BB36" s="19">
        <f t="shared" si="27"/>
        <v>10.461244878033003</v>
      </c>
      <c r="BC36" s="20">
        <f t="shared" si="28"/>
        <v>9.208891598275433E-2</v>
      </c>
      <c r="BD36" s="8"/>
      <c r="BE36" s="8"/>
      <c r="BF36" s="18">
        <v>3.5999999999999999E-3</v>
      </c>
      <c r="BG36" s="19">
        <f t="shared" si="29"/>
        <v>1458503.0746114822</v>
      </c>
      <c r="BH36" s="19">
        <f t="shared" si="30"/>
        <v>3.7669317741551076</v>
      </c>
      <c r="BI36" s="20">
        <f t="shared" si="31"/>
        <v>0.29826238744611089</v>
      </c>
      <c r="BJ36" s="74"/>
      <c r="BK36" s="18">
        <f t="shared" si="32"/>
        <v>514066.04713543004</v>
      </c>
      <c r="BL36" s="19">
        <f t="shared" si="33"/>
        <v>10.461244878033003</v>
      </c>
      <c r="BM36" s="20">
        <f t="shared" si="34"/>
        <v>0.11175348850770218</v>
      </c>
      <c r="BN36" s="8"/>
    </row>
    <row r="37" spans="1:66" ht="15.75" x14ac:dyDescent="0.25">
      <c r="G37" s="18">
        <v>3.8E-3</v>
      </c>
      <c r="H37" s="19">
        <f t="shared" si="35"/>
        <v>922444.24282417714</v>
      </c>
      <c r="I37" s="19">
        <f t="shared" si="36"/>
        <v>3.9762057616081692</v>
      </c>
      <c r="J37" s="20">
        <f t="shared" si="37"/>
        <v>0.18863890446302192</v>
      </c>
      <c r="K37" s="8"/>
      <c r="L37" s="18">
        <f t="shared" si="2"/>
        <v>339621.79100106517</v>
      </c>
      <c r="M37" s="19">
        <f t="shared" si="3"/>
        <v>11.042425149034836</v>
      </c>
      <c r="N37" s="20">
        <f t="shared" si="4"/>
        <v>7.3830824130666342E-2</v>
      </c>
      <c r="O37" s="8"/>
      <c r="P37" s="8"/>
      <c r="Q37" s="18">
        <v>3.8E-3</v>
      </c>
      <c r="R37" s="19">
        <f t="shared" si="5"/>
        <v>1127812.3729546065</v>
      </c>
      <c r="S37" s="19">
        <f t="shared" si="6"/>
        <v>3.9762057616081692</v>
      </c>
      <c r="T37" s="20">
        <f t="shared" si="7"/>
        <v>0.2306364770868316</v>
      </c>
      <c r="U37" s="8"/>
      <c r="V37" s="18">
        <f t="shared" si="8"/>
        <v>403868.37328711548</v>
      </c>
      <c r="W37" s="19">
        <f t="shared" si="9"/>
        <v>11.042425149034836</v>
      </c>
      <c r="X37" s="20">
        <f t="shared" si="10"/>
        <v>8.7797472453720757E-2</v>
      </c>
      <c r="Y37" s="8"/>
      <c r="Z37" s="8"/>
      <c r="AA37" s="18">
        <v>3.8E-3</v>
      </c>
      <c r="AB37" s="19">
        <f t="shared" si="11"/>
        <v>1398392.240092359</v>
      </c>
      <c r="AC37" s="19">
        <f t="shared" si="12"/>
        <v>3.9762057616081692</v>
      </c>
      <c r="AD37" s="20">
        <f t="shared" si="13"/>
        <v>0.28596978324997119</v>
      </c>
      <c r="AE37" s="8"/>
      <c r="AF37" s="18">
        <f t="shared" si="14"/>
        <v>489325.18438974337</v>
      </c>
      <c r="AG37" s="19">
        <f t="shared" si="15"/>
        <v>11.042425149034836</v>
      </c>
      <c r="AH37" s="20">
        <f t="shared" si="16"/>
        <v>0.10637504008472683</v>
      </c>
      <c r="AI37" s="8"/>
      <c r="AJ37" s="8"/>
      <c r="AK37" s="8"/>
      <c r="AL37" s="18">
        <v>3.8E-3</v>
      </c>
      <c r="AM37" s="19">
        <f t="shared" si="17"/>
        <v>915013.31088207464</v>
      </c>
      <c r="AN37" s="19">
        <f t="shared" si="18"/>
        <v>3.9762057616081692</v>
      </c>
      <c r="AO37" s="20">
        <f t="shared" si="19"/>
        <v>0.18711928647895187</v>
      </c>
      <c r="AP37" s="8"/>
      <c r="AQ37" s="18">
        <f t="shared" si="20"/>
        <v>338535.29467740096</v>
      </c>
      <c r="AR37" s="19">
        <f t="shared" si="21"/>
        <v>11.042425149034836</v>
      </c>
      <c r="AS37" s="20">
        <f t="shared" si="22"/>
        <v>7.3594629277695861E-2</v>
      </c>
      <c r="AT37" s="8"/>
      <c r="AU37" s="8"/>
      <c r="AV37" s="18">
        <v>3.8E-3</v>
      </c>
      <c r="AW37" s="19">
        <f t="shared" si="23"/>
        <v>1118213.0167459713</v>
      </c>
      <c r="AX37" s="19">
        <f t="shared" si="24"/>
        <v>3.9762057616081692</v>
      </c>
      <c r="AY37" s="20">
        <f t="shared" si="25"/>
        <v>0.22867341855745835</v>
      </c>
      <c r="AZ37" s="8"/>
      <c r="BA37" s="18">
        <f t="shared" si="26"/>
        <v>402079.81052296853</v>
      </c>
      <c r="BB37" s="19">
        <f t="shared" si="27"/>
        <v>11.042425149034836</v>
      </c>
      <c r="BC37" s="20">
        <f t="shared" si="28"/>
        <v>8.7408654461514898E-2</v>
      </c>
      <c r="BD37" s="8"/>
      <c r="BE37" s="8"/>
      <c r="BF37" s="18">
        <v>3.8E-3</v>
      </c>
      <c r="BG37" s="19">
        <f t="shared" si="29"/>
        <v>1386413.3261410533</v>
      </c>
      <c r="BH37" s="19">
        <f t="shared" si="30"/>
        <v>3.9762057616081692</v>
      </c>
      <c r="BI37" s="20">
        <f t="shared" si="31"/>
        <v>0.28352010759530744</v>
      </c>
      <c r="BJ37" s="74"/>
      <c r="BK37" s="18">
        <f t="shared" si="32"/>
        <v>487674.37791252456</v>
      </c>
      <c r="BL37" s="19">
        <f t="shared" si="33"/>
        <v>11.042425149034836</v>
      </c>
      <c r="BM37" s="20">
        <f t="shared" si="34"/>
        <v>0.10601616911141838</v>
      </c>
      <c r="BN37" s="8"/>
    </row>
    <row r="38" spans="1:66" ht="16.5" thickBot="1" x14ac:dyDescent="0.3">
      <c r="G38" s="21">
        <v>4.0000000000000001E-3</v>
      </c>
      <c r="H38" s="22">
        <f t="shared" si="35"/>
        <v>881995.53481147822</v>
      </c>
      <c r="I38" s="22">
        <f t="shared" si="36"/>
        <v>4.1854797490612308</v>
      </c>
      <c r="J38" s="23">
        <f t="shared" si="37"/>
        <v>0.18036718503302213</v>
      </c>
      <c r="K38" s="8"/>
      <c r="L38" s="21">
        <f t="shared" si="2"/>
        <v>323320.82116973755</v>
      </c>
      <c r="M38" s="22">
        <f t="shared" si="3"/>
        <v>11.62360542003667</v>
      </c>
      <c r="N38" s="23">
        <f t="shared" si="4"/>
        <v>7.028713503689947E-2</v>
      </c>
      <c r="O38" s="8"/>
      <c r="P38" s="8"/>
      <c r="Q38" s="21">
        <v>4.0000000000000001E-3</v>
      </c>
      <c r="R38" s="22">
        <f t="shared" si="5"/>
        <v>1076114.7537699316</v>
      </c>
      <c r="S38" s="22">
        <f t="shared" si="6"/>
        <v>4.1854797490612308</v>
      </c>
      <c r="T38" s="23">
        <f t="shared" si="7"/>
        <v>0.2200643668241169</v>
      </c>
      <c r="U38" s="8"/>
      <c r="V38" s="21">
        <f t="shared" si="8"/>
        <v>384271.72838545335</v>
      </c>
      <c r="W38" s="22">
        <f t="shared" si="9"/>
        <v>11.62360542003667</v>
      </c>
      <c r="X38" s="23">
        <f t="shared" si="10"/>
        <v>8.353733225770725E-2</v>
      </c>
      <c r="Y38" s="8"/>
      <c r="Z38" s="8"/>
      <c r="AA38" s="21">
        <v>4.0000000000000001E-3</v>
      </c>
      <c r="AB38" s="22">
        <f t="shared" si="11"/>
        <v>1332009.2672581668</v>
      </c>
      <c r="AC38" s="22">
        <f>$G$6*AA38/(8.314*$G$5)</f>
        <v>4.1854797490612308</v>
      </c>
      <c r="AD38" s="23">
        <f t="shared" si="13"/>
        <v>0.27239453318162921</v>
      </c>
      <c r="AE38" s="8"/>
      <c r="AF38" s="21">
        <f t="shared" si="14"/>
        <v>465354.25052635738</v>
      </c>
      <c r="AG38" s="22">
        <f t="shared" si="15"/>
        <v>11.62360542003667</v>
      </c>
      <c r="AH38" s="23">
        <f t="shared" si="16"/>
        <v>0.10116396750572987</v>
      </c>
      <c r="AI38" s="8"/>
      <c r="AJ38" s="8"/>
      <c r="AK38" s="8"/>
      <c r="AL38" s="21">
        <v>4.0000000000000001E-3</v>
      </c>
      <c r="AM38" s="22">
        <f t="shared" si="17"/>
        <v>875181.97861572378</v>
      </c>
      <c r="AN38" s="22">
        <f t="shared" si="18"/>
        <v>4.1854797490612308</v>
      </c>
      <c r="AO38" s="23">
        <f t="shared" si="19"/>
        <v>0.17897381975781673</v>
      </c>
      <c r="AP38" s="8"/>
      <c r="AQ38" s="21">
        <f t="shared" si="20"/>
        <v>322335.26363171818</v>
      </c>
      <c r="AR38" s="22">
        <f t="shared" si="21"/>
        <v>11.62360542003667</v>
      </c>
      <c r="AS38" s="23">
        <f t="shared" si="22"/>
        <v>7.0072883398199601E-2</v>
      </c>
      <c r="AT38" s="8"/>
      <c r="AU38" s="8"/>
      <c r="AV38" s="21">
        <v>4.0000000000000001E-3</v>
      </c>
      <c r="AW38" s="22">
        <f t="shared" si="23"/>
        <v>1067353.9732552583</v>
      </c>
      <c r="AX38" s="22">
        <f t="shared" si="24"/>
        <v>4.1854797490612308</v>
      </c>
      <c r="AY38" s="23">
        <f t="shared" si="25"/>
        <v>0.21827279616671949</v>
      </c>
      <c r="AZ38" s="8"/>
      <c r="BA38" s="21">
        <f t="shared" si="26"/>
        <v>382632.01905730023</v>
      </c>
      <c r="BB38" s="22">
        <f t="shared" si="27"/>
        <v>11.62360542003667</v>
      </c>
      <c r="BC38" s="23">
        <f t="shared" si="28"/>
        <v>8.3180873708108741E-2</v>
      </c>
      <c r="BD38" s="8"/>
      <c r="BE38" s="8"/>
      <c r="BF38" s="21">
        <v>4.0000000000000001E-3</v>
      </c>
      <c r="BG38" s="22">
        <f t="shared" si="29"/>
        <v>1321112.5342369326</v>
      </c>
      <c r="BH38" s="22">
        <f t="shared" si="30"/>
        <v>4.1854797490612308</v>
      </c>
      <c r="BI38" s="23">
        <f t="shared" si="31"/>
        <v>0.27016616242064062</v>
      </c>
      <c r="BJ38" s="74"/>
      <c r="BK38" s="21">
        <f t="shared" si="32"/>
        <v>463859.95244802727</v>
      </c>
      <c r="BL38" s="22">
        <f t="shared" si="33"/>
        <v>11.62360542003667</v>
      </c>
      <c r="BM38" s="23">
        <f t="shared" si="34"/>
        <v>0.10083912009739723</v>
      </c>
      <c r="BN38" s="8"/>
    </row>
    <row r="39" spans="1:66" ht="15.75" x14ac:dyDescent="0.25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ht="15.75" x14ac:dyDescent="0.25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ht="15" customHeight="1" x14ac:dyDescent="0.35">
      <c r="A41" s="6"/>
      <c r="B41" s="6"/>
      <c r="C41" s="6"/>
      <c r="D41" s="6"/>
      <c r="E41" s="6"/>
      <c r="F41" s="6"/>
      <c r="G41" s="9"/>
      <c r="H41" s="9"/>
      <c r="I41" s="9"/>
      <c r="J41" s="9"/>
      <c r="K41" s="9"/>
      <c r="L41" s="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spans="1:66" ht="15" customHeight="1" x14ac:dyDescent="0.35">
      <c r="A42" s="6"/>
      <c r="B42" s="6"/>
      <c r="C42" s="6"/>
      <c r="D42" s="6"/>
      <c r="E42" s="6"/>
      <c r="F42" s="6"/>
      <c r="G42" s="9"/>
      <c r="H42" s="9"/>
      <c r="I42" s="9"/>
      <c r="J42" s="9"/>
      <c r="K42" s="9"/>
      <c r="L42" s="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 ht="15" customHeight="1" x14ac:dyDescent="0.35">
      <c r="A43" s="6"/>
      <c r="B43" s="6"/>
      <c r="C43" s="6"/>
      <c r="D43" s="6"/>
      <c r="E43" s="6"/>
      <c r="F43" s="6"/>
      <c r="G43" s="9"/>
      <c r="H43" s="9"/>
      <c r="I43" s="9"/>
      <c r="J43" s="9"/>
      <c r="K43" s="9"/>
      <c r="L43" s="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 ht="15" customHeight="1" x14ac:dyDescent="0.35">
      <c r="A44" s="6"/>
      <c r="B44" s="6" t="s">
        <v>24</v>
      </c>
      <c r="C44" s="6"/>
      <c r="D44" s="6"/>
      <c r="E44" s="6"/>
      <c r="F44" s="6"/>
      <c r="G44" s="9"/>
      <c r="H44" s="9"/>
      <c r="I44" s="9"/>
      <c r="J44" s="9"/>
      <c r="K44" s="9"/>
      <c r="L44" s="9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 ht="15" customHeight="1" x14ac:dyDescent="0.35">
      <c r="A45" s="6"/>
      <c r="B45" s="6"/>
      <c r="C45" s="6"/>
      <c r="D45" s="6"/>
      <c r="E45" s="6"/>
      <c r="F45" s="6"/>
      <c r="G45" s="9"/>
      <c r="H45" s="9"/>
      <c r="I45" s="9"/>
      <c r="J45" s="9"/>
      <c r="K45" s="9"/>
      <c r="L45" s="9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 ht="15" customHeight="1" x14ac:dyDescent="0.35">
      <c r="A46" s="6"/>
      <c r="B46" s="6"/>
      <c r="C46" s="6"/>
      <c r="D46" s="6"/>
      <c r="E46" s="6"/>
      <c r="F46" s="6"/>
      <c r="G46" s="9"/>
      <c r="H46" s="9"/>
      <c r="I46" s="9"/>
      <c r="J46" s="9"/>
      <c r="K46" s="9"/>
      <c r="L46" s="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 ht="15" customHeight="1" x14ac:dyDescent="0.35">
      <c r="A47" s="6"/>
      <c r="B47" s="6"/>
      <c r="C47" s="6"/>
      <c r="D47" s="6"/>
      <c r="E47" s="6"/>
      <c r="F47" s="6"/>
      <c r="G47" s="9"/>
      <c r="H47" s="9"/>
      <c r="I47" s="9"/>
      <c r="J47" s="9"/>
      <c r="K47" s="9"/>
      <c r="L47" s="9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 ht="15" customHeight="1" x14ac:dyDescent="0.35">
      <c r="A48" s="6"/>
      <c r="B48" s="6"/>
      <c r="C48" s="6"/>
      <c r="D48" s="6"/>
      <c r="E48" s="6"/>
      <c r="F48" s="6"/>
      <c r="G48" s="9"/>
      <c r="H48" s="9"/>
      <c r="I48" s="9"/>
      <c r="J48" s="9"/>
      <c r="K48" s="9"/>
      <c r="L48" s="9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78" ht="15" customHeight="1" x14ac:dyDescent="0.35">
      <c r="A49" s="6"/>
      <c r="B49" s="6"/>
      <c r="C49" s="6"/>
      <c r="D49" s="6"/>
      <c r="E49" s="6"/>
      <c r="F49" s="6"/>
      <c r="G49" s="9"/>
      <c r="H49" s="9"/>
      <c r="I49" s="9"/>
      <c r="J49" s="9"/>
      <c r="K49" s="9"/>
      <c r="L49" s="9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78" ht="15" customHeight="1" x14ac:dyDescent="0.35">
      <c r="A50" s="6"/>
      <c r="B50" s="6"/>
      <c r="C50" s="6"/>
      <c r="D50" s="6"/>
      <c r="E50" s="6"/>
      <c r="F50" s="6"/>
      <c r="G50" s="9"/>
      <c r="H50" s="9"/>
      <c r="I50" s="9"/>
      <c r="J50" s="9"/>
      <c r="K50" s="9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Z50" s="7"/>
    </row>
    <row r="51" spans="1:78" ht="15" customHeight="1" x14ac:dyDescent="0.35">
      <c r="A51" s="6"/>
      <c r="B51" s="6"/>
      <c r="C51" s="6"/>
      <c r="D51" s="6"/>
      <c r="E51" s="6"/>
      <c r="F51" s="6"/>
      <c r="G51" s="9"/>
      <c r="H51" s="9"/>
      <c r="I51" s="9"/>
      <c r="J51" s="9"/>
      <c r="K51" s="9"/>
      <c r="L51" s="9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78" ht="1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78" ht="1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78" ht="1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78" ht="1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78" ht="1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78" ht="15" customHeight="1" x14ac:dyDescent="0.35">
      <c r="B57" s="6"/>
      <c r="C57" s="6"/>
      <c r="D57" s="6"/>
      <c r="E57" s="6"/>
      <c r="F57" s="6"/>
      <c r="G57" s="6"/>
      <c r="H57" s="6"/>
      <c r="I57" s="6"/>
      <c r="J57" s="6"/>
    </row>
    <row r="58" spans="1:78" ht="15" customHeight="1" x14ac:dyDescent="0.35">
      <c r="B58" s="6"/>
      <c r="C58" s="6"/>
      <c r="D58" s="6"/>
      <c r="E58" s="6"/>
      <c r="F58" s="6"/>
      <c r="G58" s="6"/>
      <c r="H58" s="6"/>
      <c r="I58" s="6"/>
      <c r="J58" s="6"/>
    </row>
    <row r="59" spans="1:78" ht="15" customHeight="1" x14ac:dyDescent="0.35">
      <c r="B59" s="6"/>
      <c r="C59" s="6"/>
      <c r="D59" s="6"/>
      <c r="E59" s="6"/>
      <c r="F59" s="6"/>
      <c r="G59" s="6"/>
      <c r="H59" s="6"/>
      <c r="I59" s="6"/>
      <c r="J59" s="6"/>
    </row>
    <row r="60" spans="1:78" ht="15" customHeight="1" x14ac:dyDescent="0.35">
      <c r="B60" s="6"/>
      <c r="C60" s="6"/>
      <c r="D60" s="6"/>
      <c r="E60" s="6"/>
      <c r="F60" s="6"/>
      <c r="G60" s="6"/>
      <c r="H60" s="6"/>
      <c r="I60" s="6"/>
      <c r="J60" s="6"/>
    </row>
    <row r="61" spans="1:78" ht="15" customHeight="1" x14ac:dyDescent="0.35">
      <c r="B61" s="6"/>
      <c r="C61" s="6"/>
      <c r="D61" s="6"/>
      <c r="E61" s="6"/>
      <c r="F61" s="6"/>
      <c r="G61" s="6"/>
      <c r="H61" s="6"/>
      <c r="I61" s="6"/>
      <c r="J61" s="6"/>
    </row>
    <row r="62" spans="1:78" ht="15" customHeight="1" x14ac:dyDescent="0.35">
      <c r="B62" s="6"/>
      <c r="C62" s="6"/>
      <c r="D62" s="6"/>
      <c r="E62" s="6"/>
      <c r="F62" s="6"/>
      <c r="G62" s="6"/>
      <c r="H62" s="6"/>
      <c r="I62" s="6"/>
      <c r="J62" s="6"/>
    </row>
    <row r="64" spans="1:78" x14ac:dyDescent="0.25">
      <c r="AA64">
        <v>0</v>
      </c>
    </row>
  </sheetData>
  <mergeCells count="8">
    <mergeCell ref="AL12:BM13"/>
    <mergeCell ref="AO15:AP15"/>
    <mergeCell ref="AY15:AZ15"/>
    <mergeCell ref="BF15:BM15"/>
    <mergeCell ref="J15:K15"/>
    <mergeCell ref="T15:U15"/>
    <mergeCell ref="AA15:AH15"/>
    <mergeCell ref="G12:A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2014-01-09T12:37:05Z</dcterms:created>
  <dcterms:modified xsi:type="dcterms:W3CDTF">2014-01-10T04:18:08Z</dcterms:modified>
</cp:coreProperties>
</file>