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School\summer2021\research\Paper2\Analysis\"/>
    </mc:Choice>
  </mc:AlternateContent>
  <xr:revisionPtr revIDLastSave="0" documentId="13_ncr:1_{5D84DCE7-2D24-4AAE-9EEB-362C1EFB0215}" xr6:coauthVersionLast="47" xr6:coauthVersionMax="47" xr10:uidLastSave="{00000000-0000-0000-0000-000000000000}"/>
  <bookViews>
    <workbookView xWindow="-20617" yWindow="-98" windowWidth="20715" windowHeight="13875" firstSheet="1" activeTab="3" xr2:uid="{00000000-000D-0000-FFFF-FFFF00000000}"/>
  </bookViews>
  <sheets>
    <sheet name="RQ1" sheetId="1" r:id="rId1"/>
    <sheet name="RQ2" sheetId="4" r:id="rId2"/>
    <sheet name="RQ3" sheetId="2" r:id="rId3"/>
    <sheet name="RQ4" sheetId="3" r:id="rId4"/>
    <sheet name="cve info" sheetId="5" r:id="rId5"/>
    <sheet name="cve-cvss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13" i="6" l="1"/>
  <c r="I3" i="6"/>
  <c r="AA4" i="6"/>
  <c r="AM44" i="3"/>
  <c r="AM41" i="3"/>
  <c r="AE39" i="3"/>
  <c r="AN49" i="3"/>
  <c r="AO49" i="3"/>
  <c r="AB54" i="3"/>
  <c r="N54" i="3"/>
  <c r="AE42" i="3"/>
  <c r="AL35" i="3"/>
  <c r="AN43" i="3"/>
  <c r="B41" i="1"/>
  <c r="P63" i="3"/>
  <c r="C8" i="3"/>
  <c r="AD95" i="2"/>
  <c r="B34" i="1"/>
  <c r="J4" i="1"/>
  <c r="C18" i="1"/>
  <c r="C11" i="1"/>
  <c r="D36" i="5"/>
  <c r="E36" i="5"/>
  <c r="F36" i="5"/>
  <c r="G36" i="5"/>
  <c r="H36" i="5"/>
  <c r="I36" i="5"/>
  <c r="J36" i="5"/>
  <c r="C36" i="5"/>
  <c r="D33" i="5"/>
  <c r="E33" i="5"/>
  <c r="F33" i="5"/>
  <c r="G33" i="5"/>
  <c r="H33" i="5"/>
  <c r="I33" i="5"/>
  <c r="J33" i="5"/>
  <c r="C33" i="5"/>
  <c r="D30" i="5"/>
  <c r="E30" i="5"/>
  <c r="F30" i="5"/>
  <c r="G30" i="5"/>
  <c r="H30" i="5"/>
  <c r="I30" i="5"/>
  <c r="J30" i="5"/>
  <c r="C30" i="5"/>
  <c r="D23" i="5"/>
  <c r="E23" i="5"/>
  <c r="F23" i="5"/>
  <c r="G23" i="5"/>
  <c r="H23" i="5"/>
  <c r="I23" i="5"/>
  <c r="J23" i="5"/>
  <c r="C23" i="5"/>
  <c r="X11" i="5"/>
  <c r="X12" i="5"/>
  <c r="X2" i="5"/>
  <c r="O2" i="5"/>
  <c r="N2" i="5"/>
  <c r="G10" i="5"/>
  <c r="D7" i="5"/>
  <c r="E3" i="5"/>
  <c r="L3" i="5"/>
  <c r="L5" i="5"/>
  <c r="L4" i="5"/>
  <c r="D4" i="5"/>
  <c r="L2" i="5"/>
  <c r="L9" i="5"/>
  <c r="M2" i="5"/>
  <c r="J2" i="5"/>
  <c r="I2" i="5"/>
  <c r="G2" i="5"/>
  <c r="F2" i="5"/>
  <c r="E2" i="5"/>
  <c r="D2" i="5"/>
  <c r="AA5" i="6"/>
  <c r="AA7" i="6"/>
  <c r="AA11" i="6"/>
  <c r="AA3" i="6"/>
  <c r="R15" i="6"/>
  <c r="S15" i="6"/>
  <c r="T15" i="6"/>
  <c r="V14" i="6"/>
  <c r="Q15" i="6"/>
  <c r="AC3" i="6"/>
  <c r="AD3" i="6"/>
  <c r="AE3" i="6"/>
  <c r="AB3" i="6"/>
  <c r="AB4" i="6"/>
  <c r="V3" i="6"/>
  <c r="V13" i="6"/>
  <c r="V11" i="6"/>
  <c r="V7" i="6"/>
  <c r="B4" i="6"/>
  <c r="AI7" i="6"/>
  <c r="AI8" i="6"/>
  <c r="AI9" i="6"/>
  <c r="AI11" i="6"/>
  <c r="I11" i="6"/>
  <c r="B13" i="6"/>
  <c r="B12" i="6"/>
  <c r="B11" i="6"/>
  <c r="B10" i="6"/>
  <c r="B9" i="6"/>
  <c r="B8" i="6"/>
  <c r="B7" i="6"/>
  <c r="B6" i="6"/>
  <c r="B5" i="6"/>
  <c r="B3" i="6"/>
  <c r="B2" i="6"/>
  <c r="W7" i="6"/>
  <c r="X7" i="6"/>
  <c r="Y7" i="6"/>
  <c r="AB6" i="6"/>
  <c r="AI6" i="6" s="1"/>
  <c r="E6" i="6"/>
  <c r="F6" i="6"/>
  <c r="G6" i="6"/>
  <c r="H6" i="6"/>
  <c r="K2" i="6"/>
  <c r="E8" i="6"/>
  <c r="T14" i="6"/>
  <c r="S14" i="6"/>
  <c r="R14" i="6"/>
  <c r="Q14" i="6"/>
  <c r="Y13" i="6"/>
  <c r="AE12" i="6" s="1"/>
  <c r="X13" i="6"/>
  <c r="W13" i="6"/>
  <c r="AC12" i="6" s="1"/>
  <c r="AB12" i="6"/>
  <c r="AI12" i="6" s="1"/>
  <c r="H13" i="6"/>
  <c r="G13" i="6"/>
  <c r="F13" i="6"/>
  <c r="E13" i="6"/>
  <c r="H12" i="6"/>
  <c r="G12" i="6"/>
  <c r="F12" i="6"/>
  <c r="E12" i="6"/>
  <c r="Y11" i="6"/>
  <c r="X11" i="6"/>
  <c r="W11" i="6"/>
  <c r="H11" i="6"/>
  <c r="G11" i="6"/>
  <c r="F11" i="6"/>
  <c r="E11" i="6"/>
  <c r="H10" i="6"/>
  <c r="G10" i="6"/>
  <c r="F10" i="6"/>
  <c r="E10" i="6"/>
  <c r="H9" i="6"/>
  <c r="G9" i="6"/>
  <c r="F9" i="6"/>
  <c r="E9" i="6"/>
  <c r="H8" i="6"/>
  <c r="G8" i="6"/>
  <c r="F8" i="6"/>
  <c r="AG6" i="6"/>
  <c r="AE6" i="6"/>
  <c r="AD6" i="6"/>
  <c r="AC6" i="6"/>
  <c r="AG5" i="6"/>
  <c r="AE5" i="6"/>
  <c r="AD5" i="6"/>
  <c r="AC5" i="6"/>
  <c r="AB5" i="6"/>
  <c r="AI5" i="6" s="1"/>
  <c r="H5" i="6"/>
  <c r="G5" i="6"/>
  <c r="F5" i="6"/>
  <c r="E5" i="6"/>
  <c r="AG4" i="6"/>
  <c r="AE4" i="6"/>
  <c r="AD4" i="6"/>
  <c r="AC4" i="6"/>
  <c r="AI4" i="6" s="1"/>
  <c r="H4" i="6"/>
  <c r="G4" i="6"/>
  <c r="F4" i="6"/>
  <c r="E4" i="6"/>
  <c r="Y3" i="6"/>
  <c r="X3" i="6"/>
  <c r="W3" i="6"/>
  <c r="AI3" i="6"/>
  <c r="H3" i="6"/>
  <c r="G3" i="6"/>
  <c r="F3" i="6"/>
  <c r="E3" i="6"/>
  <c r="N2" i="6"/>
  <c r="M2" i="6"/>
  <c r="L2" i="6"/>
  <c r="O2" i="6"/>
  <c r="H2" i="6"/>
  <c r="G2" i="6"/>
  <c r="F2" i="6"/>
  <c r="E2" i="6"/>
  <c r="L14" i="5"/>
  <c r="K14" i="5"/>
  <c r="J14" i="5"/>
  <c r="I14" i="5"/>
  <c r="H14" i="5"/>
  <c r="G14" i="5"/>
  <c r="E14" i="5"/>
  <c r="D14" i="5"/>
  <c r="X13" i="5"/>
  <c r="M13" i="5"/>
  <c r="M12" i="5"/>
  <c r="M11" i="5"/>
  <c r="X10" i="5"/>
  <c r="M10" i="5"/>
  <c r="X9" i="5"/>
  <c r="M9" i="5"/>
  <c r="X8" i="5"/>
  <c r="M8" i="5"/>
  <c r="X7" i="5"/>
  <c r="M7" i="5"/>
  <c r="X6" i="5"/>
  <c r="M6" i="5"/>
  <c r="X5" i="5"/>
  <c r="M5" i="5"/>
  <c r="X4" i="5"/>
  <c r="M4" i="5"/>
  <c r="X3" i="5"/>
  <c r="M3" i="5"/>
  <c r="X92" i="2"/>
  <c r="X98" i="2"/>
  <c r="K14" i="3"/>
  <c r="AE51" i="3"/>
  <c r="AL39" i="3"/>
  <c r="AL38" i="3"/>
  <c r="AT36" i="3"/>
  <c r="AU36" i="3"/>
  <c r="AV36" i="3"/>
  <c r="AT40" i="3"/>
  <c r="AU40" i="3"/>
  <c r="AV40" i="3"/>
  <c r="AS36" i="3"/>
  <c r="AS40" i="3"/>
  <c r="Z70" i="2"/>
  <c r="AP35" i="3"/>
  <c r="A41" i="1"/>
  <c r="W27" i="3"/>
  <c r="M49" i="3"/>
  <c r="B82" i="2"/>
  <c r="B81" i="2"/>
  <c r="AC95" i="2"/>
  <c r="W98" i="2"/>
  <c r="M64" i="3"/>
  <c r="O64" i="3" s="1"/>
  <c r="E11" i="1"/>
  <c r="AH78" i="2"/>
  <c r="AH71" i="2"/>
  <c r="AH66" i="2"/>
  <c r="AH67" i="2"/>
  <c r="AH80" i="2"/>
  <c r="AH68" i="2"/>
  <c r="AH88" i="2"/>
  <c r="AH81" i="2"/>
  <c r="AH79" i="2"/>
  <c r="AH82" i="2"/>
  <c r="AH89" i="2"/>
  <c r="AH72" i="2"/>
  <c r="AH83" i="2"/>
  <c r="AH69" i="2"/>
  <c r="AH84" i="2"/>
  <c r="AH85" i="2"/>
  <c r="AH70" i="2"/>
  <c r="AH73" i="2"/>
  <c r="AH62" i="2"/>
  <c r="AH64" i="2"/>
  <c r="AH74" i="2"/>
  <c r="AH90" i="2"/>
  <c r="AH63" i="2"/>
  <c r="AH65" i="2"/>
  <c r="AH75" i="2"/>
  <c r="AH76" i="2"/>
  <c r="AH77" i="2"/>
  <c r="AH86" i="2"/>
  <c r="AH87" i="2"/>
  <c r="AH91" i="2"/>
  <c r="AE63" i="2"/>
  <c r="AG63" i="2" s="1"/>
  <c r="AE64" i="2"/>
  <c r="AG64" i="2" s="1"/>
  <c r="AE65" i="2"/>
  <c r="AG65" i="2" s="1"/>
  <c r="AE66" i="2"/>
  <c r="AG66" i="2" s="1"/>
  <c r="AE67" i="2"/>
  <c r="AG67" i="2" s="1"/>
  <c r="AE68" i="2"/>
  <c r="AG68" i="2" s="1"/>
  <c r="AE69" i="2"/>
  <c r="AG69" i="2" s="1"/>
  <c r="AE70" i="2"/>
  <c r="AG70" i="2" s="1"/>
  <c r="AE71" i="2"/>
  <c r="AG71" i="2" s="1"/>
  <c r="AE72" i="2"/>
  <c r="AG72" i="2" s="1"/>
  <c r="AE73" i="2"/>
  <c r="AG73" i="2" s="1"/>
  <c r="AE74" i="2"/>
  <c r="AG74" i="2" s="1"/>
  <c r="AE75" i="2"/>
  <c r="AG75" i="2" s="1"/>
  <c r="AE76" i="2"/>
  <c r="AG76" i="2" s="1"/>
  <c r="AE77" i="2"/>
  <c r="AG77" i="2" s="1"/>
  <c r="AE78" i="2"/>
  <c r="AG78" i="2" s="1"/>
  <c r="AE79" i="2"/>
  <c r="AG79" i="2" s="1"/>
  <c r="AE80" i="2"/>
  <c r="AG80" i="2" s="1"/>
  <c r="AE81" i="2"/>
  <c r="AG81" i="2" s="1"/>
  <c r="AE82" i="2"/>
  <c r="AG82" i="2" s="1"/>
  <c r="AE83" i="2"/>
  <c r="AG83" i="2" s="1"/>
  <c r="AE84" i="2"/>
  <c r="AG84" i="2" s="1"/>
  <c r="AE85" i="2"/>
  <c r="AG85" i="2" s="1"/>
  <c r="AE86" i="2"/>
  <c r="AG86" i="2" s="1"/>
  <c r="AE87" i="2"/>
  <c r="AG87" i="2" s="1"/>
  <c r="AE88" i="2"/>
  <c r="AG88" i="2" s="1"/>
  <c r="AE89" i="2"/>
  <c r="AG89" i="2" s="1"/>
  <c r="AE90" i="2"/>
  <c r="AG90" i="2" s="1"/>
  <c r="AE91" i="2"/>
  <c r="AG91" i="2" s="1"/>
  <c r="AE62" i="2"/>
  <c r="AG62" i="2" s="1"/>
  <c r="E41" i="1"/>
  <c r="P33" i="1"/>
  <c r="E33" i="1"/>
  <c r="P32" i="1"/>
  <c r="E32" i="1"/>
  <c r="Q33" i="1"/>
  <c r="Q32" i="1"/>
  <c r="AP38" i="3"/>
  <c r="N31" i="3"/>
  <c r="K31" i="3"/>
  <c r="L29" i="3"/>
  <c r="L31" i="3" s="1"/>
  <c r="L27" i="3"/>
  <c r="M27" i="3"/>
  <c r="N27" i="3"/>
  <c r="K27" i="3"/>
  <c r="K26" i="3"/>
  <c r="L19" i="3"/>
  <c r="M19" i="3"/>
  <c r="N19" i="3"/>
  <c r="K19" i="3"/>
  <c r="L14" i="3"/>
  <c r="L16" i="3" s="1"/>
  <c r="M14" i="3"/>
  <c r="M16" i="3" s="1"/>
  <c r="N14" i="3"/>
  <c r="N16" i="3" s="1"/>
  <c r="K16" i="3"/>
  <c r="V31" i="3"/>
  <c r="W31" i="3"/>
  <c r="X31" i="3"/>
  <c r="U31" i="3"/>
  <c r="V30" i="3"/>
  <c r="W30" i="3"/>
  <c r="X30" i="3"/>
  <c r="U30" i="3"/>
  <c r="U29" i="3"/>
  <c r="V28" i="3"/>
  <c r="W28" i="3"/>
  <c r="X28" i="3"/>
  <c r="U28" i="3"/>
  <c r="V27" i="3"/>
  <c r="X27" i="3"/>
  <c r="U27" i="3"/>
  <c r="V26" i="3"/>
  <c r="W26" i="3"/>
  <c r="X26" i="3"/>
  <c r="U26" i="3"/>
  <c r="U25" i="3"/>
  <c r="U24" i="3"/>
  <c r="U23" i="3"/>
  <c r="V24" i="3"/>
  <c r="W24" i="3"/>
  <c r="X24" i="3"/>
  <c r="V23" i="3"/>
  <c r="W23" i="3"/>
  <c r="X23" i="3"/>
  <c r="V22" i="3"/>
  <c r="W22" i="3"/>
  <c r="X22" i="3"/>
  <c r="U22" i="3"/>
  <c r="U21" i="3"/>
  <c r="V20" i="3"/>
  <c r="W20" i="3"/>
  <c r="X20" i="3"/>
  <c r="U20" i="3"/>
  <c r="U19" i="3"/>
  <c r="U16" i="3"/>
  <c r="U18" i="3"/>
  <c r="U17" i="3"/>
  <c r="V17" i="3"/>
  <c r="W17" i="3"/>
  <c r="X17" i="3"/>
  <c r="V16" i="3"/>
  <c r="W16" i="3"/>
  <c r="X16" i="3"/>
  <c r="V14" i="3"/>
  <c r="W14" i="3"/>
  <c r="X14" i="3"/>
  <c r="U14" i="3"/>
  <c r="AM40" i="3"/>
  <c r="AN40" i="3"/>
  <c r="AO40" i="3"/>
  <c r="AL40" i="3"/>
  <c r="AF49" i="3"/>
  <c r="AG49" i="3"/>
  <c r="AH49" i="3"/>
  <c r="AE49" i="3"/>
  <c r="AL36" i="3" s="1"/>
  <c r="L37" i="3"/>
  <c r="M37" i="3"/>
  <c r="N37" i="3"/>
  <c r="K37" i="3"/>
  <c r="P28" i="3"/>
  <c r="P13" i="3"/>
  <c r="B32" i="1"/>
  <c r="C16" i="1"/>
  <c r="K64" i="3"/>
  <c r="L64" i="3"/>
  <c r="N64" i="3"/>
  <c r="AE98" i="2"/>
  <c r="AN96" i="2"/>
  <c r="AO96" i="2" s="1"/>
  <c r="AE97" i="2"/>
  <c r="AE96" i="2"/>
  <c r="AC96" i="2"/>
  <c r="AC97" i="2"/>
  <c r="AC98" i="2"/>
  <c r="AC99" i="2"/>
  <c r="AC100" i="2"/>
  <c r="AC101" i="2"/>
  <c r="AC102" i="2"/>
  <c r="AC103" i="2"/>
  <c r="AO101" i="2"/>
  <c r="AO99" i="2"/>
  <c r="AO97" i="2"/>
  <c r="AE95" i="2"/>
  <c r="AB88" i="2"/>
  <c r="AB89" i="2"/>
  <c r="AB90" i="2"/>
  <c r="AB91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62" i="2"/>
  <c r="AA70" i="2"/>
  <c r="Z91" i="2"/>
  <c r="AA91" i="2" s="1"/>
  <c r="Z89" i="2"/>
  <c r="AA89" i="2" s="1"/>
  <c r="Z87" i="2"/>
  <c r="AA87" i="2" s="1"/>
  <c r="Z79" i="2"/>
  <c r="Z77" i="2"/>
  <c r="AA77" i="2" s="1"/>
  <c r="Z65" i="2"/>
  <c r="AA65" i="2" s="1"/>
  <c r="Z63" i="2"/>
  <c r="AA63" i="2" s="1"/>
  <c r="P89" i="2"/>
  <c r="P65" i="2"/>
  <c r="P91" i="2"/>
  <c r="P70" i="2"/>
  <c r="B25" i="1"/>
  <c r="B24" i="1"/>
  <c r="B33" i="1"/>
  <c r="B35" i="1"/>
  <c r="B11" i="1"/>
  <c r="AP36" i="3"/>
  <c r="AP40" i="3"/>
  <c r="AF51" i="3"/>
  <c r="AM39" i="3" s="1"/>
  <c r="AG51" i="3"/>
  <c r="AN39" i="3" s="1"/>
  <c r="AH51" i="3"/>
  <c r="AO39" i="3" s="1"/>
  <c r="AP39" i="3"/>
  <c r="AF44" i="3"/>
  <c r="AM38" i="3" s="1"/>
  <c r="AG44" i="3"/>
  <c r="AN38" i="3" s="1"/>
  <c r="AH44" i="3"/>
  <c r="AO38" i="3" s="1"/>
  <c r="AE44" i="3"/>
  <c r="AF42" i="3"/>
  <c r="AM35" i="3" s="1"/>
  <c r="AG42" i="3"/>
  <c r="AN35" i="3" s="1"/>
  <c r="AH42" i="3"/>
  <c r="AO35" i="3" s="1"/>
  <c r="AF39" i="3"/>
  <c r="AM37" i="3" s="1"/>
  <c r="AG39" i="3"/>
  <c r="AN37" i="3" s="1"/>
  <c r="AH39" i="3"/>
  <c r="AO37" i="3" s="1"/>
  <c r="AL37" i="3"/>
  <c r="Q89" i="2"/>
  <c r="P87" i="2"/>
  <c r="Q87" i="2" s="1"/>
  <c r="P79" i="2"/>
  <c r="Q79" i="2" s="1"/>
  <c r="P77" i="2"/>
  <c r="Q77" i="2" s="1"/>
  <c r="Q70" i="2"/>
  <c r="Q91" i="2"/>
  <c r="Q65" i="2"/>
  <c r="P63" i="2"/>
  <c r="Q63" i="2" s="1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50" i="2"/>
  <c r="B42" i="1"/>
  <c r="C42" i="1"/>
  <c r="N33" i="1"/>
  <c r="N34" i="1"/>
  <c r="N32" i="1"/>
  <c r="C33" i="1"/>
  <c r="C34" i="1"/>
  <c r="C32" i="1"/>
  <c r="M35" i="1"/>
  <c r="P37" i="3"/>
  <c r="Q37" i="3"/>
  <c r="R37" i="3"/>
  <c r="S37" i="3"/>
  <c r="L52" i="3"/>
  <c r="M52" i="3"/>
  <c r="N52" i="3"/>
  <c r="V29" i="3"/>
  <c r="L51" i="3" s="1"/>
  <c r="W29" i="3"/>
  <c r="X29" i="3"/>
  <c r="V25" i="3"/>
  <c r="L47" i="3" s="1"/>
  <c r="W25" i="3"/>
  <c r="M47" i="3" s="1"/>
  <c r="X25" i="3"/>
  <c r="N47" i="3" s="1"/>
  <c r="L46" i="3"/>
  <c r="M46" i="3"/>
  <c r="N46" i="3"/>
  <c r="L45" i="3"/>
  <c r="M45" i="3"/>
  <c r="N45" i="3"/>
  <c r="L44" i="3"/>
  <c r="M44" i="3"/>
  <c r="N44" i="3"/>
  <c r="V21" i="3"/>
  <c r="L43" i="3" s="1"/>
  <c r="W21" i="3"/>
  <c r="M43" i="3" s="1"/>
  <c r="X21" i="3"/>
  <c r="N43" i="3" s="1"/>
  <c r="L42" i="3"/>
  <c r="M42" i="3"/>
  <c r="N42" i="3"/>
  <c r="V19" i="3"/>
  <c r="W19" i="3"/>
  <c r="X19" i="3"/>
  <c r="V18" i="3"/>
  <c r="L40" i="3" s="1"/>
  <c r="W18" i="3"/>
  <c r="M40" i="3" s="1"/>
  <c r="X18" i="3"/>
  <c r="N40" i="3" s="1"/>
  <c r="L39" i="3"/>
  <c r="M39" i="3"/>
  <c r="N39" i="3"/>
  <c r="K51" i="3"/>
  <c r="K43" i="3"/>
  <c r="L26" i="3"/>
  <c r="L48" i="3" s="1"/>
  <c r="M26" i="3"/>
  <c r="M48" i="3" s="1"/>
  <c r="N26" i="3"/>
  <c r="N48" i="3" s="1"/>
  <c r="M29" i="3"/>
  <c r="Q28" i="3"/>
  <c r="L50" i="3" s="1"/>
  <c r="R28" i="3"/>
  <c r="M50" i="3" s="1"/>
  <c r="S28" i="3"/>
  <c r="N50" i="3" s="1"/>
  <c r="Q27" i="3"/>
  <c r="R27" i="3"/>
  <c r="S27" i="3"/>
  <c r="P27" i="3"/>
  <c r="Q16" i="3"/>
  <c r="R16" i="3"/>
  <c r="S16" i="3"/>
  <c r="P16" i="3"/>
  <c r="V13" i="3"/>
  <c r="W13" i="3"/>
  <c r="X13" i="3"/>
  <c r="U13" i="3"/>
  <c r="Q13" i="3"/>
  <c r="L35" i="3" s="1"/>
  <c r="R13" i="3"/>
  <c r="M35" i="3" s="1"/>
  <c r="S13" i="3"/>
  <c r="N35" i="3" s="1"/>
  <c r="Q14" i="3"/>
  <c r="R14" i="3"/>
  <c r="S14" i="3"/>
  <c r="P14" i="3"/>
  <c r="K36" i="3" s="1"/>
  <c r="B7" i="3"/>
  <c r="C7" i="3"/>
  <c r="D7" i="3"/>
  <c r="A7" i="3"/>
  <c r="W4" i="2" a="1"/>
  <c r="W4" i="2"/>
  <c r="X4" i="2" s="1"/>
  <c r="E17" i="1"/>
  <c r="E18" i="1"/>
  <c r="E19" i="1"/>
  <c r="E20" i="1"/>
  <c r="E21" i="1"/>
  <c r="D18" i="1"/>
  <c r="D19" i="1"/>
  <c r="D20" i="1"/>
  <c r="D21" i="1"/>
  <c r="D17" i="1"/>
  <c r="C21" i="1"/>
  <c r="C17" i="1"/>
  <c r="C19" i="1"/>
  <c r="C20" i="1"/>
  <c r="E16" i="1"/>
  <c r="D16" i="1"/>
  <c r="AL41" i="3" l="1"/>
  <c r="AT35" i="3"/>
  <c r="AU35" i="3"/>
  <c r="AV35" i="3"/>
  <c r="AS35" i="3"/>
  <c r="Q34" i="1"/>
  <c r="AG3" i="6"/>
  <c r="AB10" i="6"/>
  <c r="AI10" i="6" s="1"/>
  <c r="AC10" i="6"/>
  <c r="AG10" i="6"/>
  <c r="AD10" i="6"/>
  <c r="AE10" i="6"/>
  <c r="AG12" i="6"/>
  <c r="AD12" i="6"/>
  <c r="F14" i="5"/>
  <c r="V3" i="5"/>
  <c r="U3" i="5"/>
  <c r="T3" i="5"/>
  <c r="S3" i="5"/>
  <c r="R3" i="5"/>
  <c r="Q3" i="5"/>
  <c r="P3" i="5"/>
  <c r="O3" i="5"/>
  <c r="N3" i="5"/>
  <c r="V4" i="5"/>
  <c r="U4" i="5"/>
  <c r="T4" i="5"/>
  <c r="S4" i="5"/>
  <c r="R4" i="5"/>
  <c r="Q4" i="5"/>
  <c r="P4" i="5"/>
  <c r="O4" i="5"/>
  <c r="N4" i="5"/>
  <c r="V5" i="5"/>
  <c r="U5" i="5"/>
  <c r="T5" i="5"/>
  <c r="S5" i="5"/>
  <c r="R5" i="5"/>
  <c r="Q5" i="5"/>
  <c r="P5" i="5"/>
  <c r="O5" i="5"/>
  <c r="N5" i="5"/>
  <c r="V6" i="5"/>
  <c r="U6" i="5"/>
  <c r="T6" i="5"/>
  <c r="S6" i="5"/>
  <c r="R6" i="5"/>
  <c r="Q6" i="5"/>
  <c r="P6" i="5"/>
  <c r="O6" i="5"/>
  <c r="N6" i="5"/>
  <c r="V7" i="5"/>
  <c r="U7" i="5"/>
  <c r="T7" i="5"/>
  <c r="S7" i="5"/>
  <c r="R7" i="5"/>
  <c r="Q7" i="5"/>
  <c r="P7" i="5"/>
  <c r="O7" i="5"/>
  <c r="N7" i="5"/>
  <c r="V8" i="5"/>
  <c r="U8" i="5"/>
  <c r="T8" i="5"/>
  <c r="S8" i="5"/>
  <c r="R8" i="5"/>
  <c r="Q8" i="5"/>
  <c r="P8" i="5"/>
  <c r="O8" i="5"/>
  <c r="N8" i="5"/>
  <c r="V9" i="5"/>
  <c r="U9" i="5"/>
  <c r="T9" i="5"/>
  <c r="S9" i="5"/>
  <c r="R9" i="5"/>
  <c r="Q9" i="5"/>
  <c r="P9" i="5"/>
  <c r="O9" i="5"/>
  <c r="N9" i="5"/>
  <c r="V10" i="5"/>
  <c r="U10" i="5"/>
  <c r="T10" i="5"/>
  <c r="S10" i="5"/>
  <c r="R10" i="5"/>
  <c r="Q10" i="5"/>
  <c r="P10" i="5"/>
  <c r="O10" i="5"/>
  <c r="N10" i="5"/>
  <c r="V11" i="5"/>
  <c r="U11" i="5"/>
  <c r="T11" i="5"/>
  <c r="S11" i="5"/>
  <c r="R11" i="5"/>
  <c r="Q11" i="5"/>
  <c r="P11" i="5"/>
  <c r="O11" i="5"/>
  <c r="N11" i="5"/>
  <c r="V12" i="5"/>
  <c r="U12" i="5"/>
  <c r="T12" i="5"/>
  <c r="S12" i="5"/>
  <c r="R12" i="5"/>
  <c r="Q12" i="5"/>
  <c r="P12" i="5"/>
  <c r="O12" i="5"/>
  <c r="N12" i="5"/>
  <c r="V13" i="5"/>
  <c r="U13" i="5"/>
  <c r="T13" i="5"/>
  <c r="S13" i="5"/>
  <c r="R13" i="5"/>
  <c r="Q13" i="5"/>
  <c r="P13" i="5"/>
  <c r="O13" i="5"/>
  <c r="N13" i="5"/>
  <c r="AT39" i="3"/>
  <c r="AU39" i="3"/>
  <c r="AV39" i="3"/>
  <c r="AS39" i="3"/>
  <c r="AT38" i="3"/>
  <c r="AU38" i="3"/>
  <c r="AV38" i="3"/>
  <c r="AS38" i="3"/>
  <c r="AA79" i="2"/>
  <c r="M51" i="3"/>
  <c r="M31" i="3"/>
  <c r="AP37" i="3"/>
  <c r="AO41" i="3"/>
  <c r="AN41" i="3"/>
  <c r="N51" i="3"/>
  <c r="K39" i="3"/>
  <c r="P39" i="3" s="1"/>
  <c r="K40" i="3"/>
  <c r="P40" i="3" s="1"/>
  <c r="K42" i="3"/>
  <c r="P42" i="3" s="1"/>
  <c r="P43" i="3"/>
  <c r="K44" i="3"/>
  <c r="P44" i="3"/>
  <c r="K45" i="3"/>
  <c r="P45" i="3"/>
  <c r="K46" i="3"/>
  <c r="P46" i="3"/>
  <c r="K47" i="3"/>
  <c r="P51" i="3"/>
  <c r="K52" i="3"/>
  <c r="K48" i="3"/>
  <c r="N36" i="3"/>
  <c r="L36" i="3"/>
  <c r="K38" i="3"/>
  <c r="N38" i="3"/>
  <c r="M38" i="3"/>
  <c r="L38" i="3"/>
  <c r="K41" i="3"/>
  <c r="N41" i="3"/>
  <c r="M41" i="3"/>
  <c r="L41" i="3"/>
  <c r="K50" i="3"/>
  <c r="S50" i="3" s="1"/>
  <c r="K49" i="3"/>
  <c r="N49" i="3"/>
  <c r="L49" i="3"/>
  <c r="K53" i="3"/>
  <c r="N53" i="3"/>
  <c r="M53" i="3"/>
  <c r="L53" i="3"/>
  <c r="Q53" i="3" s="1"/>
  <c r="R50" i="3"/>
  <c r="P50" i="3"/>
  <c r="S39" i="3"/>
  <c r="R39" i="3"/>
  <c r="Q39" i="3"/>
  <c r="S40" i="3"/>
  <c r="R40" i="3"/>
  <c r="Q40" i="3"/>
  <c r="S42" i="3"/>
  <c r="R42" i="3"/>
  <c r="Q42" i="3"/>
  <c r="S43" i="3"/>
  <c r="R43" i="3"/>
  <c r="Q43" i="3"/>
  <c r="S44" i="3"/>
  <c r="R44" i="3"/>
  <c r="Q44" i="3"/>
  <c r="S45" i="3"/>
  <c r="R45" i="3"/>
  <c r="Q45" i="3"/>
  <c r="S46" i="3"/>
  <c r="R46" i="3"/>
  <c r="Q46" i="3"/>
  <c r="Q50" i="3"/>
  <c r="S51" i="3"/>
  <c r="R51" i="3"/>
  <c r="Q51" i="3"/>
  <c r="K35" i="3"/>
  <c r="Q36" i="3"/>
  <c r="Q38" i="3"/>
  <c r="Q41" i="3"/>
  <c r="Q48" i="3"/>
  <c r="Q52" i="3"/>
  <c r="AL44" i="3"/>
  <c r="AL45" i="3"/>
  <c r="AL47" i="3"/>
  <c r="AL48" i="3"/>
  <c r="AO43" i="3"/>
  <c r="AO44" i="3"/>
  <c r="AO45" i="3"/>
  <c r="AO46" i="3"/>
  <c r="AO47" i="3"/>
  <c r="AO48" i="3"/>
  <c r="AN44" i="3"/>
  <c r="AN45" i="3"/>
  <c r="AN46" i="3"/>
  <c r="AN47" i="3"/>
  <c r="AN48" i="3"/>
  <c r="AM45" i="3"/>
  <c r="AM46" i="3"/>
  <c r="AM47" i="3"/>
  <c r="AM48" i="3"/>
  <c r="AM43" i="3"/>
  <c r="AM49" i="3" s="1"/>
  <c r="E7" i="3"/>
  <c r="D8" i="3" s="1"/>
  <c r="A8" i="3"/>
  <c r="O5" i="1"/>
  <c r="J5" i="1"/>
  <c r="A42" i="1"/>
  <c r="B8" i="3"/>
  <c r="X5" i="2"/>
  <c r="X6" i="2"/>
  <c r="X7" i="2"/>
  <c r="X8" i="2"/>
  <c r="X9" i="2"/>
  <c r="X10" i="2"/>
  <c r="X11" i="2"/>
  <c r="X12" i="2"/>
  <c r="X13" i="2"/>
  <c r="X14" i="2"/>
  <c r="AT37" i="3" l="1"/>
  <c r="AU37" i="3"/>
  <c r="AV37" i="3"/>
  <c r="AS37" i="3"/>
  <c r="AL43" i="3"/>
  <c r="AL46" i="3"/>
  <c r="P34" i="1"/>
  <c r="Q35" i="1"/>
  <c r="E34" i="1"/>
  <c r="M14" i="5"/>
  <c r="V2" i="5"/>
  <c r="U2" i="5"/>
  <c r="T2" i="5"/>
  <c r="S2" i="5"/>
  <c r="R2" i="5"/>
  <c r="Q2" i="5"/>
  <c r="P2" i="5"/>
  <c r="P14" i="5"/>
  <c r="R53" i="3"/>
  <c r="S53" i="3"/>
  <c r="P53" i="3"/>
  <c r="R52" i="3"/>
  <c r="S52" i="3"/>
  <c r="P52" i="3"/>
  <c r="R48" i="3"/>
  <c r="S48" i="3"/>
  <c r="P48" i="3"/>
  <c r="P49" i="3"/>
  <c r="S49" i="3"/>
  <c r="R49" i="3"/>
  <c r="Q49" i="3"/>
  <c r="R41" i="3"/>
  <c r="S41" i="3"/>
  <c r="P41" i="3"/>
  <c r="R38" i="3"/>
  <c r="S38" i="3"/>
  <c r="P38" i="3"/>
  <c r="R36" i="3"/>
  <c r="S36" i="3"/>
  <c r="P36" i="3"/>
  <c r="P35" i="3"/>
  <c r="S35" i="3"/>
  <c r="R35" i="3"/>
  <c r="Q35" i="3"/>
  <c r="P47" i="3"/>
  <c r="S47" i="3"/>
  <c r="R47" i="3"/>
  <c r="Q47" i="3"/>
  <c r="AL49" i="3" l="1"/>
  <c r="N14" i="5"/>
  <c r="O14" i="5"/>
  <c r="Q14" i="5"/>
  <c r="R14" i="5"/>
  <c r="S14" i="5"/>
  <c r="T14" i="5"/>
  <c r="U14" i="5"/>
  <c r="V1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<sst xmlns="http://schemas.openxmlformats.org/spreadsheetml/2006/main" count="556" uniqueCount="213">
  <si>
    <t>Were the vulnerabilities introduced through post edits/revisions?</t>
  </si>
  <si>
    <t>#CODE Revisions</t>
  </si>
  <si>
    <t>Number of Vulnerable Code Snippets</t>
  </si>
  <si>
    <t>Unchanged</t>
  </si>
  <si>
    <t>Improved</t>
  </si>
  <si>
    <t>Deteriorated</t>
  </si>
  <si>
    <t>#Snippets with vulnerabilities introduced PRE revisions (ORIGINAL)</t>
  </si>
  <si>
    <t>#Snippets with vulnerablities introduced POST revision</t>
  </si>
  <si>
    <t>*VCS that were introduced post edit and NOT PRESENT BEFORE THE REVISION</t>
  </si>
  <si>
    <t>N/A</t>
  </si>
  <si>
    <t>code snippets with no code revisions</t>
  </si>
  <si>
    <t>code unchanged after any number of code revision</t>
  </si>
  <si>
    <t>#Snippets with vulnerabilities introduced PRE revisions (ORIGINAL) (by site)</t>
  </si>
  <si>
    <t>#Snippets with vulnerablities introduced POST revision (by site)</t>
  </si>
  <si>
    <t>Stackoverflow</t>
  </si>
  <si>
    <t>Arduino</t>
  </si>
  <si>
    <t>Raspberrypi</t>
  </si>
  <si>
    <t>Snippets that had vulneralbilities in original version but then had revisions</t>
  </si>
  <si>
    <t>improved</t>
  </si>
  <si>
    <t>deterioated</t>
  </si>
  <si>
    <t>Example of a VCS with a vulnerability introduced POST a revision</t>
  </si>
  <si>
    <t>Example of a VCS with a vulnerablity pre-revisions</t>
  </si>
  <si>
    <t>int size_test(char b[])</t>
  </si>
  <si>
    <t>find one</t>
  </si>
  <si>
    <t>{</t>
  </si>
  <si>
    <t xml:space="preserve">    char a[10];</t>
  </si>
  <si>
    <t xml:space="preserve">    char foo[] = {'a', 'b', 'c', 'd', 'e'};</t>
  </si>
  <si>
    <t xml:space="preserve">    char *bar = malloc(20);</t>
  </si>
  <si>
    <t xml:space="preserve">    printf("sizeof a = %ld, sizeof b = %ld, sizeof foo = %ld, sizeof bar = %ld\n", sizeof(a), sizeof(b), sizeof(foo), sizeof(bar));</t>
  </si>
  <si>
    <t>}</t>
  </si>
  <si>
    <t>int main()</t>
  </si>
  <si>
    <t xml:space="preserve">    char b[12];</t>
  </si>
  <si>
    <t xml:space="preserve">    size_test(b);</t>
  </si>
  <si>
    <t>27918518.c</t>
  </si>
  <si>
    <t>in stackoverflow</t>
  </si>
  <si>
    <t>cwe 401</t>
  </si>
  <si>
    <t>Example of VCS that was unchanged after N revisions (with comments)</t>
  </si>
  <si>
    <t xml:space="preserve">Example of a CS with no vulnerabilities </t>
  </si>
  <si>
    <t xml:space="preserve">check </t>
  </si>
  <si>
    <t>SO</t>
  </si>
  <si>
    <t>boolean LED_state = false;  //init to false/closed</t>
  </si>
  <si>
    <t>void loop(){</t>
  </si>
  <si>
    <t xml:space="preserve"> if (checkForCorrectCommand() == true){ //</t>
  </si>
  <si>
    <t xml:space="preserve">   if (LED_State == false){</t>
  </si>
  <si>
    <t xml:space="preserve">     open_valve();</t>
  </si>
  <si>
    <t xml:space="preserve">     LED_State = true;</t>
  </si>
  <si>
    <t xml:space="preserve">   } else {</t>
  </si>
  <si>
    <t xml:space="preserve">     close_valve();</t>
  </si>
  <si>
    <t xml:space="preserve">     LED_State = false;</t>
  </si>
  <si>
    <t xml:space="preserve">   }</t>
  </si>
  <si>
    <t xml:space="preserve"> }</t>
  </si>
  <si>
    <t>16534034.c</t>
  </si>
  <si>
    <t>in S0</t>
  </si>
  <si>
    <t>only 1 version no revisions</t>
  </si>
  <si>
    <t>What are the different types of vulnerabilities found during the revisions?</t>
  </si>
  <si>
    <t>deteriorated</t>
  </si>
  <si>
    <t>post id</t>
  </si>
  <si>
    <t>LOC FIRST</t>
  </si>
  <si>
    <t>LOC LAST</t>
  </si>
  <si>
    <t>CWE COUNT FIRST</t>
  </si>
  <si>
    <t xml:space="preserve">CWE COUNT LAST </t>
  </si>
  <si>
    <t>num of rev</t>
  </si>
  <si>
    <t>cwe</t>
  </si>
  <si>
    <t>number of revisions</t>
  </si>
  <si>
    <t>36691088-2</t>
  </si>
  <si>
    <t>41868368-2</t>
  </si>
  <si>
    <t>37410779-2</t>
  </si>
  <si>
    <t>41868368-1</t>
  </si>
  <si>
    <t>find</t>
  </si>
  <si>
    <t>noticed in 2</t>
  </si>
  <si>
    <t>noticed in 3</t>
  </si>
  <si>
    <t>24890-3</t>
  </si>
  <si>
    <t>Final version CWEs</t>
  </si>
  <si>
    <t>Pre CWEs</t>
  </si>
  <si>
    <t>diff</t>
  </si>
  <si>
    <t>398</t>
  </si>
  <si>
    <t>686</t>
  </si>
  <si>
    <t>FN</t>
  </si>
  <si>
    <t>negative means less of that CWE type in original versions (revisions added more of that CWE type)</t>
  </si>
  <si>
    <t>457</t>
  </si>
  <si>
    <t>IN</t>
  </si>
  <si>
    <t>positive means more of that CWE type in original (revisions reduced the number of that CWE type)</t>
  </si>
  <si>
    <t>595</t>
  </si>
  <si>
    <t>EV</t>
  </si>
  <si>
    <t>788</t>
  </si>
  <si>
    <t>ME</t>
  </si>
  <si>
    <t>571</t>
  </si>
  <si>
    <t>758</t>
  </si>
  <si>
    <t>RC</t>
  </si>
  <si>
    <t>570</t>
  </si>
  <si>
    <t>*57446 in RP had 3 instances of 401 in original, and 1 instance of 398 in final</t>
  </si>
  <si>
    <t>477</t>
  </si>
  <si>
    <t>665</t>
  </si>
  <si>
    <t>562</t>
  </si>
  <si>
    <t>467</t>
  </si>
  <si>
    <t>CWE</t>
  </si>
  <si>
    <t>CWE instances</t>
  </si>
  <si>
    <t>pre</t>
  </si>
  <si>
    <t>post</t>
  </si>
  <si>
    <t>VCS</t>
  </si>
  <si>
    <t>Cat</t>
  </si>
  <si>
    <t>561</t>
  </si>
  <si>
    <t>682</t>
  </si>
  <si>
    <t>CA</t>
  </si>
  <si>
    <t>190</t>
  </si>
  <si>
    <t>369</t>
  </si>
  <si>
    <t>252</t>
  </si>
  <si>
    <t>704</t>
  </si>
  <si>
    <t>CN</t>
  </si>
  <si>
    <t>401</t>
  </si>
  <si>
    <t>195</t>
  </si>
  <si>
    <t>476</t>
  </si>
  <si>
    <t>768</t>
  </si>
  <si>
    <t>783</t>
  </si>
  <si>
    <t>685</t>
  </si>
  <si>
    <t>664</t>
  </si>
  <si>
    <t>RE</t>
  </si>
  <si>
    <t>590</t>
  </si>
  <si>
    <t>628</t>
  </si>
  <si>
    <t>683</t>
  </si>
  <si>
    <t>672</t>
  </si>
  <si>
    <t>687</t>
  </si>
  <si>
    <t>762</t>
  </si>
  <si>
    <t>Pre%</t>
  </si>
  <si>
    <t>Post%</t>
  </si>
  <si>
    <t>Pre edit improved%</t>
  </si>
  <si>
    <t>Post</t>
  </si>
  <si>
    <t>ev</t>
  </si>
  <si>
    <t>Evaluation</t>
  </si>
  <si>
    <t>Mem</t>
  </si>
  <si>
    <t>fn</t>
  </si>
  <si>
    <t>in</t>
  </si>
  <si>
    <t>Init</t>
  </si>
  <si>
    <t>me</t>
  </si>
  <si>
    <t>*not 740 because many code</t>
  </si>
  <si>
    <t>Func</t>
  </si>
  <si>
    <t>snippets contain 1+ CWE types</t>
  </si>
  <si>
    <t>Reach</t>
  </si>
  <si>
    <t>Calc</t>
  </si>
  <si>
    <t>Con</t>
  </si>
  <si>
    <t>Resc</t>
  </si>
  <si>
    <t>0 cve instances</t>
  </si>
  <si>
    <t>Do the vulnerability types differ based on revision type?</t>
  </si>
  <si>
    <t>Code Correction</t>
  </si>
  <si>
    <t>in arduino as the example</t>
  </si>
  <si>
    <t>Code Formatting</t>
  </si>
  <si>
    <t>Code Improvement</t>
  </si>
  <si>
    <t>Code Removal/Addition</t>
  </si>
  <si>
    <t>a</t>
  </si>
  <si>
    <t>r</t>
  </si>
  <si>
    <t>s</t>
  </si>
  <si>
    <t>Raspberry pi</t>
  </si>
  <si>
    <t>Category</t>
  </si>
  <si>
    <t>#rev</t>
  </si>
  <si>
    <t>#total</t>
  </si>
  <si>
    <t>not exactly 142 since some snippets have &gt;1 cwe types, so every CWE type present in that snippet will get a rev type count +=1</t>
  </si>
  <si>
    <t>total</t>
  </si>
  <si>
    <t>unchanged</t>
  </si>
  <si>
    <t>cwe id</t>
  </si>
  <si>
    <t>cwe title</t>
  </si>
  <si>
    <t>Total number of CVE instances</t>
  </si>
  <si>
    <t>DOS</t>
  </si>
  <si>
    <t>Code Execution</t>
  </si>
  <si>
    <t>Overflow</t>
  </si>
  <si>
    <t>Memory Corruption</t>
  </si>
  <si>
    <t>xss</t>
  </si>
  <si>
    <t>bypass something</t>
  </si>
  <si>
    <t>gain information</t>
  </si>
  <si>
    <t>gain privileges</t>
  </si>
  <si>
    <t>NONE</t>
  </si>
  <si>
    <t>#Types</t>
  </si>
  <si>
    <t>Integer Overflow or Wraparound</t>
  </si>
  <si>
    <t>NULL Pointer Dereference</t>
  </si>
  <si>
    <t>Divide By Zero</t>
  </si>
  <si>
    <t>Failure to Release Memory Before Removing Last Reference ('Memory Leak')</t>
  </si>
  <si>
    <t>Incorrect Type Conversion or Cast</t>
  </si>
  <si>
    <t>Improper Initialization</t>
  </si>
  <si>
    <t>Incorrect Calculation</t>
  </si>
  <si>
    <t>Unchecked Return Value</t>
  </si>
  <si>
    <t>Access of Memory Location After End of Buffer</t>
  </si>
  <si>
    <t>Operation on a Resource after Expiration or Release</t>
  </si>
  <si>
    <t>Improper Control of a Resource Through its Lifetime</t>
  </si>
  <si>
    <t>Use of Uninitialized Variable</t>
  </si>
  <si>
    <t>not correct</t>
  </si>
  <si>
    <t>YES</t>
  </si>
  <si>
    <t>ME, CN, FN, IN, CA</t>
  </si>
  <si>
    <t>ME, CN, FN, RE, IN, CA</t>
  </si>
  <si>
    <t>ME, CN, FN, CA</t>
  </si>
  <si>
    <t>ME, CN</t>
  </si>
  <si>
    <t>ME, CN, IN, CA</t>
  </si>
  <si>
    <t>Number of CVE instances</t>
  </si>
  <si>
    <t xml:space="preserve">low cvss score count </t>
  </si>
  <si>
    <t xml:space="preserve">medium cvss score count </t>
  </si>
  <si>
    <t xml:space="preserve">High cvss score count </t>
  </si>
  <si>
    <t>critical coun</t>
  </si>
  <si>
    <t>Score</t>
  </si>
  <si>
    <t>low</t>
  </si>
  <si>
    <t>med</t>
  </si>
  <si>
    <t>high</t>
  </si>
  <si>
    <t>critical</t>
  </si>
  <si>
    <t>Calculation</t>
  </si>
  <si>
    <t>high and critical</t>
  </si>
  <si>
    <t>Conversion</t>
  </si>
  <si>
    <t>Function</t>
  </si>
  <si>
    <t>Initialization</t>
  </si>
  <si>
    <t>Memory</t>
  </si>
  <si>
    <t>Resource</t>
  </si>
  <si>
    <t>low = 0.1-3.9</t>
  </si>
  <si>
    <t>med = 4.0-6.9</t>
  </si>
  <si>
    <t>high = 7.0 - 8.9</t>
  </si>
  <si>
    <t>critical = 9-10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</si>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</sst>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 tint="0.34998626667073579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D9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EA49D"/>
        <bgColor indexed="64"/>
      </patternFill>
    </fill>
    <fill>
      <patternFill patternType="solid">
        <fgColor rgb="FFEEAEA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1" xfId="0" applyBorder="1"/>
    <xf numFmtId="3" fontId="0" fillId="0" borderId="0" xfId="0" applyNumberFormat="1"/>
    <xf numFmtId="0" fontId="2" fillId="2" borderId="0" xfId="0" applyFont="1" applyFill="1"/>
    <xf numFmtId="0" fontId="0" fillId="0" borderId="0" xfId="0" quotePrefix="1"/>
    <xf numFmtId="10" fontId="0" fillId="0" borderId="0" xfId="0" applyNumberFormat="1"/>
    <xf numFmtId="10" fontId="1" fillId="0" borderId="0" xfId="0" applyNumberFormat="1" applyFont="1"/>
    <xf numFmtId="0" fontId="1" fillId="0" borderId="0" xfId="0" quotePrefix="1" applyFont="1"/>
    <xf numFmtId="0" fontId="1" fillId="3" borderId="2" xfId="0" applyFont="1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1" fillId="3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1" fillId="4" borderId="2" xfId="0" applyFont="1" applyFill="1" applyBorder="1"/>
    <xf numFmtId="0" fontId="1" fillId="4" borderId="1" xfId="0" applyFont="1" applyFill="1" applyBorder="1"/>
    <xf numFmtId="0" fontId="1" fillId="4" borderId="3" xfId="0" applyFont="1" applyFill="1" applyBorder="1"/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0" fontId="1" fillId="4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10" fontId="0" fillId="0" borderId="0" xfId="0" applyNumberFormat="1" applyAlignment="1">
      <alignment horizontal="center"/>
    </xf>
    <xf numFmtId="0" fontId="1" fillId="5" borderId="9" xfId="0" applyFont="1" applyFill="1" applyBorder="1"/>
    <xf numFmtId="0" fontId="3" fillId="5" borderId="9" xfId="0" applyFont="1" applyFill="1" applyBorder="1"/>
    <xf numFmtId="0" fontId="3" fillId="5" borderId="10" xfId="0" applyFont="1" applyFill="1" applyBorder="1"/>
    <xf numFmtId="0" fontId="4" fillId="0" borderId="0" xfId="0" applyFont="1"/>
    <xf numFmtId="0" fontId="4" fillId="0" borderId="11" xfId="0" applyFont="1" applyBorder="1"/>
    <xf numFmtId="0" fontId="5" fillId="0" borderId="0" xfId="0" applyFont="1"/>
    <xf numFmtId="0" fontId="4" fillId="0" borderId="12" xfId="0" applyFont="1" applyBorder="1"/>
    <xf numFmtId="0" fontId="6" fillId="0" borderId="9" xfId="0" applyFont="1" applyBorder="1"/>
    <xf numFmtId="0" fontId="0" fillId="6" borderId="0" xfId="0" applyFill="1"/>
    <xf numFmtId="2" fontId="0" fillId="6" borderId="0" xfId="0" applyNumberFormat="1" applyFill="1"/>
    <xf numFmtId="2" fontId="0" fillId="0" borderId="0" xfId="0" applyNumberFormat="1"/>
    <xf numFmtId="10" fontId="8" fillId="0" borderId="0" xfId="0" applyNumberFormat="1" applyFont="1"/>
    <xf numFmtId="0" fontId="0" fillId="5" borderId="0" xfId="0" applyFill="1"/>
    <xf numFmtId="2" fontId="0" fillId="5" borderId="0" xfId="0" applyNumberFormat="1" applyFill="1"/>
    <xf numFmtId="0" fontId="0" fillId="7" borderId="0" xfId="0" applyFill="1"/>
    <xf numFmtId="2" fontId="0" fillId="7" borderId="0" xfId="0" applyNumberFormat="1" applyFill="1"/>
    <xf numFmtId="0" fontId="0" fillId="8" borderId="0" xfId="0" applyFill="1"/>
    <xf numFmtId="2" fontId="0" fillId="8" borderId="0" xfId="0" applyNumberFormat="1" applyFill="1"/>
    <xf numFmtId="0" fontId="0" fillId="10" borderId="0" xfId="0" applyFill="1"/>
    <xf numFmtId="2" fontId="0" fillId="10" borderId="0" xfId="0" applyNumberFormat="1" applyFill="1"/>
    <xf numFmtId="0" fontId="0" fillId="12" borderId="0" xfId="0" applyFill="1"/>
    <xf numFmtId="2" fontId="0" fillId="12" borderId="0" xfId="0" applyNumberFormat="1" applyFill="1"/>
    <xf numFmtId="10" fontId="1" fillId="0" borderId="0" xfId="1" applyNumberFormat="1" applyFont="1"/>
    <xf numFmtId="0" fontId="9" fillId="0" borderId="0" xfId="0" applyFont="1"/>
    <xf numFmtId="164" fontId="1" fillId="6" borderId="0" xfId="0" applyNumberFormat="1" applyFont="1" applyFill="1"/>
    <xf numFmtId="164" fontId="1" fillId="5" borderId="0" xfId="0" applyNumberFormat="1" applyFont="1" applyFill="1"/>
    <xf numFmtId="164" fontId="1" fillId="7" borderId="0" xfId="0" applyNumberFormat="1" applyFont="1" applyFill="1"/>
    <xf numFmtId="164" fontId="1" fillId="9" borderId="0" xfId="0" applyNumberFormat="1" applyFont="1" applyFill="1"/>
    <xf numFmtId="164" fontId="1" fillId="0" borderId="0" xfId="0" applyNumberFormat="1" applyFont="1"/>
    <xf numFmtId="164" fontId="1" fillId="11" borderId="0" xfId="0" applyNumberFormat="1" applyFont="1" applyFill="1"/>
    <xf numFmtId="164" fontId="1" fillId="12" borderId="0" xfId="0" applyNumberFormat="1" applyFont="1" applyFill="1"/>
    <xf numFmtId="0" fontId="10" fillId="0" borderId="0" xfId="0" applyFont="1"/>
    <xf numFmtId="0" fontId="3" fillId="0" borderId="0" xfId="0" applyFont="1"/>
    <xf numFmtId="0" fontId="11" fillId="0" borderId="0" xfId="0" applyFont="1"/>
    <xf numFmtId="0" fontId="1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colors>
    <mruColors>
      <color rgb="FFFA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92C-468C-B0D8-3A0A26253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92C-468C-B0D8-3A0A262539C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92C-468C-B0D8-3A0A262539C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92C-468C-B0D8-3A0A262539C9}"/>
              </c:ext>
            </c:extLst>
          </c:dPt>
          <c:cat>
            <c:strRef>
              <c:f>'RQ4'!$A$3:$D$3</c:f>
              <c:strCache>
                <c:ptCount val="4"/>
                <c:pt idx="0">
                  <c:v>Code Correction</c:v>
                </c:pt>
                <c:pt idx="1">
                  <c:v>Code Formatting</c:v>
                </c:pt>
                <c:pt idx="2">
                  <c:v>Code Improvement</c:v>
                </c:pt>
                <c:pt idx="3">
                  <c:v>Code Removal/Addition</c:v>
                </c:pt>
              </c:strCache>
            </c:strRef>
          </c:cat>
          <c:val>
            <c:numRef>
              <c:f>'RQ4'!$A$7:$D$7</c:f>
              <c:numCache>
                <c:formatCode>General</c:formatCode>
                <c:ptCount val="4"/>
                <c:pt idx="0">
                  <c:v>31</c:v>
                </c:pt>
                <c:pt idx="1">
                  <c:v>9</c:v>
                </c:pt>
                <c:pt idx="2">
                  <c:v>86</c:v>
                </c:pt>
                <c:pt idx="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E0-47C2-AF6D-A2B994D11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561975</xdr:colOff>
      <xdr:row>0</xdr:row>
      <xdr:rowOff>0</xdr:rowOff>
    </xdr:from>
    <xdr:to>
      <xdr:col>10</xdr:col>
      <xdr:colOff>457200</xdr:colOff>
      <xdr:row>10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07D195-A4AB-41FD-9AA3-CA2A32BA87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"/>
  <sheetViews>
    <sheetView topLeftCell="A17" workbookViewId="0">
      <selection activeCell="K24" sqref="K24"/>
    </sheetView>
  </sheetViews>
  <sheetFormatPr defaultRowHeight="15" x14ac:dyDescent="0.25"/>
  <cols>
    <col min="1" max="1" width="15.7109375" customWidth="1"/>
    <col min="2" max="2" width="35.5703125" customWidth="1"/>
    <col min="3" max="3" width="20.42578125" customWidth="1"/>
    <col min="4" max="4" width="16.7109375" customWidth="1"/>
    <col min="11" max="11" width="14.7109375" customWidth="1"/>
    <col min="12" max="12" width="19.42578125" customWidth="1"/>
    <col min="13" max="13" width="21.140625" customWidth="1"/>
  </cols>
  <sheetData>
    <row r="1" spans="1:22" x14ac:dyDescent="0.25">
      <c r="A1" t="s">
        <v>0</v>
      </c>
    </row>
    <row r="3" spans="1:2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J3" t="s">
        <v>6</v>
      </c>
      <c r="O3" t="s">
        <v>7</v>
      </c>
      <c r="V3" t="s">
        <v>8</v>
      </c>
    </row>
    <row r="4" spans="1:22" x14ac:dyDescent="0.25">
      <c r="A4">
        <v>0</v>
      </c>
      <c r="B4">
        <v>598</v>
      </c>
      <c r="C4">
        <v>598</v>
      </c>
      <c r="J4">
        <f>740-O4</f>
        <v>713</v>
      </c>
      <c r="O4">
        <v>27</v>
      </c>
    </row>
    <row r="5" spans="1:22" x14ac:dyDescent="0.25">
      <c r="A5">
        <v>1</v>
      </c>
      <c r="B5">
        <v>87</v>
      </c>
      <c r="C5">
        <v>64</v>
      </c>
      <c r="D5">
        <v>4</v>
      </c>
      <c r="E5">
        <v>19</v>
      </c>
      <c r="J5" s="8">
        <f>J4/B11</f>
        <v>0.96351351351351355</v>
      </c>
      <c r="O5" s="8">
        <f>O4/B11</f>
        <v>3.6486486486486489E-2</v>
      </c>
    </row>
    <row r="6" spans="1:22" x14ac:dyDescent="0.25">
      <c r="A6">
        <v>2</v>
      </c>
      <c r="B6">
        <v>39</v>
      </c>
      <c r="C6">
        <v>21</v>
      </c>
      <c r="D6">
        <v>5</v>
      </c>
      <c r="E6">
        <v>13</v>
      </c>
    </row>
    <row r="7" spans="1:22" x14ac:dyDescent="0.25">
      <c r="A7">
        <v>3</v>
      </c>
      <c r="B7">
        <v>9</v>
      </c>
      <c r="C7">
        <v>8</v>
      </c>
      <c r="D7">
        <v>0</v>
      </c>
      <c r="E7">
        <v>1</v>
      </c>
    </row>
    <row r="8" spans="1:22" x14ac:dyDescent="0.25">
      <c r="A8">
        <v>4</v>
      </c>
      <c r="B8">
        <v>3</v>
      </c>
      <c r="C8">
        <v>2</v>
      </c>
      <c r="D8">
        <v>0</v>
      </c>
      <c r="E8">
        <v>1</v>
      </c>
    </row>
    <row r="9" spans="1:22" x14ac:dyDescent="0.25">
      <c r="A9">
        <v>5</v>
      </c>
      <c r="B9">
        <v>2</v>
      </c>
      <c r="C9">
        <v>1</v>
      </c>
      <c r="D9">
        <v>0</v>
      </c>
      <c r="E9">
        <v>1</v>
      </c>
    </row>
    <row r="10" spans="1:22" x14ac:dyDescent="0.25">
      <c r="A10">
        <v>8</v>
      </c>
      <c r="B10">
        <v>2</v>
      </c>
      <c r="C10">
        <v>2</v>
      </c>
      <c r="D10">
        <v>0</v>
      </c>
      <c r="E10">
        <v>0</v>
      </c>
    </row>
    <row r="11" spans="1:22" x14ac:dyDescent="0.25">
      <c r="B11" s="1">
        <f>SUM(B4:B10)</f>
        <v>740</v>
      </c>
      <c r="C11">
        <f>SUM(B5:B10)</f>
        <v>142</v>
      </c>
      <c r="E11" s="3">
        <f>SUM(E5:E10)</f>
        <v>35</v>
      </c>
    </row>
    <row r="14" spans="1:22" x14ac:dyDescent="0.25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</row>
    <row r="15" spans="1:22" x14ac:dyDescent="0.25">
      <c r="A15">
        <v>0</v>
      </c>
      <c r="B15">
        <v>598</v>
      </c>
      <c r="C15" s="2">
        <v>1</v>
      </c>
      <c r="D15" s="2" t="s">
        <v>9</v>
      </c>
      <c r="E15" s="2" t="s">
        <v>9</v>
      </c>
    </row>
    <row r="16" spans="1:22" x14ac:dyDescent="0.25">
      <c r="A16">
        <v>1</v>
      </c>
      <c r="B16">
        <v>87</v>
      </c>
      <c r="C16" s="2">
        <f>C5/$B5</f>
        <v>0.73563218390804597</v>
      </c>
      <c r="D16" s="2">
        <f>D5/$B5</f>
        <v>4.5977011494252873E-2</v>
      </c>
      <c r="E16" s="2">
        <f>E5/$B5</f>
        <v>0.21839080459770116</v>
      </c>
    </row>
    <row r="17" spans="1:17" x14ac:dyDescent="0.25">
      <c r="A17">
        <v>2</v>
      </c>
      <c r="B17">
        <v>39</v>
      </c>
      <c r="C17" s="2">
        <f t="shared" ref="C17:D20" si="0">C6/$B6</f>
        <v>0.53846153846153844</v>
      </c>
      <c r="D17" s="2">
        <f>D6/$B6</f>
        <v>0.12820512820512819</v>
      </c>
      <c r="E17" s="2">
        <f>E6/$B6</f>
        <v>0.33333333333333331</v>
      </c>
    </row>
    <row r="18" spans="1:17" x14ac:dyDescent="0.25">
      <c r="A18">
        <v>3</v>
      </c>
      <c r="B18">
        <v>9</v>
      </c>
      <c r="C18" s="2">
        <f>C7/$B7</f>
        <v>0.88888888888888884</v>
      </c>
      <c r="D18" s="2">
        <f t="shared" si="0"/>
        <v>0</v>
      </c>
      <c r="E18" s="2">
        <f t="shared" ref="E18" si="1">E7/$B7</f>
        <v>0.1111111111111111</v>
      </c>
    </row>
    <row r="19" spans="1:17" x14ac:dyDescent="0.25">
      <c r="A19">
        <v>4</v>
      </c>
      <c r="B19">
        <v>3</v>
      </c>
      <c r="C19" s="2">
        <f t="shared" si="0"/>
        <v>0.66666666666666663</v>
      </c>
      <c r="D19" s="2">
        <f t="shared" si="0"/>
        <v>0</v>
      </c>
      <c r="E19" s="2">
        <f t="shared" ref="E19" si="2">E8/$B8</f>
        <v>0.33333333333333331</v>
      </c>
    </row>
    <row r="20" spans="1:17" x14ac:dyDescent="0.25">
      <c r="A20">
        <v>5</v>
      </c>
      <c r="B20">
        <v>2</v>
      </c>
      <c r="C20" s="2">
        <f t="shared" si="0"/>
        <v>0.5</v>
      </c>
      <c r="D20" s="2">
        <f t="shared" si="0"/>
        <v>0</v>
      </c>
      <c r="E20" s="2">
        <f t="shared" ref="E20" si="3">E9/$B9</f>
        <v>0.5</v>
      </c>
    </row>
    <row r="21" spans="1:17" x14ac:dyDescent="0.25">
      <c r="A21">
        <v>8</v>
      </c>
      <c r="B21">
        <v>2</v>
      </c>
      <c r="C21" s="2">
        <f>C10/$B10</f>
        <v>1</v>
      </c>
      <c r="D21" s="2">
        <f t="shared" ref="D21:E21" si="4">D10/$B10</f>
        <v>0</v>
      </c>
      <c r="E21" s="2">
        <f t="shared" si="4"/>
        <v>0</v>
      </c>
    </row>
    <row r="22" spans="1:17" x14ac:dyDescent="0.25">
      <c r="B22">
        <v>740</v>
      </c>
    </row>
    <row r="24" spans="1:17" x14ac:dyDescent="0.25">
      <c r="B24" s="8">
        <f>B15/(SUM(B15:B21))</f>
        <v>0.80810810810810807</v>
      </c>
      <c r="C24" t="s">
        <v>10</v>
      </c>
    </row>
    <row r="25" spans="1:17" x14ac:dyDescent="0.25">
      <c r="B25" s="8">
        <f>SUM(C5:C9)/C11</f>
        <v>0.676056338028169</v>
      </c>
      <c r="C25" t="s">
        <v>11</v>
      </c>
    </row>
    <row r="27" spans="1:17" x14ac:dyDescent="0.25">
      <c r="J27" s="5"/>
    </row>
    <row r="31" spans="1:17" x14ac:dyDescent="0.25">
      <c r="A31" t="s">
        <v>12</v>
      </c>
      <c r="L31" t="s">
        <v>13</v>
      </c>
    </row>
    <row r="32" spans="1:17" x14ac:dyDescent="0.25">
      <c r="A32" t="s">
        <v>14</v>
      </c>
      <c r="B32">
        <f>378-M32</f>
        <v>362</v>
      </c>
      <c r="C32">
        <f>B32/709</f>
        <v>0.51057827926657262</v>
      </c>
      <c r="E32" s="2">
        <f>B32/Q32</f>
        <v>0.95767195767195767</v>
      </c>
      <c r="L32" t="s">
        <v>14</v>
      </c>
      <c r="M32">
        <v>16</v>
      </c>
      <c r="N32">
        <f>M32/37</f>
        <v>0.43243243243243246</v>
      </c>
      <c r="P32" s="2">
        <f>M32/Q32</f>
        <v>4.2328042328042326E-2</v>
      </c>
      <c r="Q32">
        <f>B32+M32</f>
        <v>378</v>
      </c>
    </row>
    <row r="33" spans="1:17" x14ac:dyDescent="0.25">
      <c r="A33" t="s">
        <v>15</v>
      </c>
      <c r="B33">
        <f>322-M33</f>
        <v>311</v>
      </c>
      <c r="C33">
        <f t="shared" ref="C33:C34" si="5">B33/709</f>
        <v>0.43864598025387869</v>
      </c>
      <c r="E33" s="2">
        <f t="shared" ref="E33:E34" si="6">B33/Q33</f>
        <v>0.96583850931677018</v>
      </c>
      <c r="L33" t="s">
        <v>15</v>
      </c>
      <c r="M33">
        <v>11</v>
      </c>
      <c r="N33">
        <f t="shared" ref="N33:N34" si="7">M33/37</f>
        <v>0.29729729729729731</v>
      </c>
      <c r="P33" s="2">
        <f t="shared" ref="P33:P34" si="8">M33/Q33</f>
        <v>3.4161490683229816E-2</v>
      </c>
      <c r="Q33">
        <f t="shared" ref="Q33:Q34" si="9">B33+M33</f>
        <v>322</v>
      </c>
    </row>
    <row r="34" spans="1:17" x14ac:dyDescent="0.25">
      <c r="A34" t="s">
        <v>16</v>
      </c>
      <c r="B34">
        <f>40-M34</f>
        <v>40</v>
      </c>
      <c r="C34">
        <f t="shared" si="5"/>
        <v>5.6417489421720736E-2</v>
      </c>
      <c r="E34" s="2">
        <f t="shared" si="6"/>
        <v>1</v>
      </c>
      <c r="L34" t="s">
        <v>16</v>
      </c>
      <c r="M34">
        <v>0</v>
      </c>
      <c r="N34">
        <f t="shared" si="7"/>
        <v>0</v>
      </c>
      <c r="P34" s="2">
        <f t="shared" si="8"/>
        <v>0</v>
      </c>
      <c r="Q34">
        <f t="shared" si="9"/>
        <v>40</v>
      </c>
    </row>
    <row r="35" spans="1:17" x14ac:dyDescent="0.25">
      <c r="B35">
        <f>SUM(B32:B34)</f>
        <v>713</v>
      </c>
      <c r="M35">
        <f>SUM(M32:M34)</f>
        <v>27</v>
      </c>
      <c r="P35" s="2"/>
      <c r="Q35">
        <f>SUM(Q32:Q34)</f>
        <v>740</v>
      </c>
    </row>
    <row r="39" spans="1:17" x14ac:dyDescent="0.25">
      <c r="A39" t="s">
        <v>17</v>
      </c>
    </row>
    <row r="40" spans="1:17" x14ac:dyDescent="0.25">
      <c r="A40" t="s">
        <v>3</v>
      </c>
      <c r="B40" t="s">
        <v>18</v>
      </c>
      <c r="C40" t="s">
        <v>19</v>
      </c>
    </row>
    <row r="41" spans="1:17" x14ac:dyDescent="0.25">
      <c r="A41">
        <f>SUM(C5:C10)</f>
        <v>98</v>
      </c>
      <c r="B41">
        <f>SUM(D5:D10)</f>
        <v>9</v>
      </c>
      <c r="C41">
        <v>8</v>
      </c>
      <c r="E41">
        <f>SUM(A41:C41)</f>
        <v>115</v>
      </c>
    </row>
    <row r="42" spans="1:17" x14ac:dyDescent="0.25">
      <c r="A42">
        <f>A41/113</f>
        <v>0.86725663716814161</v>
      </c>
      <c r="B42">
        <f t="shared" ref="B42:C42" si="10">B41/113</f>
        <v>7.9646017699115043E-2</v>
      </c>
      <c r="C42">
        <f t="shared" si="10"/>
        <v>7.0796460176991149E-2</v>
      </c>
    </row>
    <row r="46" spans="1:17" x14ac:dyDescent="0.25">
      <c r="K46" s="19" t="s">
        <v>20</v>
      </c>
      <c r="L46" s="20"/>
      <c r="M46" s="21"/>
    </row>
    <row r="47" spans="1:17" x14ac:dyDescent="0.25">
      <c r="A47" s="10" t="s">
        <v>21</v>
      </c>
      <c r="B47" s="11"/>
      <c r="C47" s="12"/>
      <c r="K47" s="22"/>
      <c r="L47" s="23"/>
      <c r="M47" s="24"/>
    </row>
    <row r="48" spans="1:17" x14ac:dyDescent="0.25">
      <c r="A48" s="13"/>
      <c r="B48" s="14" t="s">
        <v>22</v>
      </c>
      <c r="C48" s="15"/>
      <c r="K48" s="22" t="s">
        <v>23</v>
      </c>
      <c r="L48" s="23"/>
      <c r="M48" s="24"/>
    </row>
    <row r="49" spans="1:13" x14ac:dyDescent="0.25">
      <c r="A49" s="13"/>
      <c r="B49" s="14" t="s">
        <v>24</v>
      </c>
      <c r="C49" s="15"/>
      <c r="K49" s="22"/>
      <c r="L49" s="23"/>
      <c r="M49" s="24"/>
    </row>
    <row r="50" spans="1:13" x14ac:dyDescent="0.25">
      <c r="A50" s="13"/>
      <c r="B50" s="14" t="s">
        <v>25</v>
      </c>
      <c r="C50" s="15"/>
      <c r="K50" s="22"/>
      <c r="L50" s="23"/>
      <c r="M50" s="24"/>
    </row>
    <row r="51" spans="1:13" x14ac:dyDescent="0.25">
      <c r="A51" s="13"/>
      <c r="B51" s="14" t="s">
        <v>26</v>
      </c>
      <c r="C51" s="15"/>
      <c r="K51" s="22"/>
      <c r="L51" s="23"/>
      <c r="M51" s="24"/>
    </row>
    <row r="52" spans="1:13" x14ac:dyDescent="0.25">
      <c r="A52" s="13"/>
      <c r="B52" s="14" t="s">
        <v>27</v>
      </c>
      <c r="C52" s="15"/>
      <c r="K52" s="22"/>
      <c r="L52" s="23"/>
      <c r="M52" s="24"/>
    </row>
    <row r="53" spans="1:13" x14ac:dyDescent="0.25">
      <c r="A53" s="13"/>
      <c r="B53" s="14" t="s">
        <v>28</v>
      </c>
      <c r="C53" s="15"/>
      <c r="K53" s="22"/>
      <c r="L53" s="23"/>
      <c r="M53" s="24"/>
    </row>
    <row r="54" spans="1:13" x14ac:dyDescent="0.25">
      <c r="A54" s="13"/>
      <c r="B54" s="14" t="s">
        <v>29</v>
      </c>
      <c r="C54" s="15"/>
      <c r="K54" s="22"/>
      <c r="L54" s="23"/>
      <c r="M54" s="24"/>
    </row>
    <row r="55" spans="1:13" x14ac:dyDescent="0.25">
      <c r="A55" s="13"/>
      <c r="B55" s="14" t="s">
        <v>30</v>
      </c>
      <c r="C55" s="15"/>
      <c r="F55" s="14"/>
      <c r="K55" s="22"/>
      <c r="L55" s="23"/>
      <c r="M55" s="24"/>
    </row>
    <row r="56" spans="1:13" x14ac:dyDescent="0.25">
      <c r="A56" s="13"/>
      <c r="B56" s="14" t="s">
        <v>24</v>
      </c>
      <c r="C56" s="15"/>
      <c r="K56" s="22"/>
      <c r="L56" s="23"/>
      <c r="M56" s="24"/>
    </row>
    <row r="57" spans="1:13" x14ac:dyDescent="0.25">
      <c r="A57" s="13"/>
      <c r="B57" s="14" t="s">
        <v>31</v>
      </c>
      <c r="C57" s="15"/>
      <c r="K57" s="22"/>
      <c r="L57" s="23"/>
      <c r="M57" s="24"/>
    </row>
    <row r="58" spans="1:13" x14ac:dyDescent="0.25">
      <c r="A58" s="13"/>
      <c r="B58" s="14" t="s">
        <v>32</v>
      </c>
      <c r="C58" s="15"/>
      <c r="K58" s="22"/>
      <c r="L58" s="23"/>
      <c r="M58" s="24"/>
    </row>
    <row r="59" spans="1:13" x14ac:dyDescent="0.25">
      <c r="A59" s="13"/>
      <c r="B59" s="14" t="s">
        <v>29</v>
      </c>
      <c r="C59" s="15"/>
      <c r="K59" s="22"/>
      <c r="L59" s="23"/>
      <c r="M59" s="24"/>
    </row>
    <row r="60" spans="1:13" x14ac:dyDescent="0.25">
      <c r="A60" s="16" t="s">
        <v>33</v>
      </c>
      <c r="B60" s="17" t="s">
        <v>34</v>
      </c>
      <c r="C60" s="18" t="s">
        <v>35</v>
      </c>
      <c r="K60" s="25"/>
      <c r="L60" s="26"/>
      <c r="M60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75BE6-2156-4013-9C1D-CB3A46DD9948}">
  <dimension ref="A1:N18"/>
  <sheetViews>
    <sheetView workbookViewId="0">
      <selection activeCell="F26" sqref="F26"/>
    </sheetView>
  </sheetViews>
  <sheetFormatPr defaultRowHeight="15" x14ac:dyDescent="0.25"/>
  <cols>
    <col min="2" max="2" width="9.85546875" bestFit="1" customWidth="1"/>
  </cols>
  <sheetData>
    <row r="1" spans="1:11" x14ac:dyDescent="0.25">
      <c r="A1" t="s">
        <v>36</v>
      </c>
      <c r="K1" t="s">
        <v>37</v>
      </c>
    </row>
    <row r="2" spans="1:11" x14ac:dyDescent="0.25">
      <c r="A2" t="s">
        <v>38</v>
      </c>
      <c r="B2">
        <v>53585255</v>
      </c>
      <c r="C2" t="s">
        <v>39</v>
      </c>
      <c r="K2" t="s">
        <v>40</v>
      </c>
    </row>
    <row r="4" spans="1:11" x14ac:dyDescent="0.25">
      <c r="K4" t="s">
        <v>41</v>
      </c>
    </row>
    <row r="6" spans="1:11" x14ac:dyDescent="0.25">
      <c r="K6" t="s">
        <v>42</v>
      </c>
    </row>
    <row r="8" spans="1:11" x14ac:dyDescent="0.25">
      <c r="K8" t="s">
        <v>43</v>
      </c>
    </row>
    <row r="9" spans="1:11" x14ac:dyDescent="0.25">
      <c r="K9" t="s">
        <v>44</v>
      </c>
    </row>
    <row r="10" spans="1:11" x14ac:dyDescent="0.25">
      <c r="K10" t="s">
        <v>45</v>
      </c>
    </row>
    <row r="12" spans="1:11" x14ac:dyDescent="0.25">
      <c r="K12" t="s">
        <v>46</v>
      </c>
    </row>
    <row r="13" spans="1:11" x14ac:dyDescent="0.25">
      <c r="K13" t="s">
        <v>47</v>
      </c>
    </row>
    <row r="14" spans="1:11" x14ac:dyDescent="0.25">
      <c r="K14" t="s">
        <v>48</v>
      </c>
    </row>
    <row r="15" spans="1:11" x14ac:dyDescent="0.25">
      <c r="K15" t="s">
        <v>49</v>
      </c>
    </row>
    <row r="16" spans="1:11" x14ac:dyDescent="0.25">
      <c r="K16" t="s">
        <v>50</v>
      </c>
    </row>
    <row r="17" spans="11:14" x14ac:dyDescent="0.25">
      <c r="K17" t="s">
        <v>29</v>
      </c>
    </row>
    <row r="18" spans="11:14" x14ac:dyDescent="0.25">
      <c r="K18" t="s">
        <v>51</v>
      </c>
      <c r="M18" t="s">
        <v>52</v>
      </c>
      <c r="N1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F536-8180-4DFA-8F13-5224C5CA3CD4}">
  <dimension ref="A1:AT141"/>
  <sheetViews>
    <sheetView workbookViewId="0">
      <selection activeCell="W81" sqref="W81"/>
    </sheetView>
  </sheetViews>
  <sheetFormatPr defaultRowHeight="15" x14ac:dyDescent="0.25"/>
  <cols>
    <col min="3" max="3" width="11.85546875" customWidth="1"/>
    <col min="18" max="18" width="15" customWidth="1"/>
  </cols>
  <sheetData>
    <row r="1" spans="1:24" x14ac:dyDescent="0.25">
      <c r="A1" t="s">
        <v>54</v>
      </c>
    </row>
    <row r="3" spans="1:24" x14ac:dyDescent="0.25">
      <c r="A3" s="1" t="s">
        <v>18</v>
      </c>
      <c r="J3" s="1"/>
      <c r="K3" s="1" t="s">
        <v>55</v>
      </c>
    </row>
    <row r="4" spans="1:24" x14ac:dyDescent="0.25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63</v>
      </c>
      <c r="R4" t="s">
        <v>62</v>
      </c>
      <c r="V4">
        <v>398</v>
      </c>
      <c r="W4" s="1" cm="1">
        <f t="array" ref="W4:W14">_xlfn.UNIQUE(V4:V46)</f>
        <v>398</v>
      </c>
      <c r="X4" s="1">
        <f>COUNTIF(R5:T41,W4)</f>
        <v>26</v>
      </c>
    </row>
    <row r="5" spans="1:24" x14ac:dyDescent="0.25">
      <c r="A5">
        <v>57446</v>
      </c>
      <c r="B5">
        <v>86</v>
      </c>
      <c r="C5">
        <v>80</v>
      </c>
      <c r="D5">
        <v>3</v>
      </c>
      <c r="E5">
        <v>1</v>
      </c>
      <c r="F5">
        <v>2</v>
      </c>
      <c r="G5">
        <v>401</v>
      </c>
      <c r="H5">
        <v>398</v>
      </c>
      <c r="V5">
        <v>398</v>
      </c>
      <c r="W5" s="1">
        <v>595</v>
      </c>
      <c r="X5" s="1">
        <f t="shared" ref="X5:X14" si="0">COUNTIF(R6:T42,W5)</f>
        <v>1</v>
      </c>
    </row>
    <row r="6" spans="1:24" x14ac:dyDescent="0.25">
      <c r="A6">
        <v>37727</v>
      </c>
      <c r="B6">
        <v>22</v>
      </c>
      <c r="C6">
        <v>22</v>
      </c>
      <c r="D6">
        <v>4</v>
      </c>
      <c r="E6">
        <v>2</v>
      </c>
      <c r="F6">
        <v>1</v>
      </c>
      <c r="G6">
        <v>571</v>
      </c>
      <c r="K6">
        <v>18221</v>
      </c>
      <c r="L6">
        <v>34</v>
      </c>
      <c r="M6">
        <v>70</v>
      </c>
      <c r="N6">
        <v>0</v>
      </c>
      <c r="O6">
        <v>2</v>
      </c>
      <c r="P6">
        <v>1</v>
      </c>
      <c r="R6">
        <v>398</v>
      </c>
      <c r="V6">
        <v>398</v>
      </c>
      <c r="W6" s="1">
        <v>788</v>
      </c>
      <c r="X6" s="1">
        <f t="shared" si="0"/>
        <v>5</v>
      </c>
    </row>
    <row r="7" spans="1:24" x14ac:dyDescent="0.25">
      <c r="A7">
        <v>43561</v>
      </c>
      <c r="B7">
        <v>113</v>
      </c>
      <c r="C7">
        <v>113</v>
      </c>
      <c r="D7">
        <v>2</v>
      </c>
      <c r="E7">
        <v>1</v>
      </c>
      <c r="F7">
        <v>1</v>
      </c>
      <c r="G7">
        <v>398</v>
      </c>
      <c r="K7">
        <v>21554</v>
      </c>
      <c r="L7">
        <v>129</v>
      </c>
      <c r="M7">
        <v>305</v>
      </c>
      <c r="N7">
        <v>0</v>
      </c>
      <c r="O7">
        <v>1</v>
      </c>
      <c r="P7">
        <v>2</v>
      </c>
      <c r="R7">
        <v>398</v>
      </c>
      <c r="V7">
        <v>398</v>
      </c>
      <c r="W7" s="1">
        <v>686</v>
      </c>
      <c r="X7" s="1">
        <f t="shared" si="0"/>
        <v>3</v>
      </c>
    </row>
    <row r="8" spans="1:24" x14ac:dyDescent="0.25">
      <c r="A8">
        <v>84423</v>
      </c>
      <c r="B8">
        <v>29</v>
      </c>
      <c r="C8">
        <v>28</v>
      </c>
      <c r="D8">
        <v>3</v>
      </c>
      <c r="E8">
        <v>2</v>
      </c>
      <c r="F8">
        <v>1</v>
      </c>
      <c r="G8">
        <v>457</v>
      </c>
      <c r="K8">
        <v>22739</v>
      </c>
      <c r="L8">
        <v>182</v>
      </c>
      <c r="M8">
        <v>195</v>
      </c>
      <c r="N8">
        <v>2</v>
      </c>
      <c r="O8">
        <v>3</v>
      </c>
      <c r="P8">
        <v>1</v>
      </c>
      <c r="R8">
        <v>398</v>
      </c>
      <c r="V8">
        <v>398</v>
      </c>
      <c r="W8" s="1">
        <v>562</v>
      </c>
      <c r="X8" s="1">
        <f t="shared" si="0"/>
        <v>1</v>
      </c>
    </row>
    <row r="9" spans="1:24" x14ac:dyDescent="0.25">
      <c r="A9">
        <v>12666409</v>
      </c>
      <c r="B9">
        <v>13</v>
      </c>
      <c r="C9">
        <v>20</v>
      </c>
      <c r="D9">
        <v>4</v>
      </c>
      <c r="E9">
        <v>1</v>
      </c>
      <c r="F9">
        <v>2</v>
      </c>
      <c r="K9">
        <v>29060</v>
      </c>
      <c r="L9">
        <v>20</v>
      </c>
      <c r="M9">
        <v>18</v>
      </c>
      <c r="N9">
        <v>0</v>
      </c>
      <c r="O9">
        <v>1</v>
      </c>
      <c r="P9">
        <v>2</v>
      </c>
      <c r="R9">
        <v>398</v>
      </c>
      <c r="V9">
        <v>595</v>
      </c>
      <c r="W9" s="1">
        <v>563</v>
      </c>
      <c r="X9" s="1">
        <f t="shared" si="0"/>
        <v>2</v>
      </c>
    </row>
    <row r="10" spans="1:24" x14ac:dyDescent="0.25">
      <c r="A10">
        <v>15394297</v>
      </c>
      <c r="B10">
        <v>14</v>
      </c>
      <c r="C10">
        <v>13</v>
      </c>
      <c r="D10">
        <v>0</v>
      </c>
      <c r="E10">
        <v>0</v>
      </c>
      <c r="F10">
        <v>4</v>
      </c>
      <c r="G10">
        <v>563</v>
      </c>
      <c r="K10">
        <v>33039</v>
      </c>
      <c r="L10">
        <v>19</v>
      </c>
      <c r="M10">
        <v>24</v>
      </c>
      <c r="N10">
        <v>0</v>
      </c>
      <c r="O10">
        <v>2</v>
      </c>
      <c r="P10">
        <v>2</v>
      </c>
      <c r="R10">
        <v>595</v>
      </c>
      <c r="V10">
        <v>398</v>
      </c>
      <c r="W10" s="1">
        <v>457</v>
      </c>
      <c r="X10" s="1">
        <f t="shared" si="0"/>
        <v>2</v>
      </c>
    </row>
    <row r="11" spans="1:24" x14ac:dyDescent="0.25">
      <c r="A11">
        <v>23095178</v>
      </c>
      <c r="B11">
        <v>28</v>
      </c>
      <c r="C11">
        <v>28</v>
      </c>
      <c r="D11">
        <v>1</v>
      </c>
      <c r="E11">
        <v>0</v>
      </c>
      <c r="F11">
        <v>1</v>
      </c>
      <c r="G11">
        <v>398</v>
      </c>
      <c r="K11">
        <v>36480</v>
      </c>
      <c r="L11">
        <v>92</v>
      </c>
      <c r="M11">
        <v>101</v>
      </c>
      <c r="N11">
        <v>0</v>
      </c>
      <c r="O11">
        <v>1</v>
      </c>
      <c r="P11">
        <v>2</v>
      </c>
      <c r="R11">
        <v>398</v>
      </c>
      <c r="V11">
        <v>398</v>
      </c>
      <c r="W11" s="1">
        <v>665</v>
      </c>
      <c r="X11" s="1">
        <f t="shared" si="0"/>
        <v>1</v>
      </c>
    </row>
    <row r="12" spans="1:24" x14ac:dyDescent="0.25">
      <c r="A12">
        <v>27917950</v>
      </c>
      <c r="B12">
        <v>9</v>
      </c>
      <c r="C12">
        <v>9</v>
      </c>
      <c r="D12">
        <v>1</v>
      </c>
      <c r="E12">
        <v>0</v>
      </c>
      <c r="F12">
        <v>3</v>
      </c>
      <c r="G12">
        <v>467</v>
      </c>
      <c r="K12">
        <v>43901</v>
      </c>
      <c r="L12">
        <v>37</v>
      </c>
      <c r="M12">
        <v>37</v>
      </c>
      <c r="N12">
        <v>2</v>
      </c>
      <c r="O12">
        <v>3</v>
      </c>
      <c r="P12">
        <v>1</v>
      </c>
      <c r="R12">
        <v>398</v>
      </c>
      <c r="V12">
        <v>398</v>
      </c>
      <c r="W12" s="1">
        <v>467</v>
      </c>
      <c r="X12" s="1">
        <f t="shared" si="0"/>
        <v>1</v>
      </c>
    </row>
    <row r="13" spans="1:24" x14ac:dyDescent="0.25">
      <c r="A13">
        <v>32081593</v>
      </c>
      <c r="B13">
        <v>46</v>
      </c>
      <c r="C13">
        <v>62</v>
      </c>
      <c r="D13">
        <v>3</v>
      </c>
      <c r="E13">
        <v>2</v>
      </c>
      <c r="F13">
        <v>2</v>
      </c>
      <c r="G13">
        <v>398</v>
      </c>
      <c r="K13">
        <v>480</v>
      </c>
      <c r="L13">
        <v>21</v>
      </c>
      <c r="M13">
        <v>25</v>
      </c>
      <c r="N13">
        <v>0</v>
      </c>
      <c r="O13">
        <v>3</v>
      </c>
      <c r="P13">
        <v>2</v>
      </c>
      <c r="R13" s="4">
        <v>398</v>
      </c>
      <c r="S13">
        <v>686</v>
      </c>
      <c r="T13">
        <v>768</v>
      </c>
      <c r="V13">
        <v>398</v>
      </c>
      <c r="W13" s="1">
        <v>571</v>
      </c>
      <c r="X13" s="1">
        <f t="shared" si="0"/>
        <v>1</v>
      </c>
    </row>
    <row r="14" spans="1:24" x14ac:dyDescent="0.25">
      <c r="A14" t="s">
        <v>64</v>
      </c>
      <c r="B14">
        <v>13</v>
      </c>
      <c r="C14">
        <v>13</v>
      </c>
      <c r="D14">
        <v>7</v>
      </c>
      <c r="E14">
        <v>0</v>
      </c>
      <c r="F14">
        <v>1</v>
      </c>
      <c r="G14">
        <v>563</v>
      </c>
      <c r="K14">
        <v>42923</v>
      </c>
      <c r="L14">
        <v>30</v>
      </c>
      <c r="M14">
        <v>30</v>
      </c>
      <c r="N14">
        <v>0</v>
      </c>
      <c r="O14">
        <v>1</v>
      </c>
      <c r="P14">
        <v>2</v>
      </c>
      <c r="R14">
        <v>398</v>
      </c>
      <c r="V14">
        <v>398</v>
      </c>
      <c r="W14" s="1">
        <v>768</v>
      </c>
      <c r="X14" s="1">
        <f t="shared" si="0"/>
        <v>0</v>
      </c>
    </row>
    <row r="15" spans="1:24" x14ac:dyDescent="0.25">
      <c r="A15" t="s">
        <v>65</v>
      </c>
      <c r="B15">
        <v>13</v>
      </c>
      <c r="C15">
        <v>13</v>
      </c>
      <c r="D15">
        <v>1</v>
      </c>
      <c r="E15">
        <v>0</v>
      </c>
      <c r="F15">
        <v>3</v>
      </c>
      <c r="G15">
        <v>398</v>
      </c>
      <c r="K15">
        <v>49302</v>
      </c>
      <c r="L15">
        <v>32</v>
      </c>
      <c r="M15">
        <v>50</v>
      </c>
      <c r="N15">
        <v>0</v>
      </c>
      <c r="O15">
        <v>1</v>
      </c>
      <c r="P15">
        <v>1</v>
      </c>
      <c r="R15">
        <v>398</v>
      </c>
      <c r="V15">
        <v>788</v>
      </c>
    </row>
    <row r="16" spans="1:24" x14ac:dyDescent="0.25">
      <c r="A16">
        <v>1851473</v>
      </c>
      <c r="B16">
        <v>15</v>
      </c>
      <c r="C16">
        <v>15</v>
      </c>
      <c r="D16">
        <v>1</v>
      </c>
      <c r="E16">
        <v>0</v>
      </c>
      <c r="F16">
        <v>3</v>
      </c>
      <c r="G16">
        <v>457</v>
      </c>
      <c r="K16">
        <v>60865</v>
      </c>
      <c r="L16">
        <v>14</v>
      </c>
      <c r="M16">
        <v>25</v>
      </c>
      <c r="N16">
        <v>0</v>
      </c>
      <c r="O16">
        <v>1</v>
      </c>
      <c r="P16">
        <v>1</v>
      </c>
      <c r="R16">
        <v>788</v>
      </c>
      <c r="V16">
        <v>788</v>
      </c>
    </row>
    <row r="17" spans="1:22" x14ac:dyDescent="0.25">
      <c r="A17">
        <v>19834829</v>
      </c>
      <c r="B17">
        <v>11</v>
      </c>
      <c r="C17">
        <v>11</v>
      </c>
      <c r="D17">
        <v>1</v>
      </c>
      <c r="E17">
        <v>0</v>
      </c>
      <c r="F17">
        <v>1</v>
      </c>
      <c r="G17">
        <v>457</v>
      </c>
      <c r="K17">
        <v>65502</v>
      </c>
      <c r="L17">
        <v>15</v>
      </c>
      <c r="M17">
        <v>83</v>
      </c>
      <c r="N17">
        <v>0</v>
      </c>
      <c r="O17">
        <v>2</v>
      </c>
      <c r="P17">
        <v>1</v>
      </c>
      <c r="R17">
        <v>788</v>
      </c>
      <c r="V17">
        <v>398</v>
      </c>
    </row>
    <row r="18" spans="1:22" x14ac:dyDescent="0.25">
      <c r="A18">
        <v>25153311</v>
      </c>
      <c r="B18">
        <v>23</v>
      </c>
      <c r="C18">
        <v>26</v>
      </c>
      <c r="D18">
        <v>4</v>
      </c>
      <c r="E18">
        <v>2</v>
      </c>
      <c r="F18">
        <v>1</v>
      </c>
      <c r="G18">
        <v>398</v>
      </c>
      <c r="K18">
        <v>77629</v>
      </c>
      <c r="L18">
        <v>12</v>
      </c>
      <c r="M18">
        <v>13</v>
      </c>
      <c r="N18">
        <v>0</v>
      </c>
      <c r="O18">
        <v>1</v>
      </c>
      <c r="P18">
        <v>1</v>
      </c>
      <c r="R18">
        <v>398</v>
      </c>
      <c r="V18">
        <v>398</v>
      </c>
    </row>
    <row r="19" spans="1:22" x14ac:dyDescent="0.25">
      <c r="A19">
        <v>28223943</v>
      </c>
      <c r="B19">
        <v>36</v>
      </c>
      <c r="C19">
        <v>41</v>
      </c>
      <c r="D19">
        <v>1</v>
      </c>
      <c r="E19">
        <v>0</v>
      </c>
      <c r="F19">
        <v>3</v>
      </c>
      <c r="G19">
        <v>398</v>
      </c>
      <c r="K19">
        <v>81461</v>
      </c>
      <c r="L19">
        <v>98</v>
      </c>
      <c r="M19">
        <v>95</v>
      </c>
      <c r="N19">
        <v>3</v>
      </c>
      <c r="O19">
        <v>5</v>
      </c>
      <c r="P19">
        <v>1</v>
      </c>
      <c r="R19" s="4">
        <v>398</v>
      </c>
      <c r="S19">
        <v>571</v>
      </c>
      <c r="V19">
        <v>398</v>
      </c>
    </row>
    <row r="20" spans="1:22" x14ac:dyDescent="0.25">
      <c r="A20">
        <v>33262285</v>
      </c>
      <c r="B20">
        <v>45</v>
      </c>
      <c r="C20">
        <v>58</v>
      </c>
      <c r="D20">
        <v>1</v>
      </c>
      <c r="E20">
        <v>0</v>
      </c>
      <c r="F20">
        <v>5</v>
      </c>
      <c r="G20">
        <v>398</v>
      </c>
      <c r="K20">
        <v>49293</v>
      </c>
      <c r="N20">
        <v>0</v>
      </c>
      <c r="O20">
        <v>1</v>
      </c>
      <c r="P20">
        <v>2</v>
      </c>
      <c r="R20">
        <v>398</v>
      </c>
      <c r="V20">
        <v>398</v>
      </c>
    </row>
    <row r="21" spans="1:22" x14ac:dyDescent="0.25">
      <c r="A21">
        <v>38708913</v>
      </c>
      <c r="B21">
        <v>12</v>
      </c>
      <c r="C21">
        <v>16</v>
      </c>
      <c r="D21">
        <v>3</v>
      </c>
      <c r="E21">
        <v>1</v>
      </c>
      <c r="F21">
        <v>2</v>
      </c>
      <c r="G21">
        <v>398</v>
      </c>
      <c r="K21">
        <v>16978220</v>
      </c>
      <c r="L21">
        <v>11</v>
      </c>
      <c r="M21">
        <v>73</v>
      </c>
      <c r="N21">
        <v>0</v>
      </c>
      <c r="O21">
        <v>1</v>
      </c>
      <c r="P21">
        <v>1</v>
      </c>
      <c r="R21">
        <v>398</v>
      </c>
      <c r="V21">
        <v>398</v>
      </c>
    </row>
    <row r="22" spans="1:22" x14ac:dyDescent="0.25">
      <c r="A22">
        <v>57875604</v>
      </c>
      <c r="B22">
        <v>20</v>
      </c>
      <c r="C22">
        <v>60</v>
      </c>
      <c r="D22">
        <v>3</v>
      </c>
      <c r="E22">
        <v>1</v>
      </c>
      <c r="F22">
        <v>2</v>
      </c>
      <c r="G22">
        <v>398</v>
      </c>
      <c r="K22">
        <v>30640671</v>
      </c>
      <c r="L22">
        <v>18</v>
      </c>
      <c r="M22">
        <v>18</v>
      </c>
      <c r="N22">
        <v>1</v>
      </c>
      <c r="O22">
        <v>3</v>
      </c>
      <c r="P22">
        <v>1</v>
      </c>
      <c r="R22">
        <v>398</v>
      </c>
      <c r="S22">
        <v>563</v>
      </c>
      <c r="V22">
        <v>788</v>
      </c>
    </row>
    <row r="23" spans="1:22" x14ac:dyDescent="0.25">
      <c r="K23">
        <v>32026716</v>
      </c>
      <c r="L23">
        <v>8</v>
      </c>
      <c r="M23">
        <v>85</v>
      </c>
      <c r="N23">
        <v>0</v>
      </c>
      <c r="O23">
        <v>1</v>
      </c>
      <c r="P23">
        <v>1</v>
      </c>
      <c r="R23">
        <v>788</v>
      </c>
      <c r="V23">
        <v>398</v>
      </c>
    </row>
    <row r="24" spans="1:22" x14ac:dyDescent="0.25">
      <c r="K24" t="s">
        <v>66</v>
      </c>
      <c r="L24">
        <v>34</v>
      </c>
      <c r="M24">
        <v>34</v>
      </c>
      <c r="N24">
        <v>0</v>
      </c>
      <c r="O24">
        <v>1</v>
      </c>
      <c r="P24">
        <v>2</v>
      </c>
      <c r="R24">
        <v>398</v>
      </c>
      <c r="V24">
        <v>398</v>
      </c>
    </row>
    <row r="25" spans="1:22" x14ac:dyDescent="0.25">
      <c r="K25" t="s">
        <v>67</v>
      </c>
      <c r="L25">
        <v>20</v>
      </c>
      <c r="M25">
        <v>25</v>
      </c>
      <c r="N25">
        <v>1</v>
      </c>
      <c r="O25">
        <v>3</v>
      </c>
      <c r="P25">
        <v>3</v>
      </c>
      <c r="R25">
        <v>398</v>
      </c>
      <c r="V25">
        <v>686</v>
      </c>
    </row>
    <row r="26" spans="1:22" x14ac:dyDescent="0.25">
      <c r="K26">
        <v>3271018</v>
      </c>
      <c r="L26">
        <v>6</v>
      </c>
      <c r="M26">
        <v>6</v>
      </c>
      <c r="N26">
        <v>0</v>
      </c>
      <c r="O26">
        <v>1</v>
      </c>
      <c r="P26">
        <v>5</v>
      </c>
      <c r="R26">
        <v>686</v>
      </c>
      <c r="V26">
        <v>398</v>
      </c>
    </row>
    <row r="27" spans="1:22" x14ac:dyDescent="0.25">
      <c r="K27">
        <v>18175521</v>
      </c>
      <c r="L27">
        <v>51</v>
      </c>
      <c r="M27">
        <v>50</v>
      </c>
      <c r="N27">
        <v>0</v>
      </c>
      <c r="O27">
        <v>1</v>
      </c>
      <c r="P27">
        <v>1</v>
      </c>
      <c r="R27">
        <v>398</v>
      </c>
      <c r="V27">
        <v>788</v>
      </c>
    </row>
    <row r="28" spans="1:22" x14ac:dyDescent="0.25">
      <c r="K28">
        <v>19889148</v>
      </c>
      <c r="L28">
        <v>31</v>
      </c>
      <c r="M28">
        <v>43</v>
      </c>
      <c r="N28">
        <v>2</v>
      </c>
      <c r="O28">
        <v>3</v>
      </c>
      <c r="P28">
        <v>1</v>
      </c>
      <c r="R28">
        <v>788</v>
      </c>
      <c r="V28">
        <v>562</v>
      </c>
    </row>
    <row r="29" spans="1:22" x14ac:dyDescent="0.25">
      <c r="K29">
        <v>25185476</v>
      </c>
      <c r="L29">
        <v>25</v>
      </c>
      <c r="M29">
        <v>31</v>
      </c>
      <c r="N29">
        <v>0</v>
      </c>
      <c r="O29">
        <v>1</v>
      </c>
      <c r="P29">
        <v>1</v>
      </c>
      <c r="R29">
        <v>562</v>
      </c>
      <c r="V29">
        <v>563</v>
      </c>
    </row>
    <row r="30" spans="1:22" x14ac:dyDescent="0.25">
      <c r="K30">
        <v>30576935</v>
      </c>
      <c r="L30">
        <v>14</v>
      </c>
      <c r="M30">
        <v>21</v>
      </c>
      <c r="N30">
        <v>0</v>
      </c>
      <c r="O30">
        <v>1</v>
      </c>
      <c r="P30">
        <v>1</v>
      </c>
      <c r="R30">
        <v>563</v>
      </c>
      <c r="V30">
        <v>686</v>
      </c>
    </row>
    <row r="31" spans="1:22" x14ac:dyDescent="0.25">
      <c r="K31">
        <v>33265128</v>
      </c>
      <c r="L31">
        <v>6</v>
      </c>
      <c r="M31">
        <v>131</v>
      </c>
      <c r="N31">
        <v>3</v>
      </c>
      <c r="O31">
        <v>8</v>
      </c>
      <c r="P31">
        <v>4</v>
      </c>
      <c r="R31">
        <v>686</v>
      </c>
      <c r="S31">
        <v>398</v>
      </c>
      <c r="T31">
        <v>467</v>
      </c>
      <c r="V31">
        <v>398</v>
      </c>
    </row>
    <row r="32" spans="1:22" x14ac:dyDescent="0.25">
      <c r="K32">
        <v>40093486</v>
      </c>
      <c r="L32">
        <v>18</v>
      </c>
      <c r="M32">
        <v>22</v>
      </c>
      <c r="N32">
        <v>0</v>
      </c>
      <c r="O32">
        <v>1</v>
      </c>
      <c r="P32">
        <v>2</v>
      </c>
      <c r="R32">
        <v>398</v>
      </c>
      <c r="V32">
        <v>398</v>
      </c>
    </row>
    <row r="33" spans="11:22" x14ac:dyDescent="0.25">
      <c r="K33">
        <v>43418731</v>
      </c>
      <c r="L33">
        <v>15</v>
      </c>
      <c r="M33">
        <v>49</v>
      </c>
      <c r="N33">
        <v>0</v>
      </c>
      <c r="O33">
        <v>1</v>
      </c>
      <c r="P33">
        <v>1</v>
      </c>
      <c r="R33">
        <v>398</v>
      </c>
      <c r="V33">
        <v>398</v>
      </c>
    </row>
    <row r="34" spans="11:22" x14ac:dyDescent="0.25">
      <c r="K34">
        <v>43789817</v>
      </c>
      <c r="L34">
        <v>15</v>
      </c>
      <c r="M34">
        <v>15</v>
      </c>
      <c r="N34">
        <v>0</v>
      </c>
      <c r="O34">
        <v>1</v>
      </c>
      <c r="P34">
        <v>2</v>
      </c>
      <c r="R34">
        <v>398</v>
      </c>
      <c r="V34">
        <v>398</v>
      </c>
    </row>
    <row r="35" spans="11:22" x14ac:dyDescent="0.25">
      <c r="K35">
        <v>52560467</v>
      </c>
      <c r="L35">
        <v>21</v>
      </c>
      <c r="M35">
        <v>56</v>
      </c>
      <c r="N35">
        <v>1</v>
      </c>
      <c r="O35">
        <v>2</v>
      </c>
      <c r="P35">
        <v>1</v>
      </c>
      <c r="R35">
        <v>398</v>
      </c>
      <c r="V35">
        <v>398</v>
      </c>
    </row>
    <row r="36" spans="11:22" x14ac:dyDescent="0.25">
      <c r="K36">
        <v>55009808</v>
      </c>
      <c r="L36" t="s">
        <v>68</v>
      </c>
      <c r="M36">
        <v>32</v>
      </c>
      <c r="N36">
        <v>0</v>
      </c>
      <c r="O36">
        <v>1</v>
      </c>
      <c r="P36">
        <v>1</v>
      </c>
      <c r="R36">
        <v>398</v>
      </c>
      <c r="V36">
        <v>457</v>
      </c>
    </row>
    <row r="37" spans="11:22" x14ac:dyDescent="0.25">
      <c r="K37">
        <v>58207225</v>
      </c>
      <c r="L37" t="s">
        <v>68</v>
      </c>
      <c r="M37">
        <v>111</v>
      </c>
      <c r="N37">
        <v>0</v>
      </c>
      <c r="O37">
        <v>6</v>
      </c>
      <c r="P37">
        <v>2</v>
      </c>
      <c r="Q37" t="s">
        <v>69</v>
      </c>
      <c r="R37">
        <v>457</v>
      </c>
      <c r="S37">
        <v>665</v>
      </c>
      <c r="V37">
        <v>398</v>
      </c>
    </row>
    <row r="38" spans="11:22" x14ac:dyDescent="0.25">
      <c r="K38">
        <v>58947850</v>
      </c>
      <c r="L38" t="s">
        <v>68</v>
      </c>
      <c r="M38">
        <v>69</v>
      </c>
      <c r="N38">
        <v>0</v>
      </c>
      <c r="O38">
        <v>1</v>
      </c>
      <c r="P38">
        <v>1</v>
      </c>
      <c r="R38">
        <v>398</v>
      </c>
      <c r="V38">
        <v>398</v>
      </c>
    </row>
    <row r="39" spans="11:22" x14ac:dyDescent="0.25">
      <c r="K39">
        <v>58951555</v>
      </c>
      <c r="L39" t="s">
        <v>68</v>
      </c>
      <c r="M39">
        <v>38</v>
      </c>
      <c r="N39">
        <v>0</v>
      </c>
      <c r="O39">
        <v>1</v>
      </c>
      <c r="P39">
        <v>2</v>
      </c>
      <c r="Q39" t="s">
        <v>69</v>
      </c>
      <c r="R39">
        <v>398</v>
      </c>
      <c r="V39">
        <v>457</v>
      </c>
    </row>
    <row r="40" spans="11:22" x14ac:dyDescent="0.25">
      <c r="K40">
        <v>61120511</v>
      </c>
      <c r="L40" t="s">
        <v>68</v>
      </c>
      <c r="M40">
        <v>40</v>
      </c>
      <c r="N40">
        <v>0</v>
      </c>
      <c r="O40">
        <v>2</v>
      </c>
      <c r="P40">
        <v>2</v>
      </c>
      <c r="Q40" t="s">
        <v>70</v>
      </c>
      <c r="R40">
        <v>457</v>
      </c>
      <c r="S40">
        <v>398</v>
      </c>
      <c r="V40">
        <v>788</v>
      </c>
    </row>
    <row r="41" spans="11:22" x14ac:dyDescent="0.25">
      <c r="K41">
        <v>63432587</v>
      </c>
      <c r="L41" t="s">
        <v>68</v>
      </c>
      <c r="M41">
        <v>21</v>
      </c>
      <c r="N41">
        <v>0</v>
      </c>
      <c r="O41">
        <v>1</v>
      </c>
      <c r="P41">
        <v>2</v>
      </c>
      <c r="R41">
        <v>788</v>
      </c>
      <c r="V41">
        <v>665</v>
      </c>
    </row>
    <row r="42" spans="11:22" x14ac:dyDescent="0.25">
      <c r="V42">
        <v>467</v>
      </c>
    </row>
    <row r="43" spans="11:22" x14ac:dyDescent="0.25">
      <c r="V43">
        <v>563</v>
      </c>
    </row>
    <row r="44" spans="11:22" x14ac:dyDescent="0.25">
      <c r="V44">
        <v>571</v>
      </c>
    </row>
    <row r="45" spans="11:22" x14ac:dyDescent="0.25">
      <c r="K45" s="62" t="s">
        <v>71</v>
      </c>
      <c r="L45" s="62">
        <v>38</v>
      </c>
      <c r="M45" s="62">
        <v>38</v>
      </c>
      <c r="N45" s="62">
        <v>0</v>
      </c>
      <c r="O45" s="62">
        <v>1</v>
      </c>
      <c r="P45" s="62">
        <v>1</v>
      </c>
      <c r="Q45" s="62"/>
      <c r="R45" s="62">
        <v>398</v>
      </c>
      <c r="V45">
        <v>768</v>
      </c>
    </row>
    <row r="46" spans="11:22" x14ac:dyDescent="0.25">
      <c r="V46">
        <v>686</v>
      </c>
    </row>
    <row r="49" spans="1:34" x14ac:dyDescent="0.25">
      <c r="A49" t="s">
        <v>72</v>
      </c>
      <c r="G49" t="s">
        <v>73</v>
      </c>
      <c r="J49" t="s">
        <v>74</v>
      </c>
    </row>
    <row r="50" spans="1:34" x14ac:dyDescent="0.25">
      <c r="A50" s="6" t="s">
        <v>75</v>
      </c>
      <c r="B50">
        <v>795</v>
      </c>
      <c r="C50" s="7"/>
      <c r="D50" s="5"/>
      <c r="F50" s="6"/>
      <c r="G50" s="9" t="s">
        <v>75</v>
      </c>
      <c r="H50" s="1">
        <v>793</v>
      </c>
      <c r="I50" s="1"/>
      <c r="J50" s="1">
        <f>H50-B50</f>
        <v>-2</v>
      </c>
    </row>
    <row r="51" spans="1:34" x14ac:dyDescent="0.25">
      <c r="A51" s="6" t="s">
        <v>76</v>
      </c>
      <c r="B51">
        <v>69</v>
      </c>
      <c r="C51" t="s">
        <v>77</v>
      </c>
      <c r="D51" s="5"/>
      <c r="F51" s="6"/>
      <c r="G51" s="9" t="s">
        <v>76</v>
      </c>
      <c r="H51" s="1">
        <v>66</v>
      </c>
      <c r="I51" s="1"/>
      <c r="J51" s="1">
        <f t="shared" ref="J51:J80" si="1">H51-B51</f>
        <v>-3</v>
      </c>
      <c r="M51" t="s">
        <v>78</v>
      </c>
    </row>
    <row r="52" spans="1:34" x14ac:dyDescent="0.25">
      <c r="A52" s="6" t="s">
        <v>79</v>
      </c>
      <c r="B52">
        <v>63</v>
      </c>
      <c r="C52" t="s">
        <v>80</v>
      </c>
      <c r="D52" s="5"/>
      <c r="F52" s="6"/>
      <c r="G52" s="9" t="s">
        <v>79</v>
      </c>
      <c r="H52" s="1">
        <v>67</v>
      </c>
      <c r="I52" s="1"/>
      <c r="J52" s="1">
        <f t="shared" si="1"/>
        <v>4</v>
      </c>
      <c r="M52" t="s">
        <v>81</v>
      </c>
    </row>
    <row r="53" spans="1:34" x14ac:dyDescent="0.25">
      <c r="A53" s="6" t="s">
        <v>82</v>
      </c>
      <c r="B53">
        <v>56</v>
      </c>
      <c r="C53" t="s">
        <v>83</v>
      </c>
      <c r="D53" s="5"/>
      <c r="F53" s="6"/>
      <c r="G53" s="6" t="s">
        <v>82</v>
      </c>
      <c r="H53">
        <v>56</v>
      </c>
      <c r="J53">
        <f t="shared" si="1"/>
        <v>0</v>
      </c>
    </row>
    <row r="54" spans="1:34" x14ac:dyDescent="0.25">
      <c r="A54" s="6" t="s">
        <v>84</v>
      </c>
      <c r="B54">
        <v>42</v>
      </c>
      <c r="C54" t="s">
        <v>85</v>
      </c>
      <c r="D54" s="5"/>
      <c r="F54" s="6"/>
      <c r="G54" s="9" t="s">
        <v>84</v>
      </c>
      <c r="H54" s="1">
        <v>41</v>
      </c>
      <c r="I54" s="1"/>
      <c r="J54" s="1">
        <f t="shared" si="1"/>
        <v>-1</v>
      </c>
    </row>
    <row r="55" spans="1:34" x14ac:dyDescent="0.25">
      <c r="A55" s="6" t="s">
        <v>86</v>
      </c>
      <c r="B55">
        <v>35</v>
      </c>
      <c r="C55" t="s">
        <v>83</v>
      </c>
      <c r="D55" s="5"/>
      <c r="F55" s="6"/>
      <c r="G55" s="9" t="s">
        <v>86</v>
      </c>
      <c r="H55" s="1">
        <v>36</v>
      </c>
      <c r="I55" s="1"/>
      <c r="J55" s="1">
        <f t="shared" si="1"/>
        <v>1</v>
      </c>
    </row>
    <row r="56" spans="1:34" x14ac:dyDescent="0.25">
      <c r="A56" s="6" t="s">
        <v>87</v>
      </c>
      <c r="B56">
        <v>24</v>
      </c>
      <c r="C56" t="s">
        <v>88</v>
      </c>
      <c r="D56" s="5"/>
      <c r="F56" s="6"/>
      <c r="G56" s="6" t="s">
        <v>87</v>
      </c>
      <c r="H56">
        <v>24</v>
      </c>
      <c r="J56">
        <f t="shared" si="1"/>
        <v>0</v>
      </c>
    </row>
    <row r="57" spans="1:34" x14ac:dyDescent="0.25">
      <c r="A57" s="6" t="s">
        <v>89</v>
      </c>
      <c r="B57">
        <v>21</v>
      </c>
      <c r="C57" t="s">
        <v>83</v>
      </c>
      <c r="D57" s="5"/>
      <c r="F57" s="6"/>
      <c r="G57" s="6" t="s">
        <v>89</v>
      </c>
      <c r="H57">
        <v>21</v>
      </c>
      <c r="J57">
        <f t="shared" si="1"/>
        <v>0</v>
      </c>
      <c r="O57" t="s">
        <v>90</v>
      </c>
    </row>
    <row r="58" spans="1:34" x14ac:dyDescent="0.25">
      <c r="A58" s="6" t="s">
        <v>91</v>
      </c>
      <c r="B58">
        <v>13</v>
      </c>
      <c r="C58" t="s">
        <v>77</v>
      </c>
      <c r="D58" s="5"/>
      <c r="F58" s="6"/>
      <c r="G58" s="6" t="s">
        <v>91</v>
      </c>
      <c r="H58">
        <v>13</v>
      </c>
      <c r="J58">
        <f t="shared" si="1"/>
        <v>0</v>
      </c>
    </row>
    <row r="59" spans="1:34" x14ac:dyDescent="0.25">
      <c r="A59" s="6" t="s">
        <v>92</v>
      </c>
      <c r="B59">
        <v>12</v>
      </c>
      <c r="C59" t="s">
        <v>80</v>
      </c>
      <c r="D59" s="5"/>
      <c r="F59" s="6"/>
      <c r="G59" s="6" t="s">
        <v>92</v>
      </c>
      <c r="H59">
        <v>12</v>
      </c>
      <c r="J59">
        <f t="shared" si="1"/>
        <v>0</v>
      </c>
    </row>
    <row r="60" spans="1:34" x14ac:dyDescent="0.25">
      <c r="A60" s="6" t="s">
        <v>93</v>
      </c>
      <c r="B60">
        <v>11</v>
      </c>
      <c r="C60" t="s">
        <v>85</v>
      </c>
      <c r="D60" s="5"/>
      <c r="F60" s="6"/>
      <c r="G60" s="6" t="s">
        <v>93</v>
      </c>
      <c r="H60">
        <v>11</v>
      </c>
      <c r="J60">
        <f t="shared" si="1"/>
        <v>0</v>
      </c>
    </row>
    <row r="61" spans="1:34" x14ac:dyDescent="0.25">
      <c r="A61" s="6" t="s">
        <v>94</v>
      </c>
      <c r="B61">
        <v>10</v>
      </c>
      <c r="C61" t="s">
        <v>85</v>
      </c>
      <c r="D61" s="5"/>
      <c r="F61" s="6"/>
      <c r="G61" s="6" t="s">
        <v>94</v>
      </c>
      <c r="H61">
        <v>10</v>
      </c>
      <c r="J61">
        <f t="shared" si="1"/>
        <v>0</v>
      </c>
      <c r="M61" t="s">
        <v>95</v>
      </c>
      <c r="N61" t="s">
        <v>96</v>
      </c>
      <c r="R61" t="s">
        <v>97</v>
      </c>
      <c r="S61" t="s">
        <v>98</v>
      </c>
      <c r="W61" t="s">
        <v>95</v>
      </c>
      <c r="X61" t="s">
        <v>99</v>
      </c>
      <c r="Y61" t="s">
        <v>100</v>
      </c>
      <c r="AE61" t="s">
        <v>97</v>
      </c>
      <c r="AF61" t="s">
        <v>98</v>
      </c>
    </row>
    <row r="62" spans="1:34" x14ac:dyDescent="0.25">
      <c r="A62" s="6" t="s">
        <v>101</v>
      </c>
      <c r="B62">
        <v>9</v>
      </c>
      <c r="C62" t="s">
        <v>88</v>
      </c>
      <c r="D62" s="5"/>
      <c r="F62" s="6"/>
      <c r="G62" s="6" t="s">
        <v>101</v>
      </c>
      <c r="H62">
        <v>9</v>
      </c>
      <c r="J62">
        <f t="shared" si="1"/>
        <v>0</v>
      </c>
      <c r="M62" t="s">
        <v>102</v>
      </c>
      <c r="N62">
        <v>3</v>
      </c>
      <c r="O62" t="s">
        <v>103</v>
      </c>
      <c r="W62" s="5">
        <v>682</v>
      </c>
      <c r="X62">
        <v>3</v>
      </c>
      <c r="Y62" t="s">
        <v>103</v>
      </c>
      <c r="AB62" s="7">
        <f t="shared" ref="AB62:AB91" si="2">X62/294</f>
        <v>1.020408163265306E-2</v>
      </c>
      <c r="AE62">
        <f t="shared" ref="AE62:AE91" si="3">X62-AF62</f>
        <v>3</v>
      </c>
      <c r="AG62" s="2">
        <f t="shared" ref="AG62:AG91" si="4">AE62/$X62</f>
        <v>1</v>
      </c>
      <c r="AH62" s="2">
        <f t="shared" ref="AH62:AH91" si="5">AF62/$X62</f>
        <v>0</v>
      </c>
    </row>
    <row r="63" spans="1:34" x14ac:dyDescent="0.25">
      <c r="A63" s="6" t="s">
        <v>104</v>
      </c>
      <c r="B63">
        <v>8</v>
      </c>
      <c r="C63" t="s">
        <v>85</v>
      </c>
      <c r="D63" s="5"/>
      <c r="F63" s="6"/>
      <c r="G63" s="6" t="s">
        <v>104</v>
      </c>
      <c r="H63">
        <v>8</v>
      </c>
      <c r="J63">
        <f t="shared" si="1"/>
        <v>0</v>
      </c>
      <c r="M63" t="s">
        <v>105</v>
      </c>
      <c r="N63">
        <v>1</v>
      </c>
      <c r="O63" t="s">
        <v>103</v>
      </c>
      <c r="P63">
        <f>SUM(N62:N63)</f>
        <v>4</v>
      </c>
      <c r="Q63" s="8">
        <f>P63/426</f>
        <v>9.3896713615023476E-3</v>
      </c>
      <c r="W63" s="5">
        <v>369</v>
      </c>
      <c r="X63">
        <v>1</v>
      </c>
      <c r="Y63" t="s">
        <v>103</v>
      </c>
      <c r="Z63">
        <f>SUM(X62:X63)</f>
        <v>4</v>
      </c>
      <c r="AA63" s="8">
        <f>Z63/294</f>
        <v>1.3605442176870748E-2</v>
      </c>
      <c r="AB63" s="7">
        <f t="shared" si="2"/>
        <v>3.4013605442176869E-3</v>
      </c>
      <c r="AE63">
        <f t="shared" si="3"/>
        <v>1</v>
      </c>
      <c r="AG63" s="2">
        <f t="shared" si="4"/>
        <v>1</v>
      </c>
      <c r="AH63" s="2">
        <f t="shared" si="5"/>
        <v>0</v>
      </c>
    </row>
    <row r="64" spans="1:34" x14ac:dyDescent="0.25">
      <c r="A64" s="6" t="s">
        <v>106</v>
      </c>
      <c r="B64">
        <v>7</v>
      </c>
      <c r="C64" t="s">
        <v>77</v>
      </c>
      <c r="D64" s="5"/>
      <c r="F64" s="6"/>
      <c r="G64" s="6" t="s">
        <v>106</v>
      </c>
      <c r="H64">
        <v>7</v>
      </c>
      <c r="J64">
        <f t="shared" si="1"/>
        <v>0</v>
      </c>
      <c r="M64" t="s">
        <v>107</v>
      </c>
      <c r="N64">
        <v>4</v>
      </c>
      <c r="O64" t="s">
        <v>108</v>
      </c>
      <c r="Q64" s="8"/>
      <c r="W64" s="5">
        <v>704</v>
      </c>
      <c r="X64">
        <v>3</v>
      </c>
      <c r="Y64" t="s">
        <v>108</v>
      </c>
      <c r="AA64" s="8"/>
      <c r="AB64" s="7">
        <f t="shared" si="2"/>
        <v>1.020408163265306E-2</v>
      </c>
      <c r="AE64">
        <f t="shared" si="3"/>
        <v>3</v>
      </c>
      <c r="AG64" s="2">
        <f t="shared" si="4"/>
        <v>1</v>
      </c>
      <c r="AH64" s="2">
        <f t="shared" si="5"/>
        <v>0</v>
      </c>
    </row>
    <row r="65" spans="1:34" x14ac:dyDescent="0.25">
      <c r="A65" s="6" t="s">
        <v>109</v>
      </c>
      <c r="B65">
        <v>7</v>
      </c>
      <c r="C65" t="s">
        <v>85</v>
      </c>
      <c r="D65" s="5"/>
      <c r="F65" s="6"/>
      <c r="G65" s="9" t="s">
        <v>109</v>
      </c>
      <c r="H65" s="1">
        <v>10</v>
      </c>
      <c r="I65" s="1"/>
      <c r="J65" s="1">
        <f t="shared" si="1"/>
        <v>3</v>
      </c>
      <c r="M65" t="s">
        <v>110</v>
      </c>
      <c r="N65">
        <v>1</v>
      </c>
      <c r="O65" t="s">
        <v>108</v>
      </c>
      <c r="P65">
        <f>SUM(N64:N65)</f>
        <v>5</v>
      </c>
      <c r="Q65" s="8">
        <f>P65/426</f>
        <v>1.1737089201877934E-2</v>
      </c>
      <c r="W65" s="5">
        <v>195</v>
      </c>
      <c r="X65">
        <v>1</v>
      </c>
      <c r="Y65" t="s">
        <v>108</v>
      </c>
      <c r="Z65">
        <f>SUM(X64:X65)</f>
        <v>4</v>
      </c>
      <c r="AA65" s="8">
        <f>Z65/294</f>
        <v>1.3605442176870748E-2</v>
      </c>
      <c r="AB65" s="7">
        <f t="shared" si="2"/>
        <v>3.4013605442176869E-3</v>
      </c>
      <c r="AE65">
        <f t="shared" si="3"/>
        <v>1</v>
      </c>
      <c r="AG65" s="2">
        <f t="shared" si="4"/>
        <v>1</v>
      </c>
      <c r="AH65" s="2">
        <f t="shared" si="5"/>
        <v>0</v>
      </c>
    </row>
    <row r="66" spans="1:34" x14ac:dyDescent="0.25">
      <c r="A66" s="6" t="s">
        <v>111</v>
      </c>
      <c r="B66">
        <v>6</v>
      </c>
      <c r="C66" t="s">
        <v>85</v>
      </c>
      <c r="D66" s="5"/>
      <c r="F66" s="6"/>
      <c r="G66" s="6" t="s">
        <v>111</v>
      </c>
      <c r="H66">
        <v>6</v>
      </c>
      <c r="J66">
        <f t="shared" si="1"/>
        <v>0</v>
      </c>
      <c r="M66" t="s">
        <v>82</v>
      </c>
      <c r="N66">
        <v>56</v>
      </c>
      <c r="O66" t="s">
        <v>83</v>
      </c>
      <c r="Q66" s="8"/>
      <c r="W66" s="5">
        <v>571</v>
      </c>
      <c r="X66">
        <v>30</v>
      </c>
      <c r="Y66" t="s">
        <v>83</v>
      </c>
      <c r="AA66" s="8"/>
      <c r="AB66" s="7">
        <f t="shared" si="2"/>
        <v>0.10204081632653061</v>
      </c>
      <c r="AE66">
        <f t="shared" si="3"/>
        <v>30</v>
      </c>
      <c r="AG66" s="2">
        <f t="shared" si="4"/>
        <v>1</v>
      </c>
      <c r="AH66" s="2">
        <f t="shared" si="5"/>
        <v>0</v>
      </c>
    </row>
    <row r="67" spans="1:34" x14ac:dyDescent="0.25">
      <c r="A67" s="6" t="s">
        <v>112</v>
      </c>
      <c r="B67">
        <v>6</v>
      </c>
      <c r="C67" t="s">
        <v>83</v>
      </c>
      <c r="D67" s="5"/>
      <c r="F67" s="6"/>
      <c r="G67" s="6" t="s">
        <v>112</v>
      </c>
      <c r="H67">
        <v>6</v>
      </c>
      <c r="J67">
        <f t="shared" si="1"/>
        <v>0</v>
      </c>
      <c r="M67" t="s">
        <v>86</v>
      </c>
      <c r="N67">
        <v>35</v>
      </c>
      <c r="O67" t="s">
        <v>83</v>
      </c>
      <c r="Q67" s="8"/>
      <c r="W67" s="5">
        <v>595</v>
      </c>
      <c r="X67">
        <v>30</v>
      </c>
      <c r="Y67" t="s">
        <v>83</v>
      </c>
      <c r="AA67" s="8"/>
      <c r="AB67" s="7">
        <f t="shared" si="2"/>
        <v>0.10204081632653061</v>
      </c>
      <c r="AE67">
        <f t="shared" si="3"/>
        <v>29</v>
      </c>
      <c r="AF67">
        <v>1</v>
      </c>
      <c r="AG67" s="2">
        <f t="shared" si="4"/>
        <v>0.96666666666666667</v>
      </c>
      <c r="AH67" s="2">
        <f t="shared" si="5"/>
        <v>3.3333333333333333E-2</v>
      </c>
    </row>
    <row r="68" spans="1:34" x14ac:dyDescent="0.25">
      <c r="A68" s="6" t="s">
        <v>113</v>
      </c>
      <c r="B68">
        <v>6</v>
      </c>
      <c r="C68" t="s">
        <v>83</v>
      </c>
      <c r="D68" s="5"/>
      <c r="F68" s="6"/>
      <c r="G68" s="6" t="s">
        <v>113</v>
      </c>
      <c r="H68">
        <v>6</v>
      </c>
      <c r="J68">
        <f t="shared" si="1"/>
        <v>0</v>
      </c>
      <c r="M68" t="s">
        <v>89</v>
      </c>
      <c r="N68">
        <v>21</v>
      </c>
      <c r="O68" t="s">
        <v>83</v>
      </c>
      <c r="Q68" s="8"/>
      <c r="W68" s="5">
        <v>570</v>
      </c>
      <c r="X68">
        <v>17</v>
      </c>
      <c r="Y68" t="s">
        <v>83</v>
      </c>
      <c r="AA68" s="8"/>
      <c r="AB68" s="7">
        <f t="shared" si="2"/>
        <v>5.7823129251700682E-2</v>
      </c>
      <c r="AE68">
        <f t="shared" si="3"/>
        <v>17</v>
      </c>
      <c r="AG68" s="2">
        <f t="shared" si="4"/>
        <v>1</v>
      </c>
      <c r="AH68" s="2">
        <f t="shared" si="5"/>
        <v>0</v>
      </c>
    </row>
    <row r="69" spans="1:34" x14ac:dyDescent="0.25">
      <c r="A69" s="6" t="s">
        <v>114</v>
      </c>
      <c r="B69">
        <v>4</v>
      </c>
      <c r="C69" t="s">
        <v>77</v>
      </c>
      <c r="D69" s="5"/>
      <c r="F69" s="6"/>
      <c r="G69" s="6" t="s">
        <v>114</v>
      </c>
      <c r="H69">
        <v>4</v>
      </c>
      <c r="J69">
        <f t="shared" si="1"/>
        <v>0</v>
      </c>
      <c r="M69" t="s">
        <v>112</v>
      </c>
      <c r="N69">
        <v>6</v>
      </c>
      <c r="O69" t="s">
        <v>83</v>
      </c>
      <c r="Q69" s="8"/>
      <c r="W69" s="5">
        <v>783</v>
      </c>
      <c r="X69">
        <v>5</v>
      </c>
      <c r="Y69" t="s">
        <v>83</v>
      </c>
      <c r="AA69" s="8"/>
      <c r="AB69" s="7">
        <f t="shared" si="2"/>
        <v>1.7006802721088437E-2</v>
      </c>
      <c r="AE69">
        <f t="shared" si="3"/>
        <v>5</v>
      </c>
      <c r="AG69" s="2">
        <f t="shared" si="4"/>
        <v>1</v>
      </c>
      <c r="AH69" s="2">
        <f t="shared" si="5"/>
        <v>0</v>
      </c>
    </row>
    <row r="70" spans="1:34" x14ac:dyDescent="0.25">
      <c r="A70" s="6" t="s">
        <v>107</v>
      </c>
      <c r="B70">
        <v>4</v>
      </c>
      <c r="C70" t="s">
        <v>108</v>
      </c>
      <c r="D70" s="5"/>
      <c r="F70" s="6"/>
      <c r="G70" s="6" t="s">
        <v>107</v>
      </c>
      <c r="H70">
        <v>4</v>
      </c>
      <c r="J70">
        <f t="shared" si="1"/>
        <v>0</v>
      </c>
      <c r="M70" t="s">
        <v>113</v>
      </c>
      <c r="N70">
        <v>6</v>
      </c>
      <c r="O70" t="s">
        <v>83</v>
      </c>
      <c r="P70">
        <f>SUM(N66:N70)</f>
        <v>124</v>
      </c>
      <c r="Q70" s="8">
        <f>P70/426</f>
        <v>0.29107981220657275</v>
      </c>
      <c r="W70" s="5">
        <v>768</v>
      </c>
      <c r="X70">
        <v>4</v>
      </c>
      <c r="Y70" t="s">
        <v>83</v>
      </c>
      <c r="Z70">
        <f>SUM(X66:X70)</f>
        <v>86</v>
      </c>
      <c r="AA70" s="8">
        <f>Z70/294</f>
        <v>0.29251700680272108</v>
      </c>
      <c r="AB70" s="7">
        <f t="shared" si="2"/>
        <v>1.3605442176870748E-2</v>
      </c>
      <c r="AE70">
        <f t="shared" si="3"/>
        <v>3</v>
      </c>
      <c r="AF70">
        <v>1</v>
      </c>
      <c r="AG70" s="2">
        <f t="shared" si="4"/>
        <v>0.75</v>
      </c>
      <c r="AH70" s="2">
        <f t="shared" si="5"/>
        <v>0.25</v>
      </c>
    </row>
    <row r="71" spans="1:34" x14ac:dyDescent="0.25">
      <c r="A71" s="6" t="s">
        <v>102</v>
      </c>
      <c r="B71">
        <v>3</v>
      </c>
      <c r="C71" t="s">
        <v>103</v>
      </c>
      <c r="D71" s="5"/>
      <c r="F71" s="6"/>
      <c r="G71" s="6" t="s">
        <v>102</v>
      </c>
      <c r="H71">
        <v>3</v>
      </c>
      <c r="J71">
        <f t="shared" si="1"/>
        <v>0</v>
      </c>
      <c r="M71" t="s">
        <v>76</v>
      </c>
      <c r="N71">
        <v>69</v>
      </c>
      <c r="O71" t="s">
        <v>77</v>
      </c>
      <c r="Q71" s="8"/>
      <c r="W71" s="5">
        <v>686</v>
      </c>
      <c r="X71">
        <v>32</v>
      </c>
      <c r="Y71" t="s">
        <v>77</v>
      </c>
      <c r="AA71" s="8"/>
      <c r="AB71" s="7">
        <f t="shared" si="2"/>
        <v>0.10884353741496598</v>
      </c>
      <c r="AE71">
        <f t="shared" si="3"/>
        <v>30</v>
      </c>
      <c r="AF71">
        <v>2</v>
      </c>
      <c r="AG71" s="2">
        <f t="shared" si="4"/>
        <v>0.9375</v>
      </c>
      <c r="AH71" s="2">
        <f t="shared" si="5"/>
        <v>6.25E-2</v>
      </c>
    </row>
    <row r="72" spans="1:34" x14ac:dyDescent="0.25">
      <c r="A72" s="6" t="s">
        <v>115</v>
      </c>
      <c r="B72">
        <v>2</v>
      </c>
      <c r="C72" t="s">
        <v>116</v>
      </c>
      <c r="D72" s="5"/>
      <c r="F72" s="6"/>
      <c r="G72" s="6" t="s">
        <v>115</v>
      </c>
      <c r="H72">
        <v>2</v>
      </c>
      <c r="J72">
        <f t="shared" si="1"/>
        <v>0</v>
      </c>
      <c r="M72" t="s">
        <v>91</v>
      </c>
      <c r="N72">
        <v>13</v>
      </c>
      <c r="O72" t="s">
        <v>77</v>
      </c>
      <c r="Q72" s="8"/>
      <c r="W72" s="5">
        <v>477</v>
      </c>
      <c r="X72">
        <v>7</v>
      </c>
      <c r="Y72" t="s">
        <v>77</v>
      </c>
      <c r="AA72" s="8"/>
      <c r="AB72" s="7">
        <f t="shared" si="2"/>
        <v>2.3809523809523808E-2</v>
      </c>
      <c r="AE72">
        <f t="shared" si="3"/>
        <v>7</v>
      </c>
      <c r="AG72" s="2">
        <f t="shared" si="4"/>
        <v>1</v>
      </c>
      <c r="AH72" s="2">
        <f t="shared" si="5"/>
        <v>0</v>
      </c>
    </row>
    <row r="73" spans="1:34" x14ac:dyDescent="0.25">
      <c r="A73" s="6" t="s">
        <v>110</v>
      </c>
      <c r="B73">
        <v>1</v>
      </c>
      <c r="C73" t="s">
        <v>108</v>
      </c>
      <c r="D73" s="5"/>
      <c r="F73" s="6"/>
      <c r="G73" s="6" t="s">
        <v>110</v>
      </c>
      <c r="H73">
        <v>1</v>
      </c>
      <c r="J73">
        <f t="shared" si="1"/>
        <v>0</v>
      </c>
      <c r="M73" t="s">
        <v>106</v>
      </c>
      <c r="N73">
        <v>7</v>
      </c>
      <c r="O73" t="s">
        <v>77</v>
      </c>
      <c r="Q73" s="8"/>
      <c r="W73" s="5">
        <v>685</v>
      </c>
      <c r="X73">
        <v>4</v>
      </c>
      <c r="Y73" t="s">
        <v>77</v>
      </c>
      <c r="AA73" s="8"/>
      <c r="AB73" s="7">
        <f t="shared" si="2"/>
        <v>1.3605442176870748E-2</v>
      </c>
      <c r="AE73">
        <f t="shared" si="3"/>
        <v>4</v>
      </c>
      <c r="AG73" s="2">
        <f t="shared" si="4"/>
        <v>1</v>
      </c>
      <c r="AH73" s="2">
        <f t="shared" si="5"/>
        <v>0</v>
      </c>
    </row>
    <row r="74" spans="1:34" x14ac:dyDescent="0.25">
      <c r="A74" s="6" t="s">
        <v>105</v>
      </c>
      <c r="B74">
        <v>1</v>
      </c>
      <c r="C74" t="s">
        <v>103</v>
      </c>
      <c r="D74" s="5"/>
      <c r="F74" s="6"/>
      <c r="G74" s="6" t="s">
        <v>105</v>
      </c>
      <c r="H74">
        <v>1</v>
      </c>
      <c r="J74">
        <f t="shared" si="1"/>
        <v>0</v>
      </c>
      <c r="M74" t="s">
        <v>114</v>
      </c>
      <c r="N74">
        <v>4</v>
      </c>
      <c r="O74" t="s">
        <v>77</v>
      </c>
      <c r="Q74" s="8"/>
      <c r="W74" s="5">
        <v>252</v>
      </c>
      <c r="X74">
        <v>3</v>
      </c>
      <c r="Y74" t="s">
        <v>77</v>
      </c>
      <c r="AA74" s="8"/>
      <c r="AB74" s="7">
        <f t="shared" si="2"/>
        <v>1.020408163265306E-2</v>
      </c>
      <c r="AE74">
        <f t="shared" si="3"/>
        <v>3</v>
      </c>
      <c r="AG74" s="2">
        <f t="shared" si="4"/>
        <v>1</v>
      </c>
      <c r="AH74" s="2">
        <f t="shared" si="5"/>
        <v>0</v>
      </c>
    </row>
    <row r="75" spans="1:34" x14ac:dyDescent="0.25">
      <c r="A75" s="9" t="s">
        <v>117</v>
      </c>
      <c r="B75">
        <v>1</v>
      </c>
      <c r="C75" t="s">
        <v>85</v>
      </c>
      <c r="D75" s="5"/>
      <c r="F75" s="9"/>
      <c r="G75" s="6" t="s">
        <v>117</v>
      </c>
      <c r="H75">
        <v>1</v>
      </c>
      <c r="J75">
        <f t="shared" si="1"/>
        <v>0</v>
      </c>
      <c r="M75" t="s">
        <v>118</v>
      </c>
      <c r="N75">
        <v>1</v>
      </c>
      <c r="O75" t="s">
        <v>77</v>
      </c>
      <c r="Q75" s="8"/>
      <c r="W75" s="5">
        <v>628</v>
      </c>
      <c r="X75">
        <v>1</v>
      </c>
      <c r="Y75" t="s">
        <v>77</v>
      </c>
      <c r="AA75" s="8"/>
      <c r="AB75" s="7">
        <f t="shared" si="2"/>
        <v>3.4013605442176869E-3</v>
      </c>
      <c r="AE75">
        <f t="shared" si="3"/>
        <v>1</v>
      </c>
      <c r="AG75" s="2">
        <f t="shared" si="4"/>
        <v>1</v>
      </c>
      <c r="AH75" s="2">
        <f t="shared" si="5"/>
        <v>0</v>
      </c>
    </row>
    <row r="76" spans="1:34" x14ac:dyDescent="0.25">
      <c r="A76" s="6" t="s">
        <v>118</v>
      </c>
      <c r="B76">
        <v>1</v>
      </c>
      <c r="C76" t="s">
        <v>77</v>
      </c>
      <c r="D76" s="5"/>
      <c r="F76" s="6"/>
      <c r="G76" s="6" t="s">
        <v>118</v>
      </c>
      <c r="H76">
        <v>1</v>
      </c>
      <c r="J76">
        <f t="shared" si="1"/>
        <v>0</v>
      </c>
      <c r="M76" t="s">
        <v>119</v>
      </c>
      <c r="N76">
        <v>1</v>
      </c>
      <c r="O76" t="s">
        <v>77</v>
      </c>
      <c r="Q76" s="8"/>
      <c r="W76" s="5">
        <v>683</v>
      </c>
      <c r="X76">
        <v>1</v>
      </c>
      <c r="Y76" t="s">
        <v>77</v>
      </c>
      <c r="AA76" s="8"/>
      <c r="AB76" s="7">
        <f t="shared" si="2"/>
        <v>3.4013605442176869E-3</v>
      </c>
      <c r="AE76">
        <f t="shared" si="3"/>
        <v>1</v>
      </c>
      <c r="AG76" s="2">
        <f t="shared" si="4"/>
        <v>1</v>
      </c>
      <c r="AH76" s="2">
        <f t="shared" si="5"/>
        <v>0</v>
      </c>
    </row>
    <row r="77" spans="1:34" x14ac:dyDescent="0.25">
      <c r="A77" s="6" t="s">
        <v>120</v>
      </c>
      <c r="B77">
        <v>1</v>
      </c>
      <c r="C77" t="s">
        <v>116</v>
      </c>
      <c r="D77" s="5"/>
      <c r="F77" s="6"/>
      <c r="G77" s="6" t="s">
        <v>120</v>
      </c>
      <c r="H77">
        <v>1</v>
      </c>
      <c r="J77">
        <f t="shared" si="1"/>
        <v>0</v>
      </c>
      <c r="M77" t="s">
        <v>121</v>
      </c>
      <c r="N77">
        <v>1</v>
      </c>
      <c r="O77" t="s">
        <v>77</v>
      </c>
      <c r="P77">
        <f>SUM(N71:N77)</f>
        <v>96</v>
      </c>
      <c r="Q77" s="8">
        <f>P77/426</f>
        <v>0.22535211267605634</v>
      </c>
      <c r="W77" s="5">
        <v>687</v>
      </c>
      <c r="X77">
        <v>1</v>
      </c>
      <c r="Y77" t="s">
        <v>77</v>
      </c>
      <c r="Z77">
        <f>SUM(X71:X77)</f>
        <v>49</v>
      </c>
      <c r="AA77" s="8">
        <f>Z77/294</f>
        <v>0.16666666666666666</v>
      </c>
      <c r="AB77" s="7">
        <f t="shared" si="2"/>
        <v>3.4013605442176869E-3</v>
      </c>
      <c r="AE77">
        <f t="shared" si="3"/>
        <v>1</v>
      </c>
      <c r="AG77" s="2">
        <f t="shared" si="4"/>
        <v>1</v>
      </c>
      <c r="AH77" s="2">
        <f t="shared" si="5"/>
        <v>0</v>
      </c>
    </row>
    <row r="78" spans="1:34" x14ac:dyDescent="0.25">
      <c r="A78" s="6" t="s">
        <v>119</v>
      </c>
      <c r="B78">
        <v>1</v>
      </c>
      <c r="C78" t="s">
        <v>77</v>
      </c>
      <c r="D78" s="5"/>
      <c r="F78" s="6"/>
      <c r="G78" s="6" t="s">
        <v>119</v>
      </c>
      <c r="H78">
        <v>1</v>
      </c>
      <c r="J78">
        <f t="shared" si="1"/>
        <v>0</v>
      </c>
      <c r="M78" t="s">
        <v>79</v>
      </c>
      <c r="N78">
        <v>63</v>
      </c>
      <c r="O78" t="s">
        <v>80</v>
      </c>
      <c r="Q78" s="8"/>
      <c r="W78" s="5">
        <v>457</v>
      </c>
      <c r="X78">
        <v>49</v>
      </c>
      <c r="Y78" t="s">
        <v>80</v>
      </c>
      <c r="AA78" s="8"/>
      <c r="AB78" s="7">
        <f t="shared" si="2"/>
        <v>0.16666666666666666</v>
      </c>
      <c r="AE78">
        <f t="shared" si="3"/>
        <v>47</v>
      </c>
      <c r="AF78">
        <v>2</v>
      </c>
      <c r="AG78" s="2">
        <f t="shared" si="4"/>
        <v>0.95918367346938771</v>
      </c>
      <c r="AH78" s="2">
        <f t="shared" si="5"/>
        <v>4.0816326530612242E-2</v>
      </c>
    </row>
    <row r="79" spans="1:34" x14ac:dyDescent="0.25">
      <c r="A79" s="6" t="s">
        <v>121</v>
      </c>
      <c r="B79">
        <v>1</v>
      </c>
      <c r="C79" t="s">
        <v>77</v>
      </c>
      <c r="D79" s="5"/>
      <c r="F79" s="6"/>
      <c r="G79" s="6" t="s">
        <v>121</v>
      </c>
      <c r="H79">
        <v>1</v>
      </c>
      <c r="J79">
        <f t="shared" si="1"/>
        <v>0</v>
      </c>
      <c r="M79" t="s">
        <v>92</v>
      </c>
      <c r="N79">
        <v>12</v>
      </c>
      <c r="O79" t="s">
        <v>80</v>
      </c>
      <c r="P79">
        <f>SUM(N78:N79)</f>
        <v>75</v>
      </c>
      <c r="Q79" s="8">
        <f>P79/426</f>
        <v>0.176056338028169</v>
      </c>
      <c r="W79" s="5">
        <v>665</v>
      </c>
      <c r="X79">
        <v>10</v>
      </c>
      <c r="Y79" t="s">
        <v>80</v>
      </c>
      <c r="Z79">
        <f>SUM(X78:X79)</f>
        <v>59</v>
      </c>
      <c r="AA79" s="8">
        <f>Z79/294</f>
        <v>0.20068027210884354</v>
      </c>
      <c r="AB79" s="7">
        <f t="shared" si="2"/>
        <v>3.4013605442176874E-2</v>
      </c>
      <c r="AE79">
        <f t="shared" si="3"/>
        <v>9</v>
      </c>
      <c r="AF79">
        <v>1</v>
      </c>
      <c r="AG79" s="2">
        <f t="shared" si="4"/>
        <v>0.9</v>
      </c>
      <c r="AH79" s="2">
        <f t="shared" si="5"/>
        <v>0.1</v>
      </c>
    </row>
    <row r="80" spans="1:34" x14ac:dyDescent="0.25">
      <c r="A80" s="9" t="s">
        <v>122</v>
      </c>
      <c r="B80">
        <v>1</v>
      </c>
      <c r="C80" t="s">
        <v>85</v>
      </c>
      <c r="D80" s="5"/>
      <c r="F80" s="9"/>
      <c r="G80" s="6" t="s">
        <v>122</v>
      </c>
      <c r="H80">
        <v>1</v>
      </c>
      <c r="J80">
        <f t="shared" si="1"/>
        <v>0</v>
      </c>
      <c r="K80" s="1"/>
      <c r="M80" t="s">
        <v>84</v>
      </c>
      <c r="N80">
        <v>42</v>
      </c>
      <c r="O80" t="s">
        <v>85</v>
      </c>
      <c r="Q80" s="8"/>
      <c r="W80" s="5">
        <v>788</v>
      </c>
      <c r="X80">
        <v>28</v>
      </c>
      <c r="Y80" t="s">
        <v>85</v>
      </c>
      <c r="AA80" s="8"/>
      <c r="AB80" s="7">
        <f t="shared" si="2"/>
        <v>9.5238095238095233E-2</v>
      </c>
      <c r="AE80">
        <f t="shared" si="3"/>
        <v>24</v>
      </c>
      <c r="AF80">
        <v>4</v>
      </c>
      <c r="AG80" s="2">
        <f t="shared" si="4"/>
        <v>0.8571428571428571</v>
      </c>
      <c r="AH80" s="2">
        <f t="shared" si="5"/>
        <v>0.14285714285714285</v>
      </c>
    </row>
    <row r="81" spans="1:46" x14ac:dyDescent="0.25">
      <c r="B81">
        <f>SUM(B51:B80)</f>
        <v>426</v>
      </c>
      <c r="F81" s="5"/>
      <c r="M81" t="s">
        <v>93</v>
      </c>
      <c r="N81">
        <v>11</v>
      </c>
      <c r="O81" t="s">
        <v>85</v>
      </c>
      <c r="Q81" s="8"/>
      <c r="W81" s="5">
        <v>562</v>
      </c>
      <c r="X81">
        <v>11</v>
      </c>
      <c r="Y81" t="s">
        <v>85</v>
      </c>
      <c r="AA81" s="8"/>
      <c r="AB81" s="7">
        <f t="shared" si="2"/>
        <v>3.7414965986394558E-2</v>
      </c>
      <c r="AE81">
        <f t="shared" si="3"/>
        <v>10</v>
      </c>
      <c r="AF81">
        <v>1</v>
      </c>
      <c r="AG81" s="2">
        <f t="shared" si="4"/>
        <v>0.90909090909090906</v>
      </c>
      <c r="AH81" s="2">
        <f t="shared" si="5"/>
        <v>9.0909090909090912E-2</v>
      </c>
    </row>
    <row r="82" spans="1:46" x14ac:dyDescent="0.25">
      <c r="B82">
        <f>SUM(B50:B80)</f>
        <v>1221</v>
      </c>
      <c r="M82" t="s">
        <v>94</v>
      </c>
      <c r="N82">
        <v>10</v>
      </c>
      <c r="O82" t="s">
        <v>85</v>
      </c>
      <c r="Q82" s="8"/>
      <c r="W82" s="5">
        <v>467</v>
      </c>
      <c r="X82">
        <v>8</v>
      </c>
      <c r="Y82" t="s">
        <v>85</v>
      </c>
      <c r="AA82" s="8"/>
      <c r="AB82" s="7">
        <f t="shared" si="2"/>
        <v>2.7210884353741496E-2</v>
      </c>
      <c r="AE82">
        <f t="shared" si="3"/>
        <v>8</v>
      </c>
      <c r="AG82" s="2">
        <f t="shared" si="4"/>
        <v>1</v>
      </c>
      <c r="AH82" s="2">
        <f t="shared" si="5"/>
        <v>0</v>
      </c>
    </row>
    <row r="83" spans="1:46" x14ac:dyDescent="0.25">
      <c r="A83" s="5"/>
      <c r="M83" t="s">
        <v>104</v>
      </c>
      <c r="N83">
        <v>8</v>
      </c>
      <c r="O83" t="s">
        <v>85</v>
      </c>
      <c r="Q83" s="8"/>
      <c r="W83" s="5">
        <v>401</v>
      </c>
      <c r="X83">
        <v>6</v>
      </c>
      <c r="Y83" t="s">
        <v>85</v>
      </c>
      <c r="AA83" s="8"/>
      <c r="AB83" s="7">
        <f t="shared" si="2"/>
        <v>2.0408163265306121E-2</v>
      </c>
      <c r="AE83">
        <f t="shared" si="3"/>
        <v>6</v>
      </c>
      <c r="AG83" s="2">
        <f t="shared" si="4"/>
        <v>1</v>
      </c>
      <c r="AH83" s="2">
        <f t="shared" si="5"/>
        <v>0</v>
      </c>
    </row>
    <row r="84" spans="1:46" x14ac:dyDescent="0.25">
      <c r="M84" t="s">
        <v>109</v>
      </c>
      <c r="N84">
        <v>7</v>
      </c>
      <c r="O84" t="s">
        <v>85</v>
      </c>
      <c r="Q84" s="8"/>
      <c r="W84" s="5">
        <v>190</v>
      </c>
      <c r="X84">
        <v>5</v>
      </c>
      <c r="Y84" t="s">
        <v>85</v>
      </c>
      <c r="AA84" s="8"/>
      <c r="AB84" s="7">
        <f t="shared" si="2"/>
        <v>1.7006802721088437E-2</v>
      </c>
      <c r="AE84">
        <f t="shared" si="3"/>
        <v>5</v>
      </c>
      <c r="AG84" s="2">
        <f t="shared" si="4"/>
        <v>1</v>
      </c>
      <c r="AH84" s="2">
        <f t="shared" si="5"/>
        <v>0</v>
      </c>
    </row>
    <row r="85" spans="1:46" x14ac:dyDescent="0.25">
      <c r="M85" t="s">
        <v>111</v>
      </c>
      <c r="N85">
        <v>6</v>
      </c>
      <c r="O85" t="s">
        <v>85</v>
      </c>
      <c r="Q85" s="8"/>
      <c r="W85" s="5">
        <v>476</v>
      </c>
      <c r="X85">
        <v>5</v>
      </c>
      <c r="Y85" t="s">
        <v>85</v>
      </c>
      <c r="AA85" s="8"/>
      <c r="AB85" s="7">
        <f t="shared" si="2"/>
        <v>1.7006802721088437E-2</v>
      </c>
      <c r="AE85">
        <f t="shared" si="3"/>
        <v>5</v>
      </c>
      <c r="AG85" s="2">
        <f t="shared" si="4"/>
        <v>1</v>
      </c>
      <c r="AH85" s="2">
        <f t="shared" si="5"/>
        <v>0</v>
      </c>
    </row>
    <row r="86" spans="1:46" x14ac:dyDescent="0.25">
      <c r="M86" t="s">
        <v>117</v>
      </c>
      <c r="N86">
        <v>1</v>
      </c>
      <c r="O86" t="s">
        <v>85</v>
      </c>
      <c r="Q86" s="8"/>
      <c r="W86" s="5">
        <v>590</v>
      </c>
      <c r="X86">
        <v>1</v>
      </c>
      <c r="Y86" t="s">
        <v>85</v>
      </c>
      <c r="AA86" s="8"/>
      <c r="AB86" s="7">
        <f t="shared" si="2"/>
        <v>3.4013605442176869E-3</v>
      </c>
      <c r="AE86">
        <f t="shared" si="3"/>
        <v>1</v>
      </c>
      <c r="AG86" s="2">
        <f t="shared" si="4"/>
        <v>1</v>
      </c>
      <c r="AH86" s="2">
        <f t="shared" si="5"/>
        <v>0</v>
      </c>
    </row>
    <row r="87" spans="1:46" x14ac:dyDescent="0.25">
      <c r="M87" t="s">
        <v>122</v>
      </c>
      <c r="N87">
        <v>1</v>
      </c>
      <c r="O87" t="s">
        <v>85</v>
      </c>
      <c r="P87">
        <f>SUM(N80:N87)</f>
        <v>86</v>
      </c>
      <c r="Q87" s="8">
        <f>P87/426</f>
        <v>0.20187793427230047</v>
      </c>
      <c r="W87" s="5">
        <v>762</v>
      </c>
      <c r="X87">
        <v>1</v>
      </c>
      <c r="Y87" t="s">
        <v>85</v>
      </c>
      <c r="Z87">
        <f>SUM(X80:X87)</f>
        <v>65</v>
      </c>
      <c r="AA87" s="8">
        <f>Z87/294</f>
        <v>0.22108843537414966</v>
      </c>
      <c r="AB87" s="7">
        <f t="shared" si="2"/>
        <v>3.4013605442176869E-3</v>
      </c>
      <c r="AE87">
        <f t="shared" si="3"/>
        <v>1</v>
      </c>
      <c r="AG87" s="2">
        <f t="shared" si="4"/>
        <v>1</v>
      </c>
      <c r="AH87" s="2">
        <f t="shared" si="5"/>
        <v>0</v>
      </c>
    </row>
    <row r="88" spans="1:46" x14ac:dyDescent="0.25">
      <c r="M88" t="s">
        <v>87</v>
      </c>
      <c r="N88">
        <v>24</v>
      </c>
      <c r="O88" t="s">
        <v>88</v>
      </c>
      <c r="Q88" s="8"/>
      <c r="W88" s="5">
        <v>758</v>
      </c>
      <c r="X88">
        <v>16</v>
      </c>
      <c r="Y88" t="s">
        <v>88</v>
      </c>
      <c r="AA88" s="8"/>
      <c r="AB88" s="7">
        <f t="shared" si="2"/>
        <v>5.4421768707482991E-2</v>
      </c>
      <c r="AE88">
        <f t="shared" si="3"/>
        <v>16</v>
      </c>
      <c r="AG88" s="2">
        <f t="shared" si="4"/>
        <v>1</v>
      </c>
      <c r="AH88" s="2">
        <f t="shared" si="5"/>
        <v>0</v>
      </c>
    </row>
    <row r="89" spans="1:46" x14ac:dyDescent="0.25">
      <c r="M89" t="s">
        <v>101</v>
      </c>
      <c r="N89">
        <v>9</v>
      </c>
      <c r="O89" t="s">
        <v>88</v>
      </c>
      <c r="P89">
        <f>SUM(N88:N89)</f>
        <v>33</v>
      </c>
      <c r="Q89" s="8">
        <f>P89/426</f>
        <v>7.746478873239436E-2</v>
      </c>
      <c r="W89" s="5">
        <v>561</v>
      </c>
      <c r="X89">
        <v>8</v>
      </c>
      <c r="Y89" t="s">
        <v>88</v>
      </c>
      <c r="Z89">
        <f>SUM(X88:X89)</f>
        <v>24</v>
      </c>
      <c r="AA89" s="8">
        <f>Z89/294</f>
        <v>8.1632653061224483E-2</v>
      </c>
      <c r="AB89" s="7">
        <f t="shared" si="2"/>
        <v>2.7210884353741496E-2</v>
      </c>
      <c r="AE89">
        <f t="shared" si="3"/>
        <v>8</v>
      </c>
      <c r="AG89" s="2">
        <f t="shared" si="4"/>
        <v>1</v>
      </c>
      <c r="AH89" s="2">
        <f t="shared" si="5"/>
        <v>0</v>
      </c>
    </row>
    <row r="90" spans="1:46" x14ac:dyDescent="0.25">
      <c r="M90" t="s">
        <v>115</v>
      </c>
      <c r="N90">
        <v>2</v>
      </c>
      <c r="O90" t="s">
        <v>116</v>
      </c>
      <c r="Q90" s="8"/>
      <c r="W90" s="5">
        <v>664</v>
      </c>
      <c r="X90">
        <v>2</v>
      </c>
      <c r="Y90" t="s">
        <v>116</v>
      </c>
      <c r="AA90" s="8"/>
      <c r="AB90" s="7">
        <f t="shared" si="2"/>
        <v>6.8027210884353739E-3</v>
      </c>
      <c r="AE90">
        <f t="shared" si="3"/>
        <v>2</v>
      </c>
      <c r="AG90" s="2">
        <f t="shared" si="4"/>
        <v>1</v>
      </c>
      <c r="AH90" s="2">
        <f t="shared" si="5"/>
        <v>0</v>
      </c>
    </row>
    <row r="91" spans="1:46" x14ac:dyDescent="0.25">
      <c r="M91" t="s">
        <v>120</v>
      </c>
      <c r="N91">
        <v>1</v>
      </c>
      <c r="O91" t="s">
        <v>116</v>
      </c>
      <c r="P91">
        <f>SUM(N90:N91)</f>
        <v>3</v>
      </c>
      <c r="Q91" s="8">
        <f>P91/426</f>
        <v>7.0422535211267607E-3</v>
      </c>
      <c r="W91" s="5">
        <v>672</v>
      </c>
      <c r="X91">
        <v>1</v>
      </c>
      <c r="Y91" t="s">
        <v>116</v>
      </c>
      <c r="Z91">
        <f>SUM(X90:X91)</f>
        <v>3</v>
      </c>
      <c r="AA91" s="8">
        <f>Z91/294</f>
        <v>1.020408163265306E-2</v>
      </c>
      <c r="AB91" s="7">
        <f t="shared" si="2"/>
        <v>3.4013605442176869E-3</v>
      </c>
      <c r="AE91">
        <f t="shared" si="3"/>
        <v>1</v>
      </c>
      <c r="AG91" s="2">
        <f t="shared" si="4"/>
        <v>1</v>
      </c>
      <c r="AH91" s="2">
        <f t="shared" si="5"/>
        <v>0</v>
      </c>
    </row>
    <row r="92" spans="1:46" x14ac:dyDescent="0.25">
      <c r="N92">
        <v>426</v>
      </c>
      <c r="X92">
        <f>SUM(X62:X91)</f>
        <v>294</v>
      </c>
      <c r="AA92" s="7"/>
    </row>
    <row r="94" spans="1:46" x14ac:dyDescent="0.25">
      <c r="AB94" t="s">
        <v>100</v>
      </c>
      <c r="AC94" t="s">
        <v>123</v>
      </c>
      <c r="AD94" t="s">
        <v>124</v>
      </c>
      <c r="AE94" t="s">
        <v>125</v>
      </c>
      <c r="AK94" t="s">
        <v>126</v>
      </c>
      <c r="AR94" t="s">
        <v>18</v>
      </c>
    </row>
    <row r="95" spans="1:46" x14ac:dyDescent="0.25">
      <c r="AB95">
        <v>398</v>
      </c>
      <c r="AC95" s="7">
        <f>1-AD95</f>
        <v>0.9653846153846154</v>
      </c>
      <c r="AD95" s="28">
        <f>18/X96</f>
        <v>3.4615384615384617E-2</v>
      </c>
      <c r="AE95" s="7">
        <f>5/520</f>
        <v>9.6153846153846159E-3</v>
      </c>
      <c r="AK95">
        <v>595</v>
      </c>
      <c r="AL95">
        <v>1</v>
      </c>
      <c r="AM95" t="s">
        <v>127</v>
      </c>
      <c r="AR95">
        <v>398</v>
      </c>
      <c r="AS95">
        <v>5</v>
      </c>
    </row>
    <row r="96" spans="1:46" x14ac:dyDescent="0.25">
      <c r="W96" s="5">
        <v>398</v>
      </c>
      <c r="X96">
        <v>520</v>
      </c>
      <c r="AB96" t="s">
        <v>128</v>
      </c>
      <c r="AC96" s="7">
        <f t="shared" ref="AC96:AC103" si="6">1-AD96</f>
        <v>0.97674418604651159</v>
      </c>
      <c r="AD96" s="7">
        <v>2.32558139534884E-2</v>
      </c>
      <c r="AE96" s="7">
        <f>1/86</f>
        <v>1.1627906976744186E-2</v>
      </c>
      <c r="AK96">
        <v>768</v>
      </c>
      <c r="AL96">
        <v>1</v>
      </c>
      <c r="AM96" t="s">
        <v>127</v>
      </c>
      <c r="AN96">
        <f>SUM(AL95:AL96)</f>
        <v>2</v>
      </c>
      <c r="AO96">
        <f>AN96/Z70</f>
        <v>2.3255813953488372E-2</v>
      </c>
      <c r="AR96">
        <v>571</v>
      </c>
      <c r="AS96">
        <v>1</v>
      </c>
      <c r="AT96" t="s">
        <v>127</v>
      </c>
    </row>
    <row r="97" spans="20:46" x14ac:dyDescent="0.25">
      <c r="AB97" t="s">
        <v>129</v>
      </c>
      <c r="AC97" s="7">
        <f t="shared" si="6"/>
        <v>0.92307692307692313</v>
      </c>
      <c r="AD97" s="7">
        <v>7.6923076923076927E-2</v>
      </c>
      <c r="AE97" s="7">
        <f>1/65</f>
        <v>1.5384615384615385E-2</v>
      </c>
      <c r="AK97">
        <v>686</v>
      </c>
      <c r="AL97">
        <v>2</v>
      </c>
      <c r="AM97" t="s">
        <v>130</v>
      </c>
      <c r="AN97">
        <v>2</v>
      </c>
      <c r="AO97">
        <f>AN97/49</f>
        <v>4.0816326530612242E-2</v>
      </c>
      <c r="AR97">
        <v>457</v>
      </c>
      <c r="AS97">
        <v>2</v>
      </c>
      <c r="AT97" t="s">
        <v>131</v>
      </c>
    </row>
    <row r="98" spans="20:46" x14ac:dyDescent="0.25">
      <c r="W98">
        <f>COUNT(W62:W96)</f>
        <v>31</v>
      </c>
      <c r="X98">
        <f>SUM(X96,X92)</f>
        <v>814</v>
      </c>
      <c r="AB98" t="s">
        <v>132</v>
      </c>
      <c r="AC98" s="7">
        <f t="shared" si="6"/>
        <v>0.94915254237288138</v>
      </c>
      <c r="AD98" s="7">
        <v>5.0847457627118647E-2</v>
      </c>
      <c r="AE98" s="7">
        <f>2/59</f>
        <v>3.3898305084745763E-2</v>
      </c>
      <c r="AK98">
        <v>457</v>
      </c>
      <c r="AL98">
        <v>2</v>
      </c>
      <c r="AM98" t="s">
        <v>131</v>
      </c>
      <c r="AR98">
        <v>401</v>
      </c>
      <c r="AS98">
        <v>1</v>
      </c>
      <c r="AT98" t="s">
        <v>133</v>
      </c>
    </row>
    <row r="99" spans="20:46" x14ac:dyDescent="0.25">
      <c r="X99" t="s">
        <v>134</v>
      </c>
      <c r="AB99" t="s">
        <v>135</v>
      </c>
      <c r="AC99" s="7">
        <f t="shared" si="6"/>
        <v>0.95918367346938771</v>
      </c>
      <c r="AD99" s="7">
        <v>4.0816326530612242E-2</v>
      </c>
      <c r="AE99">
        <v>0</v>
      </c>
      <c r="AK99">
        <v>665</v>
      </c>
      <c r="AL99">
        <v>1</v>
      </c>
      <c r="AM99" t="s">
        <v>131</v>
      </c>
      <c r="AN99">
        <v>3</v>
      </c>
      <c r="AO99">
        <f>AN99/59</f>
        <v>5.0847457627118647E-2</v>
      </c>
    </row>
    <row r="100" spans="20:46" x14ac:dyDescent="0.25">
      <c r="X100" t="s">
        <v>136</v>
      </c>
      <c r="AB100" t="s">
        <v>137</v>
      </c>
      <c r="AC100" s="7">
        <f t="shared" si="6"/>
        <v>1</v>
      </c>
      <c r="AD100">
        <v>0</v>
      </c>
      <c r="AE100">
        <v>0</v>
      </c>
      <c r="AK100">
        <v>788</v>
      </c>
      <c r="AL100">
        <v>4</v>
      </c>
      <c r="AM100" t="s">
        <v>133</v>
      </c>
    </row>
    <row r="101" spans="20:46" x14ac:dyDescent="0.25">
      <c r="AB101" t="s">
        <v>138</v>
      </c>
      <c r="AC101" s="7">
        <f t="shared" si="6"/>
        <v>1</v>
      </c>
      <c r="AD101">
        <v>0</v>
      </c>
      <c r="AE101">
        <v>0</v>
      </c>
      <c r="AK101">
        <v>562</v>
      </c>
      <c r="AL101">
        <v>1</v>
      </c>
      <c r="AM101" t="s">
        <v>133</v>
      </c>
      <c r="AN101">
        <v>5</v>
      </c>
      <c r="AO101">
        <f>AN101/65</f>
        <v>7.6923076923076927E-2</v>
      </c>
    </row>
    <row r="102" spans="20:46" x14ac:dyDescent="0.25">
      <c r="AB102" t="s">
        <v>139</v>
      </c>
      <c r="AC102" s="7">
        <f t="shared" si="6"/>
        <v>1</v>
      </c>
      <c r="AD102">
        <v>0</v>
      </c>
      <c r="AE102">
        <v>0</v>
      </c>
    </row>
    <row r="103" spans="20:46" x14ac:dyDescent="0.25">
      <c r="AB103" t="s">
        <v>140</v>
      </c>
      <c r="AC103" s="7">
        <f t="shared" si="6"/>
        <v>1</v>
      </c>
      <c r="AD103">
        <v>0</v>
      </c>
      <c r="AE103">
        <v>0</v>
      </c>
    </row>
    <row r="111" spans="20:46" x14ac:dyDescent="0.25">
      <c r="T111">
        <v>190</v>
      </c>
      <c r="U111">
        <v>190</v>
      </c>
    </row>
    <row r="112" spans="20:46" x14ac:dyDescent="0.25">
      <c r="T112">
        <v>195</v>
      </c>
      <c r="U112">
        <v>195</v>
      </c>
    </row>
    <row r="113" spans="20:22" x14ac:dyDescent="0.25">
      <c r="T113">
        <v>252</v>
      </c>
      <c r="U113">
        <v>252</v>
      </c>
    </row>
    <row r="114" spans="20:22" x14ac:dyDescent="0.25">
      <c r="T114">
        <v>369</v>
      </c>
      <c r="U114">
        <v>369</v>
      </c>
    </row>
    <row r="115" spans="20:22" x14ac:dyDescent="0.25">
      <c r="T115">
        <v>398</v>
      </c>
      <c r="U115">
        <v>398</v>
      </c>
    </row>
    <row r="116" spans="20:22" x14ac:dyDescent="0.25">
      <c r="T116">
        <v>401</v>
      </c>
      <c r="U116">
        <v>401</v>
      </c>
    </row>
    <row r="117" spans="20:22" x14ac:dyDescent="0.25">
      <c r="T117">
        <v>457</v>
      </c>
      <c r="U117">
        <v>457</v>
      </c>
    </row>
    <row r="118" spans="20:22" x14ac:dyDescent="0.25">
      <c r="T118">
        <v>467</v>
      </c>
      <c r="U118">
        <v>467</v>
      </c>
    </row>
    <row r="119" spans="20:22" x14ac:dyDescent="0.25">
      <c r="T119">
        <v>476</v>
      </c>
      <c r="U119">
        <v>476</v>
      </c>
    </row>
    <row r="120" spans="20:22" x14ac:dyDescent="0.25">
      <c r="T120">
        <v>477</v>
      </c>
      <c r="U120">
        <v>477</v>
      </c>
    </row>
    <row r="121" spans="20:22" x14ac:dyDescent="0.25">
      <c r="T121">
        <v>561</v>
      </c>
      <c r="U121">
        <v>561</v>
      </c>
    </row>
    <row r="122" spans="20:22" x14ac:dyDescent="0.25">
      <c r="T122">
        <v>562</v>
      </c>
      <c r="U122">
        <v>562</v>
      </c>
    </row>
    <row r="123" spans="20:22" x14ac:dyDescent="0.25">
      <c r="T123">
        <v>570</v>
      </c>
      <c r="U123">
        <v>570</v>
      </c>
    </row>
    <row r="124" spans="20:22" x14ac:dyDescent="0.25">
      <c r="T124">
        <v>571</v>
      </c>
      <c r="U124">
        <v>571</v>
      </c>
    </row>
    <row r="125" spans="20:22" x14ac:dyDescent="0.25">
      <c r="T125">
        <v>595</v>
      </c>
      <c r="U125" s="1">
        <v>590</v>
      </c>
      <c r="V125" t="s">
        <v>141</v>
      </c>
    </row>
    <row r="126" spans="20:22" x14ac:dyDescent="0.25">
      <c r="T126">
        <v>628</v>
      </c>
      <c r="U126">
        <v>595</v>
      </c>
    </row>
    <row r="127" spans="20:22" x14ac:dyDescent="0.25">
      <c r="T127">
        <v>664</v>
      </c>
      <c r="U127">
        <v>628</v>
      </c>
    </row>
    <row r="128" spans="20:22" x14ac:dyDescent="0.25">
      <c r="T128">
        <v>665</v>
      </c>
      <c r="U128">
        <v>664</v>
      </c>
    </row>
    <row r="129" spans="20:22" x14ac:dyDescent="0.25">
      <c r="T129">
        <v>672</v>
      </c>
      <c r="U129">
        <v>665</v>
      </c>
    </row>
    <row r="130" spans="20:22" x14ac:dyDescent="0.25">
      <c r="T130">
        <v>682</v>
      </c>
      <c r="U130">
        <v>672</v>
      </c>
    </row>
    <row r="131" spans="20:22" x14ac:dyDescent="0.25">
      <c r="T131">
        <v>683</v>
      </c>
      <c r="U131">
        <v>682</v>
      </c>
    </row>
    <row r="132" spans="20:22" x14ac:dyDescent="0.25">
      <c r="T132">
        <v>685</v>
      </c>
      <c r="U132">
        <v>683</v>
      </c>
    </row>
    <row r="133" spans="20:22" x14ac:dyDescent="0.25">
      <c r="T133">
        <v>686</v>
      </c>
      <c r="U133">
        <v>685</v>
      </c>
    </row>
    <row r="134" spans="20:22" x14ac:dyDescent="0.25">
      <c r="T134">
        <v>687</v>
      </c>
      <c r="U134">
        <v>686</v>
      </c>
    </row>
    <row r="135" spans="20:22" x14ac:dyDescent="0.25">
      <c r="T135">
        <v>704</v>
      </c>
      <c r="U135">
        <v>687</v>
      </c>
    </row>
    <row r="136" spans="20:22" x14ac:dyDescent="0.25">
      <c r="T136">
        <v>758</v>
      </c>
      <c r="U136">
        <v>704</v>
      </c>
    </row>
    <row r="137" spans="20:22" x14ac:dyDescent="0.25">
      <c r="T137">
        <v>768</v>
      </c>
      <c r="U137">
        <v>758</v>
      </c>
    </row>
    <row r="138" spans="20:22" x14ac:dyDescent="0.25">
      <c r="T138">
        <v>783</v>
      </c>
      <c r="U138" s="1">
        <v>762</v>
      </c>
    </row>
    <row r="139" spans="20:22" x14ac:dyDescent="0.25">
      <c r="T139">
        <v>788</v>
      </c>
      <c r="U139">
        <v>768</v>
      </c>
    </row>
    <row r="140" spans="20:22" x14ac:dyDescent="0.25">
      <c r="U140">
        <v>783</v>
      </c>
    </row>
    <row r="141" spans="20:22" x14ac:dyDescent="0.25">
      <c r="U141">
        <v>788</v>
      </c>
      <c r="V141" t="s">
        <v>141</v>
      </c>
    </row>
  </sheetData>
  <sortState xmlns:xlrd2="http://schemas.microsoft.com/office/spreadsheetml/2017/richdata2" ref="U111:U141">
    <sortCondition ref="U111:U14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5F627-DEE6-40A4-854C-50940ADE3681}">
  <dimension ref="A1:AV171"/>
  <sheetViews>
    <sheetView tabSelected="1" topLeftCell="AF26" workbookViewId="0">
      <selection activeCell="AQ43" sqref="AQ43"/>
    </sheetView>
  </sheetViews>
  <sheetFormatPr defaultRowHeight="15" x14ac:dyDescent="0.25"/>
  <cols>
    <col min="1" max="1" width="17.7109375" customWidth="1"/>
    <col min="2" max="2" width="22.85546875" customWidth="1"/>
    <col min="3" max="3" width="22.42578125" customWidth="1"/>
    <col min="4" max="4" width="15.7109375" customWidth="1"/>
    <col min="11" max="11" width="14.5703125" customWidth="1"/>
    <col min="12" max="12" width="16.7109375" customWidth="1"/>
    <col min="13" max="13" width="16.85546875" customWidth="1"/>
    <col min="14" max="14" width="12.5703125" customWidth="1"/>
    <col min="16" max="19" width="9.7109375" bestFit="1" customWidth="1"/>
    <col min="45" max="45" width="10.85546875" bestFit="1" customWidth="1"/>
    <col min="46" max="47" width="9.7109375" bestFit="1" customWidth="1"/>
  </cols>
  <sheetData>
    <row r="1" spans="1:24" x14ac:dyDescent="0.25">
      <c r="A1" t="s">
        <v>142</v>
      </c>
    </row>
    <row r="2" spans="1:24" x14ac:dyDescent="0.25">
      <c r="K2">
        <v>1</v>
      </c>
      <c r="L2" t="s">
        <v>143</v>
      </c>
      <c r="N2">
        <v>37727</v>
      </c>
      <c r="O2" t="s">
        <v>144</v>
      </c>
    </row>
    <row r="3" spans="1:24" x14ac:dyDescent="0.25">
      <c r="A3" t="s">
        <v>143</v>
      </c>
      <c r="B3" t="s">
        <v>145</v>
      </c>
      <c r="C3" t="s">
        <v>146</v>
      </c>
      <c r="D3" t="s">
        <v>147</v>
      </c>
      <c r="K3">
        <v>2</v>
      </c>
      <c r="L3" t="s">
        <v>145</v>
      </c>
    </row>
    <row r="4" spans="1:24" x14ac:dyDescent="0.25">
      <c r="A4">
        <v>7</v>
      </c>
      <c r="B4">
        <v>4</v>
      </c>
      <c r="C4">
        <v>25</v>
      </c>
      <c r="D4">
        <v>7</v>
      </c>
      <c r="E4" t="s">
        <v>148</v>
      </c>
      <c r="K4">
        <v>3</v>
      </c>
      <c r="L4" t="s">
        <v>146</v>
      </c>
    </row>
    <row r="5" spans="1:24" x14ac:dyDescent="0.25">
      <c r="A5">
        <v>3</v>
      </c>
      <c r="B5">
        <v>1</v>
      </c>
      <c r="C5">
        <v>2</v>
      </c>
      <c r="D5">
        <v>0</v>
      </c>
      <c r="E5" t="s">
        <v>149</v>
      </c>
      <c r="K5">
        <v>4</v>
      </c>
      <c r="L5" t="s">
        <v>147</v>
      </c>
    </row>
    <row r="6" spans="1:24" x14ac:dyDescent="0.25">
      <c r="A6">
        <v>21</v>
      </c>
      <c r="B6">
        <v>4</v>
      </c>
      <c r="C6">
        <v>59</v>
      </c>
      <c r="D6">
        <v>9</v>
      </c>
      <c r="E6" t="s">
        <v>150</v>
      </c>
    </row>
    <row r="7" spans="1:24" x14ac:dyDescent="0.25">
      <c r="A7" s="3">
        <f>SUM(A4:A6)</f>
        <v>31</v>
      </c>
      <c r="B7" s="3">
        <f t="shared" ref="B7:D7" si="0">SUM(B4:B6)</f>
        <v>9</v>
      </c>
      <c r="C7" s="3">
        <f t="shared" si="0"/>
        <v>86</v>
      </c>
      <c r="D7" s="3">
        <f t="shared" si="0"/>
        <v>16</v>
      </c>
      <c r="E7">
        <f>SUM(A7:D7)</f>
        <v>142</v>
      </c>
    </row>
    <row r="8" spans="1:24" x14ac:dyDescent="0.25">
      <c r="A8" s="8">
        <f>A7/$E$7</f>
        <v>0.21830985915492956</v>
      </c>
      <c r="B8" s="8">
        <f t="shared" ref="B8" si="1">B7/$E$7</f>
        <v>6.3380281690140844E-2</v>
      </c>
      <c r="C8" s="8">
        <f>C7/$E$7</f>
        <v>0.60563380281690138</v>
      </c>
      <c r="D8" s="8">
        <f>D7/$E$7</f>
        <v>0.11267605633802817</v>
      </c>
    </row>
    <row r="12" spans="1:24" x14ac:dyDescent="0.25">
      <c r="A12" t="s">
        <v>15</v>
      </c>
      <c r="D12" t="s">
        <v>151</v>
      </c>
      <c r="G12" t="s">
        <v>39</v>
      </c>
      <c r="K12">
        <v>1</v>
      </c>
      <c r="L12">
        <v>2</v>
      </c>
      <c r="M12">
        <v>3</v>
      </c>
      <c r="N12">
        <v>4</v>
      </c>
      <c r="P12">
        <v>1</v>
      </c>
      <c r="Q12">
        <v>2</v>
      </c>
      <c r="R12">
        <v>3</v>
      </c>
      <c r="S12">
        <v>4</v>
      </c>
      <c r="U12">
        <v>1</v>
      </c>
      <c r="V12">
        <v>2</v>
      </c>
      <c r="W12">
        <v>3</v>
      </c>
      <c r="X12">
        <v>4</v>
      </c>
    </row>
    <row r="13" spans="1:24" x14ac:dyDescent="0.25">
      <c r="A13" s="5">
        <v>398</v>
      </c>
      <c r="B13">
        <v>3</v>
      </c>
      <c r="D13" s="5">
        <v>190</v>
      </c>
      <c r="E13">
        <v>1</v>
      </c>
      <c r="G13" s="5">
        <v>190</v>
      </c>
      <c r="H13">
        <v>3</v>
      </c>
      <c r="J13">
        <v>190</v>
      </c>
      <c r="K13">
        <v>0</v>
      </c>
      <c r="L13">
        <v>0</v>
      </c>
      <c r="M13">
        <v>0</v>
      </c>
      <c r="N13">
        <v>0</v>
      </c>
      <c r="P13">
        <f>COUNTIF($E13,P$12)</f>
        <v>1</v>
      </c>
      <c r="Q13">
        <f t="shared" ref="Q13:S13" si="2">COUNTIF($E13,Q$12)</f>
        <v>0</v>
      </c>
      <c r="R13">
        <f t="shared" si="2"/>
        <v>0</v>
      </c>
      <c r="S13">
        <f t="shared" si="2"/>
        <v>0</v>
      </c>
      <c r="U13">
        <f>COUNTIF($H13:$H14,U$12)</f>
        <v>0</v>
      </c>
      <c r="V13">
        <f t="shared" ref="V13:X13" si="3">COUNTIF($H13:$H14,V$12)</f>
        <v>0</v>
      </c>
      <c r="W13">
        <f t="shared" si="3"/>
        <v>2</v>
      </c>
      <c r="X13">
        <f t="shared" si="3"/>
        <v>0</v>
      </c>
    </row>
    <row r="14" spans="1:24" x14ac:dyDescent="0.25">
      <c r="A14" s="5">
        <v>398</v>
      </c>
      <c r="B14">
        <v>4</v>
      </c>
      <c r="D14" s="5">
        <v>398</v>
      </c>
      <c r="E14">
        <v>3</v>
      </c>
      <c r="G14" s="5">
        <v>190</v>
      </c>
      <c r="H14">
        <v>3</v>
      </c>
      <c r="J14">
        <v>398</v>
      </c>
      <c r="K14">
        <f>COUNTIF($B13:$B60,K12)</f>
        <v>9</v>
      </c>
      <c r="L14">
        <f t="shared" ref="L14:N14" si="4">COUNTIF($B13:$B60,L12)</f>
        <v>3</v>
      </c>
      <c r="M14">
        <f t="shared" si="4"/>
        <v>29</v>
      </c>
      <c r="N14">
        <f t="shared" si="4"/>
        <v>7</v>
      </c>
      <c r="P14">
        <f>COUNTIF($E14:$E20,P12)</f>
        <v>4</v>
      </c>
      <c r="Q14">
        <f>COUNTIF($E14:$E20,Q12)</f>
        <v>0</v>
      </c>
      <c r="R14">
        <f>COUNTIF($E14:$E20,R12)</f>
        <v>3</v>
      </c>
      <c r="S14">
        <f>COUNTIF($E14:$E20,S12)</f>
        <v>0</v>
      </c>
      <c r="U14">
        <f>COUNTIF($H15:$H106,U12)</f>
        <v>29</v>
      </c>
      <c r="V14">
        <f t="shared" ref="V14:X14" si="5">COUNTIF($H15:$H106,V12)</f>
        <v>3</v>
      </c>
      <c r="W14">
        <f t="shared" si="5"/>
        <v>49</v>
      </c>
      <c r="X14">
        <f t="shared" si="5"/>
        <v>11</v>
      </c>
    </row>
    <row r="15" spans="1:24" x14ac:dyDescent="0.25">
      <c r="A15" s="5">
        <v>398</v>
      </c>
      <c r="B15">
        <v>4</v>
      </c>
      <c r="D15" s="5">
        <v>398</v>
      </c>
      <c r="E15">
        <v>3</v>
      </c>
      <c r="G15" s="5">
        <v>398</v>
      </c>
      <c r="H15">
        <v>1</v>
      </c>
      <c r="J15">
        <v>401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1</v>
      </c>
      <c r="X15">
        <v>0</v>
      </c>
    </row>
    <row r="16" spans="1:24" x14ac:dyDescent="0.25">
      <c r="A16" s="5">
        <v>398</v>
      </c>
      <c r="B16">
        <v>3</v>
      </c>
      <c r="D16" s="5">
        <v>398</v>
      </c>
      <c r="E16">
        <v>3</v>
      </c>
      <c r="G16" s="5">
        <v>398</v>
      </c>
      <c r="H16">
        <v>1</v>
      </c>
      <c r="J16">
        <v>457</v>
      </c>
      <c r="K16">
        <f>COUNTIF($B61:$B62,K14)</f>
        <v>0</v>
      </c>
      <c r="L16">
        <f t="shared" ref="L16:N16" si="6">COUNTIF($B61:$B62,L14)</f>
        <v>1</v>
      </c>
      <c r="M16">
        <f t="shared" si="6"/>
        <v>0</v>
      </c>
      <c r="N16">
        <f t="shared" si="6"/>
        <v>0</v>
      </c>
      <c r="P16">
        <f>COUNTIF($E21:$E23,P$12)</f>
        <v>3</v>
      </c>
      <c r="Q16">
        <f t="shared" ref="Q16:S16" si="7">COUNTIF($E21:$E23,Q$12)</f>
        <v>0</v>
      </c>
      <c r="R16">
        <f t="shared" si="7"/>
        <v>0</v>
      </c>
      <c r="S16">
        <f t="shared" si="7"/>
        <v>0</v>
      </c>
      <c r="U16">
        <f>COUNTIF($H108:$H114,U$12)</f>
        <v>0</v>
      </c>
      <c r="V16">
        <f t="shared" ref="V16:X16" si="8">COUNTIF($H108:$H114,V$12)</f>
        <v>0</v>
      </c>
      <c r="W16">
        <f t="shared" si="8"/>
        <v>7</v>
      </c>
      <c r="X16">
        <f t="shared" si="8"/>
        <v>0</v>
      </c>
    </row>
    <row r="17" spans="1:24" x14ac:dyDescent="0.25">
      <c r="A17" s="5">
        <v>398</v>
      </c>
      <c r="B17">
        <v>3</v>
      </c>
      <c r="D17" s="5">
        <v>398</v>
      </c>
      <c r="E17">
        <v>1</v>
      </c>
      <c r="G17" s="5">
        <v>398</v>
      </c>
      <c r="H17">
        <v>3</v>
      </c>
      <c r="J17">
        <v>467</v>
      </c>
      <c r="K17">
        <v>0</v>
      </c>
      <c r="L17">
        <v>0</v>
      </c>
      <c r="M17">
        <v>0</v>
      </c>
      <c r="N17">
        <v>0</v>
      </c>
      <c r="P17">
        <v>0</v>
      </c>
      <c r="Q17">
        <v>0</v>
      </c>
      <c r="R17">
        <v>0</v>
      </c>
      <c r="S17">
        <v>0</v>
      </c>
      <c r="U17">
        <f>COUNTIF($H115:$H116,U$12)</f>
        <v>0</v>
      </c>
      <c r="V17">
        <f t="shared" ref="V17:X17" si="9">COUNTIF($H115:$H116,V$12)</f>
        <v>0</v>
      </c>
      <c r="W17">
        <f t="shared" si="9"/>
        <v>2</v>
      </c>
      <c r="X17">
        <f t="shared" si="9"/>
        <v>0</v>
      </c>
    </row>
    <row r="18" spans="1:24" x14ac:dyDescent="0.25">
      <c r="A18" s="5">
        <v>398</v>
      </c>
      <c r="B18">
        <v>4</v>
      </c>
      <c r="D18" s="5">
        <v>398</v>
      </c>
      <c r="E18">
        <v>1</v>
      </c>
      <c r="G18" s="5">
        <v>398</v>
      </c>
      <c r="H18">
        <v>3</v>
      </c>
      <c r="J18">
        <v>477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  <c r="U18">
        <f>COUNTIF($H117,U$12)</f>
        <v>1</v>
      </c>
      <c r="V18">
        <f t="shared" ref="V18:X18" si="10">COUNTIF($H108,V$12)</f>
        <v>0</v>
      </c>
      <c r="W18">
        <f t="shared" si="10"/>
        <v>1</v>
      </c>
      <c r="X18">
        <f t="shared" si="10"/>
        <v>0</v>
      </c>
    </row>
    <row r="19" spans="1:24" x14ac:dyDescent="0.25">
      <c r="A19" s="5">
        <v>398</v>
      </c>
      <c r="B19">
        <v>3</v>
      </c>
      <c r="D19" s="5">
        <v>398</v>
      </c>
      <c r="E19">
        <v>1</v>
      </c>
      <c r="G19" s="5">
        <v>398</v>
      </c>
      <c r="H19">
        <v>2</v>
      </c>
      <c r="J19">
        <v>561</v>
      </c>
      <c r="K19">
        <f>COUNTIF($B63,K17)</f>
        <v>0</v>
      </c>
      <c r="L19">
        <f t="shared" ref="L19:N19" si="11">COUNTIF($B63,L17)</f>
        <v>0</v>
      </c>
      <c r="M19">
        <f t="shared" si="11"/>
        <v>0</v>
      </c>
      <c r="N19">
        <f t="shared" si="11"/>
        <v>0</v>
      </c>
      <c r="P19">
        <v>0</v>
      </c>
      <c r="Q19">
        <v>0</v>
      </c>
      <c r="R19">
        <v>0</v>
      </c>
      <c r="S19">
        <v>0</v>
      </c>
      <c r="U19">
        <f>COUNTIF($H118,U$12)</f>
        <v>1</v>
      </c>
      <c r="V19">
        <f t="shared" ref="V19:X19" si="12">COUNTIF($J102:$J108,V$12)</f>
        <v>0</v>
      </c>
      <c r="W19">
        <f t="shared" si="12"/>
        <v>0</v>
      </c>
      <c r="X19">
        <f t="shared" si="12"/>
        <v>0</v>
      </c>
    </row>
    <row r="20" spans="1:24" x14ac:dyDescent="0.25">
      <c r="A20" s="5">
        <v>398</v>
      </c>
      <c r="B20">
        <v>3</v>
      </c>
      <c r="D20" s="5">
        <v>398</v>
      </c>
      <c r="E20">
        <v>1</v>
      </c>
      <c r="G20" s="5">
        <v>398</v>
      </c>
      <c r="H20">
        <v>4</v>
      </c>
      <c r="J20">
        <v>562</v>
      </c>
      <c r="K20">
        <v>0</v>
      </c>
      <c r="L20">
        <v>0</v>
      </c>
      <c r="M20">
        <v>0</v>
      </c>
      <c r="N20">
        <v>0</v>
      </c>
      <c r="P20">
        <v>0</v>
      </c>
      <c r="Q20">
        <v>0</v>
      </c>
      <c r="R20">
        <v>0</v>
      </c>
      <c r="S20">
        <v>0</v>
      </c>
      <c r="U20">
        <f>COUNTIF($H119:$H120,U$12)</f>
        <v>0</v>
      </c>
      <c r="V20">
        <f t="shared" ref="V20:X20" si="13">COUNTIF($H119:$H120,V$12)</f>
        <v>0</v>
      </c>
      <c r="W20">
        <f t="shared" si="13"/>
        <v>2</v>
      </c>
      <c r="X20">
        <f t="shared" si="13"/>
        <v>0</v>
      </c>
    </row>
    <row r="21" spans="1:24" x14ac:dyDescent="0.25">
      <c r="A21" s="5">
        <v>398</v>
      </c>
      <c r="B21">
        <v>3</v>
      </c>
      <c r="D21" s="5">
        <v>457</v>
      </c>
      <c r="E21">
        <v>1</v>
      </c>
      <c r="G21" s="5">
        <v>398</v>
      </c>
      <c r="H21">
        <v>3</v>
      </c>
      <c r="J21">
        <v>570</v>
      </c>
      <c r="K21">
        <v>0</v>
      </c>
      <c r="L21">
        <v>0</v>
      </c>
      <c r="M21">
        <v>1</v>
      </c>
      <c r="N21">
        <v>0</v>
      </c>
      <c r="P21">
        <v>0</v>
      </c>
      <c r="Q21">
        <v>0</v>
      </c>
      <c r="R21">
        <v>0</v>
      </c>
      <c r="S21">
        <v>0</v>
      </c>
      <c r="U21">
        <f>COUNTIF($I111:$J111,U$12)</f>
        <v>0</v>
      </c>
      <c r="V21">
        <f>COUNTIF($I111:$J111,V$12)</f>
        <v>0</v>
      </c>
      <c r="W21">
        <f>COUNTIF($I111:$J111,W$12)</f>
        <v>0</v>
      </c>
      <c r="X21">
        <f>COUNTIF($I111:$J111,X$12)</f>
        <v>0</v>
      </c>
    </row>
    <row r="22" spans="1:24" x14ac:dyDescent="0.25">
      <c r="A22" s="5">
        <v>398</v>
      </c>
      <c r="B22">
        <v>3</v>
      </c>
      <c r="D22" s="5">
        <v>457</v>
      </c>
      <c r="E22">
        <v>1</v>
      </c>
      <c r="G22" s="5">
        <v>398</v>
      </c>
      <c r="H22">
        <v>3</v>
      </c>
      <c r="J22">
        <v>571</v>
      </c>
      <c r="K22">
        <v>1</v>
      </c>
      <c r="L22">
        <v>0</v>
      </c>
      <c r="M22">
        <v>2</v>
      </c>
      <c r="N22">
        <v>0</v>
      </c>
      <c r="P22">
        <v>0</v>
      </c>
      <c r="Q22">
        <v>0</v>
      </c>
      <c r="R22">
        <v>0</v>
      </c>
      <c r="S22">
        <v>0</v>
      </c>
      <c r="U22">
        <f>COUNTIF($H121,U$12)</f>
        <v>0</v>
      </c>
      <c r="V22">
        <f t="shared" ref="V22:X22" si="14">COUNTIF($H121,V$12)</f>
        <v>0</v>
      </c>
      <c r="W22">
        <f t="shared" si="14"/>
        <v>1</v>
      </c>
      <c r="X22">
        <f t="shared" si="14"/>
        <v>0</v>
      </c>
    </row>
    <row r="23" spans="1:24" x14ac:dyDescent="0.25">
      <c r="A23" s="5">
        <v>398</v>
      </c>
      <c r="B23">
        <v>1</v>
      </c>
      <c r="D23" s="5">
        <v>457</v>
      </c>
      <c r="E23">
        <v>1</v>
      </c>
      <c r="G23" s="5">
        <v>398</v>
      </c>
      <c r="H23">
        <v>3</v>
      </c>
      <c r="J23">
        <v>595</v>
      </c>
      <c r="K23">
        <v>0</v>
      </c>
      <c r="L23">
        <v>0</v>
      </c>
      <c r="M23">
        <v>3</v>
      </c>
      <c r="N23">
        <v>0</v>
      </c>
      <c r="P23">
        <v>0</v>
      </c>
      <c r="Q23">
        <v>0</v>
      </c>
      <c r="R23">
        <v>0</v>
      </c>
      <c r="S23">
        <v>0</v>
      </c>
      <c r="U23">
        <f>COUNTIF($H122:$H124,U$12)</f>
        <v>0</v>
      </c>
      <c r="V23">
        <f t="shared" ref="V23:X23" si="15">COUNTIF($H122:$H124,V$12)</f>
        <v>2</v>
      </c>
      <c r="W23">
        <f t="shared" si="15"/>
        <v>1</v>
      </c>
      <c r="X23">
        <f t="shared" si="15"/>
        <v>0</v>
      </c>
    </row>
    <row r="24" spans="1:24" x14ac:dyDescent="0.25">
      <c r="A24" s="5">
        <v>398</v>
      </c>
      <c r="B24">
        <v>3</v>
      </c>
      <c r="D24" s="5">
        <v>686</v>
      </c>
      <c r="E24">
        <v>2</v>
      </c>
      <c r="G24" s="5">
        <v>398</v>
      </c>
      <c r="H24">
        <v>3</v>
      </c>
      <c r="J24">
        <v>628</v>
      </c>
      <c r="K24">
        <v>0</v>
      </c>
      <c r="L24">
        <v>0</v>
      </c>
      <c r="M24">
        <v>0</v>
      </c>
      <c r="N24">
        <v>0</v>
      </c>
      <c r="P24">
        <v>0</v>
      </c>
      <c r="Q24">
        <v>0</v>
      </c>
      <c r="R24">
        <v>0</v>
      </c>
      <c r="S24">
        <v>0</v>
      </c>
      <c r="U24">
        <f>COUNTIF($H125,U$12)</f>
        <v>0</v>
      </c>
      <c r="V24">
        <f t="shared" ref="V24:X24" si="16">COUNTIF($H125,V$12)</f>
        <v>0</v>
      </c>
      <c r="W24">
        <f t="shared" si="16"/>
        <v>1</v>
      </c>
      <c r="X24">
        <f t="shared" si="16"/>
        <v>0</v>
      </c>
    </row>
    <row r="25" spans="1:24" x14ac:dyDescent="0.25">
      <c r="A25" s="5">
        <v>398</v>
      </c>
      <c r="B25">
        <v>3</v>
      </c>
      <c r="D25" s="5">
        <v>758</v>
      </c>
      <c r="E25">
        <v>1</v>
      </c>
      <c r="G25" s="5">
        <v>398</v>
      </c>
      <c r="H25">
        <v>1</v>
      </c>
      <c r="J25">
        <v>664</v>
      </c>
      <c r="K25">
        <v>1</v>
      </c>
      <c r="L25">
        <v>0</v>
      </c>
      <c r="M25">
        <v>0</v>
      </c>
      <c r="N25">
        <v>0</v>
      </c>
      <c r="P25">
        <v>0</v>
      </c>
      <c r="Q25">
        <v>0</v>
      </c>
      <c r="R25">
        <v>0</v>
      </c>
      <c r="S25">
        <v>0</v>
      </c>
      <c r="U25">
        <f>COUNTIF($I115:$J116,U$12)</f>
        <v>0</v>
      </c>
      <c r="V25">
        <f>COUNTIF($I115:$J116,V$12)</f>
        <v>0</v>
      </c>
      <c r="W25">
        <f>COUNTIF($I115:$J116,W$12)</f>
        <v>0</v>
      </c>
      <c r="X25">
        <f>COUNTIF($I115:$J116,X$12)</f>
        <v>0</v>
      </c>
    </row>
    <row r="26" spans="1:24" x14ac:dyDescent="0.25">
      <c r="A26" s="5">
        <v>398</v>
      </c>
      <c r="B26">
        <v>3</v>
      </c>
      <c r="G26" s="5">
        <v>398</v>
      </c>
      <c r="H26">
        <v>3</v>
      </c>
      <c r="J26">
        <v>665</v>
      </c>
      <c r="K26">
        <f>COUNTIF($C70:$C77,K$12)</f>
        <v>0</v>
      </c>
      <c r="L26">
        <f>COUNTIF($C70:$C77,L$12)</f>
        <v>0</v>
      </c>
      <c r="M26">
        <f>COUNTIF($C70:$C77,M$12)</f>
        <v>0</v>
      </c>
      <c r="N26">
        <f>COUNTIF($C70:$C77,N$12)</f>
        <v>0</v>
      </c>
      <c r="P26">
        <v>0</v>
      </c>
      <c r="Q26">
        <v>0</v>
      </c>
      <c r="R26">
        <v>0</v>
      </c>
      <c r="S26">
        <v>0</v>
      </c>
      <c r="U26">
        <f>COUNTIF($H126:$H127,U$12)</f>
        <v>0</v>
      </c>
      <c r="V26">
        <f t="shared" ref="V26:X26" si="17">COUNTIF($H126:$H127,V$12)</f>
        <v>0</v>
      </c>
      <c r="W26">
        <f t="shared" si="17"/>
        <v>2</v>
      </c>
      <c r="X26">
        <f t="shared" si="17"/>
        <v>0</v>
      </c>
    </row>
    <row r="27" spans="1:24" x14ac:dyDescent="0.25">
      <c r="A27" s="5">
        <v>398</v>
      </c>
      <c r="B27">
        <v>3</v>
      </c>
      <c r="G27" s="5">
        <v>398</v>
      </c>
      <c r="H27">
        <v>3</v>
      </c>
      <c r="J27">
        <v>686</v>
      </c>
      <c r="K27">
        <f>COUNTIF($B72:$B78,K25)</f>
        <v>0</v>
      </c>
      <c r="L27">
        <f t="shared" ref="L27:N27" si="18">COUNTIF($B72:$B78,L25)</f>
        <v>0</v>
      </c>
      <c r="M27">
        <f t="shared" si="18"/>
        <v>0</v>
      </c>
      <c r="N27">
        <f t="shared" si="18"/>
        <v>0</v>
      </c>
      <c r="P27">
        <f t="shared" ref="P27:S28" si="19">COUNTIF($E24,P$12)</f>
        <v>0</v>
      </c>
      <c r="Q27">
        <f t="shared" si="19"/>
        <v>1</v>
      </c>
      <c r="R27">
        <f t="shared" si="19"/>
        <v>0</v>
      </c>
      <c r="S27">
        <f t="shared" si="19"/>
        <v>0</v>
      </c>
      <c r="U27">
        <f>COUNTIF($H128:$H139,U$12)</f>
        <v>0</v>
      </c>
      <c r="V27">
        <f t="shared" ref="V27:X27" si="20">COUNTIF($H128:$H139,V$12)</f>
        <v>2</v>
      </c>
      <c r="W27">
        <f>COUNTIF($H128:$H139,W$12)</f>
        <v>10</v>
      </c>
      <c r="X27">
        <f t="shared" si="20"/>
        <v>0</v>
      </c>
    </row>
    <row r="28" spans="1:24" x14ac:dyDescent="0.25">
      <c r="A28" s="5">
        <v>398</v>
      </c>
      <c r="B28">
        <v>2</v>
      </c>
      <c r="G28" s="5">
        <v>398</v>
      </c>
      <c r="H28">
        <v>3</v>
      </c>
      <c r="J28">
        <v>758</v>
      </c>
      <c r="K28">
        <v>0</v>
      </c>
      <c r="L28">
        <v>0</v>
      </c>
      <c r="M28">
        <v>0</v>
      </c>
      <c r="N28">
        <v>0</v>
      </c>
      <c r="P28">
        <f t="shared" si="19"/>
        <v>1</v>
      </c>
      <c r="Q28">
        <f t="shared" si="19"/>
        <v>0</v>
      </c>
      <c r="R28">
        <f t="shared" si="19"/>
        <v>0</v>
      </c>
      <c r="S28">
        <f t="shared" si="19"/>
        <v>0</v>
      </c>
      <c r="U28">
        <f>COUNTIF($H140:$H141,U$12)</f>
        <v>0</v>
      </c>
      <c r="V28">
        <f t="shared" ref="V28:X28" si="21">COUNTIF($H140:$H141,V$12)</f>
        <v>0</v>
      </c>
      <c r="W28">
        <f t="shared" si="21"/>
        <v>2</v>
      </c>
      <c r="X28">
        <f t="shared" si="21"/>
        <v>0</v>
      </c>
    </row>
    <row r="29" spans="1:24" x14ac:dyDescent="0.25">
      <c r="A29" s="5">
        <v>398</v>
      </c>
      <c r="B29">
        <v>3</v>
      </c>
      <c r="G29" s="5">
        <v>398</v>
      </c>
      <c r="H29">
        <v>1</v>
      </c>
      <c r="J29">
        <v>768</v>
      </c>
      <c r="K29">
        <v>0</v>
      </c>
      <c r="L29">
        <f>-N294</f>
        <v>0</v>
      </c>
      <c r="M29">
        <f>COUNTIF($B87,M$12)</f>
        <v>0</v>
      </c>
      <c r="N29">
        <v>1</v>
      </c>
      <c r="P29">
        <v>0</v>
      </c>
      <c r="Q29">
        <v>0</v>
      </c>
      <c r="R29">
        <v>0</v>
      </c>
      <c r="S29">
        <v>0</v>
      </c>
      <c r="U29">
        <f>COUNTIF($J135:$J141,U$12)</f>
        <v>0</v>
      </c>
      <c r="V29">
        <f>COUNTIF($J114:$J120,V$12)</f>
        <v>0</v>
      </c>
      <c r="W29">
        <f>COUNTIF($J114:$J120,W$12)</f>
        <v>0</v>
      </c>
      <c r="X29">
        <f>COUNTIF($J114:$J120,X$12)</f>
        <v>0</v>
      </c>
    </row>
    <row r="30" spans="1:24" x14ac:dyDescent="0.25">
      <c r="A30" s="5">
        <v>398</v>
      </c>
      <c r="B30">
        <v>1</v>
      </c>
      <c r="G30" s="5">
        <v>398</v>
      </c>
      <c r="H30">
        <v>1</v>
      </c>
      <c r="J30">
        <v>783</v>
      </c>
      <c r="K30">
        <v>0</v>
      </c>
      <c r="L30">
        <v>0</v>
      </c>
      <c r="M30">
        <v>0</v>
      </c>
      <c r="N30">
        <v>0</v>
      </c>
      <c r="P30">
        <v>0</v>
      </c>
      <c r="Q30">
        <v>0</v>
      </c>
      <c r="R30">
        <v>0</v>
      </c>
      <c r="S30">
        <v>0</v>
      </c>
      <c r="U30">
        <f>COUNTIF($H142:$H144,U$12)</f>
        <v>2</v>
      </c>
      <c r="V30">
        <f t="shared" ref="V30:X30" si="22">COUNTIF($H142:$H144,V$12)</f>
        <v>0</v>
      </c>
      <c r="W30">
        <f t="shared" si="22"/>
        <v>1</v>
      </c>
      <c r="X30">
        <f t="shared" si="22"/>
        <v>0</v>
      </c>
    </row>
    <row r="31" spans="1:24" x14ac:dyDescent="0.25">
      <c r="A31" s="5">
        <v>398</v>
      </c>
      <c r="B31">
        <v>1</v>
      </c>
      <c r="G31" s="5">
        <v>398</v>
      </c>
      <c r="H31">
        <v>1</v>
      </c>
      <c r="J31">
        <v>788</v>
      </c>
      <c r="K31">
        <f>COUNTIF($B80:$B85,K29)</f>
        <v>0</v>
      </c>
      <c r="L31">
        <f t="shared" ref="L31:N31" si="23">COUNTIF($B80:$B85,L29)</f>
        <v>0</v>
      </c>
      <c r="M31">
        <f t="shared" si="23"/>
        <v>0</v>
      </c>
      <c r="N31">
        <f t="shared" si="23"/>
        <v>0</v>
      </c>
      <c r="P31">
        <v>0</v>
      </c>
      <c r="Q31">
        <v>0</v>
      </c>
      <c r="R31">
        <v>0</v>
      </c>
      <c r="S31">
        <v>0</v>
      </c>
      <c r="U31">
        <f>COUNTIF($H145:$H146,U$12)</f>
        <v>0</v>
      </c>
      <c r="V31">
        <f t="shared" ref="V31:X31" si="24">COUNTIF($H145:$H146,V$12)</f>
        <v>0</v>
      </c>
      <c r="W31">
        <f t="shared" si="24"/>
        <v>1</v>
      </c>
      <c r="X31">
        <f t="shared" si="24"/>
        <v>1</v>
      </c>
    </row>
    <row r="32" spans="1:24" x14ac:dyDescent="0.25">
      <c r="A32" s="5">
        <v>398</v>
      </c>
      <c r="B32">
        <v>1</v>
      </c>
      <c r="G32" s="5">
        <v>398</v>
      </c>
      <c r="H32">
        <v>3</v>
      </c>
    </row>
    <row r="33" spans="1:48" x14ac:dyDescent="0.25">
      <c r="A33" s="5">
        <v>398</v>
      </c>
      <c r="B33">
        <v>1</v>
      </c>
      <c r="G33" s="5">
        <v>398</v>
      </c>
      <c r="H33">
        <v>3</v>
      </c>
    </row>
    <row r="34" spans="1:48" x14ac:dyDescent="0.25">
      <c r="A34" s="5">
        <v>398</v>
      </c>
      <c r="B34">
        <v>1</v>
      </c>
      <c r="G34" s="5">
        <v>398</v>
      </c>
      <c r="H34">
        <v>3</v>
      </c>
      <c r="K34" s="1" t="s">
        <v>143</v>
      </c>
      <c r="L34" s="1" t="s">
        <v>145</v>
      </c>
      <c r="M34" s="1" t="s">
        <v>146</v>
      </c>
      <c r="N34" s="1" t="s">
        <v>147</v>
      </c>
      <c r="X34" t="s">
        <v>143</v>
      </c>
      <c r="Y34" t="s">
        <v>145</v>
      </c>
      <c r="Z34" t="s">
        <v>146</v>
      </c>
      <c r="AA34" t="s">
        <v>147</v>
      </c>
      <c r="AD34" t="s">
        <v>152</v>
      </c>
      <c r="AE34" t="s">
        <v>143</v>
      </c>
      <c r="AF34" t="s">
        <v>145</v>
      </c>
      <c r="AG34" t="s">
        <v>146</v>
      </c>
      <c r="AH34" t="s">
        <v>147</v>
      </c>
      <c r="AL34" t="s">
        <v>143</v>
      </c>
      <c r="AM34" t="s">
        <v>145</v>
      </c>
      <c r="AN34" t="s">
        <v>146</v>
      </c>
      <c r="AO34" t="s">
        <v>147</v>
      </c>
      <c r="AP34" t="s">
        <v>153</v>
      </c>
      <c r="AQ34" t="s">
        <v>154</v>
      </c>
    </row>
    <row r="35" spans="1:48" x14ac:dyDescent="0.25">
      <c r="A35" s="5">
        <v>398</v>
      </c>
      <c r="B35">
        <v>3</v>
      </c>
      <c r="G35" s="5">
        <v>398</v>
      </c>
      <c r="H35">
        <v>3</v>
      </c>
      <c r="J35" s="1">
        <v>190</v>
      </c>
      <c r="K35">
        <f>K13+P13+U13</f>
        <v>1</v>
      </c>
      <c r="L35">
        <f t="shared" ref="L35:N50" si="25">L13+Q13+V13</f>
        <v>0</v>
      </c>
      <c r="M35">
        <f t="shared" si="25"/>
        <v>2</v>
      </c>
      <c r="N35">
        <f t="shared" si="25"/>
        <v>0</v>
      </c>
      <c r="P35" s="2">
        <f>K35/SUM($K35:$N35)</f>
        <v>0.33333333333333331</v>
      </c>
      <c r="Q35" s="2">
        <f t="shared" ref="Q35:S35" si="26">L35/SUM($K35:$N35)</f>
        <v>0</v>
      </c>
      <c r="R35" s="2">
        <f>M35/SUM($K35:$N35)</f>
        <v>0.66666666666666663</v>
      </c>
      <c r="S35" s="2">
        <f t="shared" si="26"/>
        <v>0</v>
      </c>
      <c r="W35">
        <v>570</v>
      </c>
      <c r="X35">
        <v>0</v>
      </c>
      <c r="Y35">
        <v>0</v>
      </c>
      <c r="Z35">
        <v>1</v>
      </c>
      <c r="AA35">
        <v>0</v>
      </c>
      <c r="AD35" t="s">
        <v>83</v>
      </c>
      <c r="AK35" t="s">
        <v>77</v>
      </c>
      <c r="AL35">
        <f>AE42</f>
        <v>1</v>
      </c>
      <c r="AM35">
        <f t="shared" ref="AM35:AO35" si="27">AF42</f>
        <v>3</v>
      </c>
      <c r="AN35">
        <f t="shared" si="27"/>
        <v>12</v>
      </c>
      <c r="AO35">
        <f t="shared" si="27"/>
        <v>0</v>
      </c>
      <c r="AP35" s="1">
        <f t="shared" ref="AP35:AP40" si="28">SUM(AL35:AO35)</f>
        <v>16</v>
      </c>
      <c r="AQ35">
        <v>49</v>
      </c>
      <c r="AS35" s="2">
        <f>AL35/$AP35</f>
        <v>6.25E-2</v>
      </c>
      <c r="AT35" s="2">
        <f t="shared" ref="AT35:AV40" si="29">AM35/$AP35</f>
        <v>0.1875</v>
      </c>
      <c r="AU35" s="2">
        <f t="shared" si="29"/>
        <v>0.75</v>
      </c>
      <c r="AV35" s="2">
        <f t="shared" si="29"/>
        <v>0</v>
      </c>
    </row>
    <row r="36" spans="1:48" x14ac:dyDescent="0.25">
      <c r="A36" s="5">
        <v>398</v>
      </c>
      <c r="B36">
        <v>3</v>
      </c>
      <c r="G36" s="5">
        <v>398</v>
      </c>
      <c r="H36">
        <v>3</v>
      </c>
      <c r="J36" s="1">
        <v>398</v>
      </c>
      <c r="K36">
        <f>K14+P14+U14</f>
        <v>42</v>
      </c>
      <c r="L36">
        <f t="shared" si="25"/>
        <v>6</v>
      </c>
      <c r="M36">
        <v>80</v>
      </c>
      <c r="N36">
        <f t="shared" si="25"/>
        <v>18</v>
      </c>
      <c r="P36" s="2">
        <f>K36/SUM($K36:$N36)</f>
        <v>0.28767123287671231</v>
      </c>
      <c r="Q36" s="2">
        <f t="shared" ref="Q36:S36" si="30">L36/SUM($K36:$N36)</f>
        <v>4.1095890410958902E-2</v>
      </c>
      <c r="R36" s="2">
        <f t="shared" si="30"/>
        <v>0.54794520547945202</v>
      </c>
      <c r="S36" s="2">
        <f t="shared" si="30"/>
        <v>0.12328767123287671</v>
      </c>
      <c r="W36">
        <v>571</v>
      </c>
      <c r="X36">
        <v>1</v>
      </c>
      <c r="Y36">
        <v>0</v>
      </c>
      <c r="Z36">
        <v>3</v>
      </c>
      <c r="AA36">
        <v>0</v>
      </c>
      <c r="AD36" t="s">
        <v>83</v>
      </c>
      <c r="AK36" t="s">
        <v>85</v>
      </c>
      <c r="AL36">
        <f>AE49</f>
        <v>1</v>
      </c>
      <c r="AM36">
        <v>2</v>
      </c>
      <c r="AN36">
        <v>8</v>
      </c>
      <c r="AO36">
        <v>1</v>
      </c>
      <c r="AP36" s="1">
        <f t="shared" si="28"/>
        <v>12</v>
      </c>
      <c r="AQ36">
        <v>65</v>
      </c>
      <c r="AS36" s="2">
        <f t="shared" ref="AS36:AS40" si="31">AL36/$AP36</f>
        <v>8.3333333333333329E-2</v>
      </c>
      <c r="AT36" s="2">
        <f t="shared" si="29"/>
        <v>0.16666666666666666</v>
      </c>
      <c r="AU36" s="2">
        <f t="shared" si="29"/>
        <v>0.66666666666666663</v>
      </c>
      <c r="AV36" s="2">
        <f t="shared" si="29"/>
        <v>8.3333333333333329E-2</v>
      </c>
    </row>
    <row r="37" spans="1:48" x14ac:dyDescent="0.25">
      <c r="A37" s="5">
        <v>398</v>
      </c>
      <c r="B37">
        <v>4</v>
      </c>
      <c r="G37" s="5">
        <v>398</v>
      </c>
      <c r="H37">
        <v>3</v>
      </c>
      <c r="J37" s="1">
        <v>401</v>
      </c>
      <c r="K37">
        <f t="shared" ref="K37:K53" si="32">K15+P15+U15</f>
        <v>0</v>
      </c>
      <c r="L37">
        <f t="shared" si="25"/>
        <v>0</v>
      </c>
      <c r="M37">
        <f t="shared" si="25"/>
        <v>1</v>
      </c>
      <c r="N37">
        <f t="shared" si="25"/>
        <v>0</v>
      </c>
      <c r="P37" s="2">
        <f t="shared" ref="P37:P42" si="33">K37/SUM($K37:$N37)</f>
        <v>0</v>
      </c>
      <c r="Q37" s="2">
        <f t="shared" ref="Q37:Q42" si="34">L37/SUM($K37:$N37)</f>
        <v>0</v>
      </c>
      <c r="R37" s="2">
        <f t="shared" ref="R37:R42" si="35">M37/SUM($K37:$N37)</f>
        <v>1</v>
      </c>
      <c r="S37" s="2">
        <f t="shared" ref="S37:S42" si="36">N37/SUM($K37:$N37)</f>
        <v>0</v>
      </c>
      <c r="W37">
        <v>595</v>
      </c>
      <c r="X37">
        <v>0</v>
      </c>
      <c r="Y37">
        <v>2</v>
      </c>
      <c r="Z37">
        <v>4</v>
      </c>
      <c r="AA37">
        <v>0</v>
      </c>
      <c r="AD37" t="s">
        <v>83</v>
      </c>
      <c r="AK37" t="s">
        <v>83</v>
      </c>
      <c r="AL37">
        <f>AE39</f>
        <v>3</v>
      </c>
      <c r="AM37">
        <f t="shared" ref="AM37:AN37" si="37">AF39</f>
        <v>2</v>
      </c>
      <c r="AN37">
        <f t="shared" si="37"/>
        <v>9</v>
      </c>
      <c r="AO37">
        <f>AH39</f>
        <v>1</v>
      </c>
      <c r="AP37" s="1">
        <f t="shared" si="28"/>
        <v>15</v>
      </c>
      <c r="AQ37">
        <v>86</v>
      </c>
      <c r="AS37" s="2">
        <f t="shared" si="31"/>
        <v>0.2</v>
      </c>
      <c r="AT37" s="2">
        <f t="shared" si="29"/>
        <v>0.13333333333333333</v>
      </c>
      <c r="AU37" s="2">
        <f t="shared" si="29"/>
        <v>0.6</v>
      </c>
      <c r="AV37" s="2">
        <f t="shared" si="29"/>
        <v>6.6666666666666666E-2</v>
      </c>
    </row>
    <row r="38" spans="1:48" x14ac:dyDescent="0.25">
      <c r="A38" s="5">
        <v>398</v>
      </c>
      <c r="B38">
        <v>3</v>
      </c>
      <c r="G38" s="5">
        <v>398</v>
      </c>
      <c r="H38">
        <v>3</v>
      </c>
      <c r="J38" s="1">
        <v>457</v>
      </c>
      <c r="K38">
        <f t="shared" si="32"/>
        <v>3</v>
      </c>
      <c r="L38">
        <f t="shared" si="25"/>
        <v>1</v>
      </c>
      <c r="M38">
        <f t="shared" si="25"/>
        <v>7</v>
      </c>
      <c r="N38">
        <f t="shared" si="25"/>
        <v>0</v>
      </c>
      <c r="P38" s="2">
        <f t="shared" si="33"/>
        <v>0.27272727272727271</v>
      </c>
      <c r="Q38" s="2">
        <f t="shared" si="34"/>
        <v>9.0909090909090912E-2</v>
      </c>
      <c r="R38" s="2">
        <f t="shared" si="35"/>
        <v>0.63636363636363635</v>
      </c>
      <c r="S38" s="2">
        <f t="shared" si="36"/>
        <v>0</v>
      </c>
      <c r="W38">
        <v>768</v>
      </c>
      <c r="X38">
        <v>0</v>
      </c>
      <c r="Y38">
        <v>0</v>
      </c>
      <c r="Z38">
        <v>0</v>
      </c>
      <c r="AA38">
        <v>1</v>
      </c>
      <c r="AD38" t="s">
        <v>83</v>
      </c>
      <c r="AK38" t="s">
        <v>80</v>
      </c>
      <c r="AL38">
        <f>AE44</f>
        <v>3</v>
      </c>
      <c r="AM38">
        <f t="shared" ref="AM38:AO38" si="38">AF44</f>
        <v>1</v>
      </c>
      <c r="AN38">
        <f t="shared" si="38"/>
        <v>9</v>
      </c>
      <c r="AO38">
        <f t="shared" si="38"/>
        <v>0</v>
      </c>
      <c r="AP38" s="1">
        <f t="shared" si="28"/>
        <v>13</v>
      </c>
      <c r="AQ38">
        <v>59</v>
      </c>
      <c r="AS38" s="2">
        <f t="shared" si="31"/>
        <v>0.23076923076923078</v>
      </c>
      <c r="AT38" s="2">
        <f t="shared" si="29"/>
        <v>7.6923076923076927E-2</v>
      </c>
      <c r="AU38" s="2">
        <f t="shared" si="29"/>
        <v>0.69230769230769229</v>
      </c>
      <c r="AV38" s="2">
        <f t="shared" si="29"/>
        <v>0</v>
      </c>
    </row>
    <row r="39" spans="1:48" x14ac:dyDescent="0.25">
      <c r="A39" s="5">
        <v>398</v>
      </c>
      <c r="B39">
        <v>4</v>
      </c>
      <c r="G39" s="5">
        <v>398</v>
      </c>
      <c r="H39">
        <v>1</v>
      </c>
      <c r="J39" s="1">
        <v>467</v>
      </c>
      <c r="K39">
        <f t="shared" si="32"/>
        <v>0</v>
      </c>
      <c r="L39">
        <f t="shared" si="25"/>
        <v>0</v>
      </c>
      <c r="M39">
        <f t="shared" si="25"/>
        <v>2</v>
      </c>
      <c r="N39">
        <f t="shared" si="25"/>
        <v>0</v>
      </c>
      <c r="P39" s="2">
        <f t="shared" si="33"/>
        <v>0</v>
      </c>
      <c r="Q39" s="2">
        <f t="shared" si="34"/>
        <v>0</v>
      </c>
      <c r="R39" s="2">
        <f t="shared" si="35"/>
        <v>1</v>
      </c>
      <c r="S39" s="2">
        <f t="shared" si="36"/>
        <v>0</v>
      </c>
      <c r="W39">
        <v>783</v>
      </c>
      <c r="X39">
        <v>2</v>
      </c>
      <c r="Y39">
        <v>0</v>
      </c>
      <c r="Z39">
        <v>1</v>
      </c>
      <c r="AA39">
        <v>0</v>
      </c>
      <c r="AD39" t="s">
        <v>83</v>
      </c>
      <c r="AE39">
        <f>SUM(X35:X39)</f>
        <v>3</v>
      </c>
      <c r="AF39">
        <f t="shared" ref="AF39:AH39" si="39">SUM(Y35:Y39)</f>
        <v>2</v>
      </c>
      <c r="AG39">
        <f t="shared" si="39"/>
        <v>9</v>
      </c>
      <c r="AH39">
        <f t="shared" si="39"/>
        <v>1</v>
      </c>
      <c r="AK39" t="s">
        <v>88</v>
      </c>
      <c r="AL39">
        <f>AE51</f>
        <v>2</v>
      </c>
      <c r="AM39">
        <f t="shared" ref="AM39:AO39" si="40">AF51</f>
        <v>0</v>
      </c>
      <c r="AN39">
        <f t="shared" si="40"/>
        <v>2</v>
      </c>
      <c r="AO39">
        <f t="shared" si="40"/>
        <v>0</v>
      </c>
      <c r="AP39" s="1">
        <f t="shared" si="28"/>
        <v>4</v>
      </c>
      <c r="AQ39">
        <v>24</v>
      </c>
      <c r="AS39" s="2">
        <f t="shared" si="31"/>
        <v>0.5</v>
      </c>
      <c r="AT39" s="2">
        <f t="shared" si="29"/>
        <v>0</v>
      </c>
      <c r="AU39" s="2">
        <f t="shared" si="29"/>
        <v>0.5</v>
      </c>
      <c r="AV39" s="2">
        <f t="shared" si="29"/>
        <v>0</v>
      </c>
    </row>
    <row r="40" spans="1:48" x14ac:dyDescent="0.25">
      <c r="A40" s="5">
        <v>398</v>
      </c>
      <c r="B40">
        <v>1</v>
      </c>
      <c r="G40" s="5">
        <v>398</v>
      </c>
      <c r="H40">
        <v>3</v>
      </c>
      <c r="J40" s="1">
        <v>477</v>
      </c>
      <c r="K40">
        <f t="shared" si="32"/>
        <v>1</v>
      </c>
      <c r="L40">
        <f t="shared" si="25"/>
        <v>0</v>
      </c>
      <c r="M40">
        <f t="shared" si="25"/>
        <v>1</v>
      </c>
      <c r="N40">
        <f t="shared" si="25"/>
        <v>0</v>
      </c>
      <c r="P40" s="2">
        <f t="shared" si="33"/>
        <v>0.5</v>
      </c>
      <c r="Q40" s="2">
        <f t="shared" si="34"/>
        <v>0</v>
      </c>
      <c r="R40" s="2">
        <f t="shared" si="35"/>
        <v>0.5</v>
      </c>
      <c r="S40" s="2">
        <f t="shared" si="36"/>
        <v>0</v>
      </c>
      <c r="W40">
        <v>477</v>
      </c>
      <c r="X40">
        <v>1</v>
      </c>
      <c r="Y40">
        <v>0</v>
      </c>
      <c r="Z40">
        <v>1</v>
      </c>
      <c r="AA40">
        <v>0</v>
      </c>
      <c r="AD40" t="s">
        <v>77</v>
      </c>
      <c r="AK40" t="s">
        <v>116</v>
      </c>
      <c r="AL40">
        <f>AE52</f>
        <v>1</v>
      </c>
      <c r="AM40">
        <f t="shared" ref="AM40:AO40" si="41">AF52</f>
        <v>0</v>
      </c>
      <c r="AN40">
        <f t="shared" si="41"/>
        <v>0</v>
      </c>
      <c r="AO40">
        <f t="shared" si="41"/>
        <v>0</v>
      </c>
      <c r="AP40" s="1">
        <f t="shared" si="28"/>
        <v>1</v>
      </c>
      <c r="AQ40">
        <v>3</v>
      </c>
      <c r="AS40" s="2">
        <f t="shared" si="31"/>
        <v>1</v>
      </c>
      <c r="AT40" s="2">
        <f t="shared" si="29"/>
        <v>0</v>
      </c>
      <c r="AU40" s="2">
        <f t="shared" si="29"/>
        <v>0</v>
      </c>
      <c r="AV40" s="2">
        <f t="shared" si="29"/>
        <v>0</v>
      </c>
    </row>
    <row r="41" spans="1:48" x14ac:dyDescent="0.25">
      <c r="A41" s="5">
        <v>398</v>
      </c>
      <c r="B41">
        <v>4</v>
      </c>
      <c r="G41" s="5">
        <v>398</v>
      </c>
      <c r="H41">
        <v>3</v>
      </c>
      <c r="J41" s="1">
        <v>561</v>
      </c>
      <c r="K41">
        <f t="shared" si="32"/>
        <v>1</v>
      </c>
      <c r="L41">
        <f t="shared" si="25"/>
        <v>0</v>
      </c>
      <c r="M41">
        <f t="shared" si="25"/>
        <v>0</v>
      </c>
      <c r="N41">
        <f t="shared" si="25"/>
        <v>0</v>
      </c>
      <c r="P41" s="2">
        <f t="shared" si="33"/>
        <v>1</v>
      </c>
      <c r="Q41" s="2">
        <f t="shared" si="34"/>
        <v>0</v>
      </c>
      <c r="R41" s="2">
        <f t="shared" si="35"/>
        <v>0</v>
      </c>
      <c r="S41" s="2">
        <f t="shared" si="36"/>
        <v>0</v>
      </c>
      <c r="W41">
        <v>628</v>
      </c>
      <c r="X41">
        <v>0</v>
      </c>
      <c r="Y41">
        <v>0</v>
      </c>
      <c r="Z41">
        <v>1</v>
      </c>
      <c r="AA41">
        <v>0</v>
      </c>
      <c r="AD41" t="s">
        <v>77</v>
      </c>
      <c r="AL41">
        <f>SUM(AL35:AL40)</f>
        <v>11</v>
      </c>
      <c r="AM41">
        <f>SUM(AM35:AM40)</f>
        <v>8</v>
      </c>
      <c r="AN41">
        <f t="shared" ref="AN41:AO41" si="42">SUM(AN35:AN40)</f>
        <v>40</v>
      </c>
      <c r="AO41">
        <f t="shared" si="42"/>
        <v>2</v>
      </c>
    </row>
    <row r="42" spans="1:48" x14ac:dyDescent="0.25">
      <c r="A42" s="5">
        <v>398</v>
      </c>
      <c r="B42">
        <v>4</v>
      </c>
      <c r="G42" s="5">
        <v>398</v>
      </c>
      <c r="H42">
        <v>3</v>
      </c>
      <c r="J42" s="1">
        <v>562</v>
      </c>
      <c r="K42">
        <f t="shared" si="32"/>
        <v>0</v>
      </c>
      <c r="L42">
        <f t="shared" si="25"/>
        <v>0</v>
      </c>
      <c r="M42">
        <f t="shared" si="25"/>
        <v>2</v>
      </c>
      <c r="N42">
        <f t="shared" si="25"/>
        <v>0</v>
      </c>
      <c r="P42" s="2">
        <f t="shared" si="33"/>
        <v>0</v>
      </c>
      <c r="Q42" s="2">
        <f t="shared" si="34"/>
        <v>0</v>
      </c>
      <c r="R42" s="2">
        <f t="shared" si="35"/>
        <v>1</v>
      </c>
      <c r="S42" s="2">
        <f t="shared" si="36"/>
        <v>0</v>
      </c>
      <c r="W42">
        <v>686</v>
      </c>
      <c r="X42">
        <v>0</v>
      </c>
      <c r="Y42">
        <v>3</v>
      </c>
      <c r="Z42">
        <v>10</v>
      </c>
      <c r="AA42">
        <v>0</v>
      </c>
      <c r="AD42" t="s">
        <v>77</v>
      </c>
      <c r="AE42">
        <f>SUM(X40:X42)</f>
        <v>1</v>
      </c>
      <c r="AF42">
        <f t="shared" ref="AF42:AH42" si="43">SUM(Y40:Y42)</f>
        <v>3</v>
      </c>
      <c r="AG42">
        <f t="shared" si="43"/>
        <v>12</v>
      </c>
      <c r="AH42">
        <f t="shared" si="43"/>
        <v>0</v>
      </c>
    </row>
    <row r="43" spans="1:48" x14ac:dyDescent="0.25">
      <c r="A43" s="5">
        <v>398</v>
      </c>
      <c r="B43">
        <v>3</v>
      </c>
      <c r="G43" s="5">
        <v>398</v>
      </c>
      <c r="H43">
        <v>3</v>
      </c>
      <c r="J43" s="1">
        <v>570</v>
      </c>
      <c r="K43">
        <f t="shared" si="32"/>
        <v>0</v>
      </c>
      <c r="L43">
        <f t="shared" si="25"/>
        <v>0</v>
      </c>
      <c r="M43">
        <f t="shared" si="25"/>
        <v>1</v>
      </c>
      <c r="N43">
        <f t="shared" si="25"/>
        <v>0</v>
      </c>
      <c r="P43" s="2">
        <f t="shared" ref="P43:P53" si="44">K43/SUM($K43:$N43)</f>
        <v>0</v>
      </c>
      <c r="Q43" s="2">
        <f t="shared" ref="Q43:Q53" si="45">L43/SUM($K43:$N43)</f>
        <v>0</v>
      </c>
      <c r="R43" s="2">
        <f t="shared" ref="R43:R53" si="46">M43/SUM($K43:$N43)</f>
        <v>1</v>
      </c>
      <c r="S43" s="2">
        <f t="shared" ref="S43:S53" si="47">N43/SUM($K43:$N43)</f>
        <v>0</v>
      </c>
      <c r="W43">
        <v>457</v>
      </c>
      <c r="X43">
        <v>3</v>
      </c>
      <c r="Y43">
        <v>1</v>
      </c>
      <c r="Z43">
        <v>7</v>
      </c>
      <c r="AA43">
        <v>0</v>
      </c>
      <c r="AD43" t="s">
        <v>80</v>
      </c>
      <c r="AL43" s="2">
        <f>AL35/AL$41</f>
        <v>9.0909090909090912E-2</v>
      </c>
      <c r="AM43" s="2">
        <f t="shared" ref="AM43" si="48">AM35/AM$41</f>
        <v>0.375</v>
      </c>
      <c r="AN43" s="2">
        <f>AN35/AN$41</f>
        <v>0.3</v>
      </c>
      <c r="AO43" s="2">
        <f t="shared" ref="AO43" si="49">AO35/AO$41</f>
        <v>0</v>
      </c>
    </row>
    <row r="44" spans="1:48" x14ac:dyDescent="0.25">
      <c r="A44" s="5">
        <v>398</v>
      </c>
      <c r="B44">
        <v>3</v>
      </c>
      <c r="G44" s="5">
        <v>398</v>
      </c>
      <c r="H44">
        <v>1</v>
      </c>
      <c r="J44" s="1">
        <v>571</v>
      </c>
      <c r="K44">
        <f t="shared" si="32"/>
        <v>1</v>
      </c>
      <c r="L44">
        <f t="shared" si="25"/>
        <v>0</v>
      </c>
      <c r="M44">
        <f t="shared" si="25"/>
        <v>3</v>
      </c>
      <c r="N44">
        <f t="shared" si="25"/>
        <v>0</v>
      </c>
      <c r="P44" s="2">
        <f t="shared" si="44"/>
        <v>0.25</v>
      </c>
      <c r="Q44" s="2">
        <f t="shared" si="45"/>
        <v>0</v>
      </c>
      <c r="R44" s="2">
        <f t="shared" si="46"/>
        <v>0.75</v>
      </c>
      <c r="S44" s="2">
        <f t="shared" si="47"/>
        <v>0</v>
      </c>
      <c r="W44">
        <v>665</v>
      </c>
      <c r="X44">
        <v>0</v>
      </c>
      <c r="Y44">
        <v>0</v>
      </c>
      <c r="Z44">
        <v>2</v>
      </c>
      <c r="AA44">
        <v>0</v>
      </c>
      <c r="AD44" t="s">
        <v>80</v>
      </c>
      <c r="AE44">
        <f>SUM(X43:X44)</f>
        <v>3</v>
      </c>
      <c r="AF44">
        <f t="shared" ref="AF44:AH44" si="50">SUM(Y43:Y44)</f>
        <v>1</v>
      </c>
      <c r="AG44">
        <f t="shared" si="50"/>
        <v>9</v>
      </c>
      <c r="AH44">
        <f t="shared" si="50"/>
        <v>0</v>
      </c>
      <c r="AL44" s="2">
        <f t="shared" ref="AL44:AM48" si="51">AL36/AL$41</f>
        <v>9.0909090909090912E-2</v>
      </c>
      <c r="AM44" s="2">
        <f>AM36/AM$41</f>
        <v>0.25</v>
      </c>
      <c r="AN44" s="2">
        <f t="shared" ref="AN44:AO44" si="52">AN36/AN$41</f>
        <v>0.2</v>
      </c>
      <c r="AO44" s="2">
        <f t="shared" si="52"/>
        <v>0.5</v>
      </c>
    </row>
    <row r="45" spans="1:48" x14ac:dyDescent="0.25">
      <c r="A45" s="5">
        <v>398</v>
      </c>
      <c r="B45">
        <v>2</v>
      </c>
      <c r="G45" s="5">
        <v>398</v>
      </c>
      <c r="H45">
        <v>3</v>
      </c>
      <c r="J45" s="1">
        <v>595</v>
      </c>
      <c r="K45">
        <f t="shared" si="32"/>
        <v>0</v>
      </c>
      <c r="L45">
        <f t="shared" si="25"/>
        <v>2</v>
      </c>
      <c r="M45">
        <f t="shared" si="25"/>
        <v>4</v>
      </c>
      <c r="N45">
        <f t="shared" si="25"/>
        <v>0</v>
      </c>
      <c r="P45" s="2">
        <f t="shared" si="44"/>
        <v>0</v>
      </c>
      <c r="Q45" s="2">
        <f t="shared" si="45"/>
        <v>0.33333333333333331</v>
      </c>
      <c r="R45" s="2">
        <f t="shared" si="46"/>
        <v>0.66666666666666663</v>
      </c>
      <c r="S45" s="2">
        <f t="shared" si="47"/>
        <v>0</v>
      </c>
      <c r="W45">
        <v>190</v>
      </c>
      <c r="X45">
        <v>1</v>
      </c>
      <c r="Y45">
        <v>0</v>
      </c>
      <c r="Z45">
        <v>2</v>
      </c>
      <c r="AA45">
        <v>0</v>
      </c>
      <c r="AD45" t="s">
        <v>85</v>
      </c>
      <c r="AL45" s="2">
        <f t="shared" si="51"/>
        <v>0.27272727272727271</v>
      </c>
      <c r="AM45" s="2">
        <f t="shared" si="51"/>
        <v>0.25</v>
      </c>
      <c r="AN45" s="2">
        <f t="shared" ref="AN45:AO45" si="53">AN37/AN$41</f>
        <v>0.22500000000000001</v>
      </c>
      <c r="AO45" s="2">
        <f t="shared" si="53"/>
        <v>0.5</v>
      </c>
    </row>
    <row r="46" spans="1:48" x14ac:dyDescent="0.25">
      <c r="A46" s="5">
        <v>398</v>
      </c>
      <c r="B46">
        <v>3</v>
      </c>
      <c r="G46" s="5">
        <v>398</v>
      </c>
      <c r="H46">
        <v>3</v>
      </c>
      <c r="J46" s="1">
        <v>628</v>
      </c>
      <c r="K46">
        <f t="shared" si="32"/>
        <v>0</v>
      </c>
      <c r="L46">
        <f t="shared" si="25"/>
        <v>0</v>
      </c>
      <c r="M46">
        <f t="shared" si="25"/>
        <v>1</v>
      </c>
      <c r="N46">
        <f t="shared" si="25"/>
        <v>0</v>
      </c>
      <c r="P46" s="2">
        <f t="shared" si="44"/>
        <v>0</v>
      </c>
      <c r="Q46" s="2">
        <f t="shared" si="45"/>
        <v>0</v>
      </c>
      <c r="R46" s="2">
        <f t="shared" si="46"/>
        <v>1</v>
      </c>
      <c r="S46" s="2">
        <f t="shared" si="47"/>
        <v>0</v>
      </c>
      <c r="W46">
        <v>401</v>
      </c>
      <c r="X46">
        <v>0</v>
      </c>
      <c r="Y46">
        <v>0</v>
      </c>
      <c r="Z46">
        <v>1</v>
      </c>
      <c r="AA46">
        <v>0</v>
      </c>
      <c r="AD46" t="s">
        <v>85</v>
      </c>
      <c r="AL46" s="2">
        <f>AL38/AL$41</f>
        <v>0.27272727272727271</v>
      </c>
      <c r="AM46" s="2">
        <f t="shared" si="51"/>
        <v>0.125</v>
      </c>
      <c r="AN46" s="2">
        <f t="shared" ref="AN46:AO46" si="54">AN38/AN$41</f>
        <v>0.22500000000000001</v>
      </c>
      <c r="AO46" s="2">
        <f t="shared" si="54"/>
        <v>0</v>
      </c>
    </row>
    <row r="47" spans="1:48" x14ac:dyDescent="0.25">
      <c r="A47" s="5">
        <v>398</v>
      </c>
      <c r="B47">
        <v>3</v>
      </c>
      <c r="G47" s="5">
        <v>398</v>
      </c>
      <c r="H47">
        <v>3</v>
      </c>
      <c r="J47" s="1">
        <v>664</v>
      </c>
      <c r="K47">
        <f t="shared" si="32"/>
        <v>1</v>
      </c>
      <c r="L47">
        <f t="shared" si="25"/>
        <v>0</v>
      </c>
      <c r="M47">
        <f t="shared" si="25"/>
        <v>0</v>
      </c>
      <c r="N47">
        <f t="shared" si="25"/>
        <v>0</v>
      </c>
      <c r="P47" s="2">
        <f t="shared" si="44"/>
        <v>1</v>
      </c>
      <c r="Q47" s="2">
        <f t="shared" si="45"/>
        <v>0</v>
      </c>
      <c r="R47" s="2">
        <f t="shared" si="46"/>
        <v>0</v>
      </c>
      <c r="S47" s="2">
        <f t="shared" si="47"/>
        <v>0</v>
      </c>
      <c r="W47">
        <v>467</v>
      </c>
      <c r="X47">
        <v>0</v>
      </c>
      <c r="Y47">
        <v>0</v>
      </c>
      <c r="Z47">
        <v>2</v>
      </c>
      <c r="AA47">
        <v>0</v>
      </c>
      <c r="AD47" t="s">
        <v>85</v>
      </c>
      <c r="AL47" s="2">
        <f t="shared" si="51"/>
        <v>0.18181818181818182</v>
      </c>
      <c r="AM47" s="2">
        <f t="shared" si="51"/>
        <v>0</v>
      </c>
      <c r="AN47" s="2">
        <f t="shared" ref="AN47:AO47" si="55">AN39/AN$41</f>
        <v>0.05</v>
      </c>
      <c r="AO47" s="2">
        <f t="shared" si="55"/>
        <v>0</v>
      </c>
    </row>
    <row r="48" spans="1:48" x14ac:dyDescent="0.25">
      <c r="A48" s="5">
        <v>398</v>
      </c>
      <c r="B48">
        <v>1</v>
      </c>
      <c r="G48" s="5">
        <v>398</v>
      </c>
      <c r="H48">
        <v>2</v>
      </c>
      <c r="J48" s="1">
        <v>665</v>
      </c>
      <c r="K48">
        <f t="shared" si="32"/>
        <v>0</v>
      </c>
      <c r="L48">
        <f t="shared" si="25"/>
        <v>0</v>
      </c>
      <c r="M48">
        <f t="shared" si="25"/>
        <v>2</v>
      </c>
      <c r="N48">
        <f t="shared" si="25"/>
        <v>0</v>
      </c>
      <c r="P48" s="2">
        <f t="shared" si="44"/>
        <v>0</v>
      </c>
      <c r="Q48" s="2">
        <f t="shared" si="45"/>
        <v>0</v>
      </c>
      <c r="R48" s="2">
        <f t="shared" si="46"/>
        <v>1</v>
      </c>
      <c r="S48" s="2">
        <f t="shared" si="47"/>
        <v>0</v>
      </c>
      <c r="W48">
        <v>562</v>
      </c>
      <c r="X48">
        <v>0</v>
      </c>
      <c r="Y48">
        <v>0</v>
      </c>
      <c r="Z48">
        <v>2</v>
      </c>
      <c r="AA48">
        <v>0</v>
      </c>
      <c r="AD48" t="s">
        <v>85</v>
      </c>
      <c r="AL48" s="2">
        <f t="shared" si="51"/>
        <v>9.0909090909090912E-2</v>
      </c>
      <c r="AM48" s="2">
        <f t="shared" si="51"/>
        <v>0</v>
      </c>
      <c r="AN48" s="2">
        <f t="shared" ref="AN48:AO48" si="56">AN40/AN$41</f>
        <v>0</v>
      </c>
      <c r="AO48" s="2">
        <f t="shared" si="56"/>
        <v>0</v>
      </c>
    </row>
    <row r="49" spans="1:41" x14ac:dyDescent="0.25">
      <c r="A49" s="5">
        <v>398</v>
      </c>
      <c r="B49">
        <v>1</v>
      </c>
      <c r="G49" s="5">
        <v>398</v>
      </c>
      <c r="H49">
        <v>2</v>
      </c>
      <c r="J49" s="1">
        <v>686</v>
      </c>
      <c r="K49">
        <f t="shared" si="32"/>
        <v>0</v>
      </c>
      <c r="L49">
        <f t="shared" si="25"/>
        <v>3</v>
      </c>
      <c r="M49">
        <f>M27+R27+W27</f>
        <v>10</v>
      </c>
      <c r="N49">
        <f t="shared" si="25"/>
        <v>0</v>
      </c>
      <c r="P49" s="2">
        <f t="shared" si="44"/>
        <v>0</v>
      </c>
      <c r="Q49" s="2">
        <f t="shared" si="45"/>
        <v>0.23076923076923078</v>
      </c>
      <c r="R49" s="2">
        <f t="shared" si="46"/>
        <v>0.76923076923076927</v>
      </c>
      <c r="S49" s="2">
        <f t="shared" si="47"/>
        <v>0</v>
      </c>
      <c r="W49">
        <v>788</v>
      </c>
      <c r="X49">
        <v>0</v>
      </c>
      <c r="Y49">
        <v>0</v>
      </c>
      <c r="Z49">
        <v>1</v>
      </c>
      <c r="AA49">
        <v>1</v>
      </c>
      <c r="AD49" t="s">
        <v>85</v>
      </c>
      <c r="AE49">
        <f>SUM(X45:X49)</f>
        <v>1</v>
      </c>
      <c r="AF49">
        <f t="shared" ref="AF49:AH49" si="57">SUM(Y45:Y49)</f>
        <v>0</v>
      </c>
      <c r="AG49">
        <f t="shared" si="57"/>
        <v>8</v>
      </c>
      <c r="AH49">
        <f t="shared" si="57"/>
        <v>1</v>
      </c>
      <c r="AL49" s="2">
        <f>SUM(AL43:AL48)</f>
        <v>1</v>
      </c>
      <c r="AM49" s="2">
        <f t="shared" ref="AM49:AO49" si="58">SUM(AM43:AM48)</f>
        <v>1</v>
      </c>
      <c r="AN49" s="2">
        <f t="shared" si="58"/>
        <v>1</v>
      </c>
      <c r="AO49" s="2">
        <f t="shared" si="58"/>
        <v>1</v>
      </c>
    </row>
    <row r="50" spans="1:41" x14ac:dyDescent="0.25">
      <c r="A50" s="5">
        <v>398</v>
      </c>
      <c r="B50">
        <v>3</v>
      </c>
      <c r="G50" s="5">
        <v>398</v>
      </c>
      <c r="H50">
        <v>3</v>
      </c>
      <c r="J50" s="1">
        <v>758</v>
      </c>
      <c r="K50">
        <f t="shared" si="32"/>
        <v>1</v>
      </c>
      <c r="L50">
        <f t="shared" si="25"/>
        <v>0</v>
      </c>
      <c r="M50">
        <f t="shared" si="25"/>
        <v>2</v>
      </c>
      <c r="N50">
        <f t="shared" si="25"/>
        <v>0</v>
      </c>
      <c r="P50" s="2">
        <f t="shared" si="44"/>
        <v>0.33333333333333331</v>
      </c>
      <c r="Q50" s="2">
        <f t="shared" si="45"/>
        <v>0</v>
      </c>
      <c r="R50" s="2">
        <f t="shared" si="46"/>
        <v>0.66666666666666663</v>
      </c>
      <c r="S50" s="2">
        <f t="shared" si="47"/>
        <v>0</v>
      </c>
      <c r="W50">
        <v>561</v>
      </c>
      <c r="X50">
        <v>1</v>
      </c>
      <c r="Y50">
        <v>0</v>
      </c>
      <c r="Z50">
        <v>0</v>
      </c>
      <c r="AA50">
        <v>0</v>
      </c>
      <c r="AD50" t="s">
        <v>88</v>
      </c>
    </row>
    <row r="51" spans="1:41" x14ac:dyDescent="0.25">
      <c r="A51" s="5">
        <v>398</v>
      </c>
      <c r="B51">
        <v>3</v>
      </c>
      <c r="G51" s="5">
        <v>398</v>
      </c>
      <c r="H51">
        <v>4</v>
      </c>
      <c r="J51" s="1">
        <v>768</v>
      </c>
      <c r="K51">
        <f t="shared" si="32"/>
        <v>0</v>
      </c>
      <c r="L51">
        <f t="shared" ref="L51:L53" si="59">L29+Q29+V29</f>
        <v>0</v>
      </c>
      <c r="M51">
        <f t="shared" ref="M51:M53" si="60">M29+R29+W29</f>
        <v>0</v>
      </c>
      <c r="N51">
        <f t="shared" ref="N51:N53" si="61">N29+S29+X29</f>
        <v>1</v>
      </c>
      <c r="P51" s="2">
        <f t="shared" si="44"/>
        <v>0</v>
      </c>
      <c r="Q51" s="2">
        <f t="shared" si="45"/>
        <v>0</v>
      </c>
      <c r="R51" s="2">
        <f t="shared" si="46"/>
        <v>0</v>
      </c>
      <c r="S51" s="2">
        <f t="shared" si="47"/>
        <v>1</v>
      </c>
      <c r="W51">
        <v>758</v>
      </c>
      <c r="X51">
        <v>1</v>
      </c>
      <c r="Y51">
        <v>0</v>
      </c>
      <c r="Z51">
        <v>2</v>
      </c>
      <c r="AA51">
        <v>0</v>
      </c>
      <c r="AD51" t="s">
        <v>88</v>
      </c>
      <c r="AE51">
        <f>SUM(X50:X51)</f>
        <v>2</v>
      </c>
      <c r="AF51">
        <f t="shared" ref="AF51:AH51" si="62">SUM(Y50:Y51)</f>
        <v>0</v>
      </c>
      <c r="AG51">
        <f t="shared" si="62"/>
        <v>2</v>
      </c>
      <c r="AH51">
        <f t="shared" si="62"/>
        <v>0</v>
      </c>
    </row>
    <row r="52" spans="1:41" x14ac:dyDescent="0.25">
      <c r="A52" s="5">
        <v>398</v>
      </c>
      <c r="B52">
        <v>3</v>
      </c>
      <c r="G52" s="5">
        <v>398</v>
      </c>
      <c r="H52">
        <v>4</v>
      </c>
      <c r="J52" s="1">
        <v>783</v>
      </c>
      <c r="K52">
        <f t="shared" si="32"/>
        <v>2</v>
      </c>
      <c r="L52">
        <f t="shared" si="59"/>
        <v>0</v>
      </c>
      <c r="M52">
        <f t="shared" si="60"/>
        <v>1</v>
      </c>
      <c r="N52">
        <f t="shared" si="61"/>
        <v>0</v>
      </c>
      <c r="P52" s="2">
        <f t="shared" si="44"/>
        <v>0.66666666666666663</v>
      </c>
      <c r="Q52" s="2">
        <f t="shared" si="45"/>
        <v>0</v>
      </c>
      <c r="R52" s="2">
        <f t="shared" si="46"/>
        <v>0.33333333333333331</v>
      </c>
      <c r="S52" s="2">
        <f t="shared" si="47"/>
        <v>0</v>
      </c>
      <c r="W52">
        <v>664</v>
      </c>
      <c r="X52">
        <v>1</v>
      </c>
      <c r="Y52">
        <v>0</v>
      </c>
      <c r="Z52">
        <v>0</v>
      </c>
      <c r="AA52">
        <v>0</v>
      </c>
      <c r="AD52" t="s">
        <v>116</v>
      </c>
      <c r="AE52">
        <v>1</v>
      </c>
      <c r="AF52">
        <v>0</v>
      </c>
      <c r="AG52">
        <v>0</v>
      </c>
      <c r="AH52">
        <v>0</v>
      </c>
    </row>
    <row r="53" spans="1:41" x14ac:dyDescent="0.25">
      <c r="A53" s="5">
        <v>398</v>
      </c>
      <c r="B53">
        <v>3</v>
      </c>
      <c r="G53" s="5">
        <v>398</v>
      </c>
      <c r="H53">
        <v>4</v>
      </c>
      <c r="J53" s="1">
        <v>788</v>
      </c>
      <c r="K53">
        <f t="shared" si="32"/>
        <v>0</v>
      </c>
      <c r="L53">
        <f t="shared" si="59"/>
        <v>0</v>
      </c>
      <c r="M53">
        <f t="shared" si="60"/>
        <v>1</v>
      </c>
      <c r="N53">
        <f t="shared" si="61"/>
        <v>1</v>
      </c>
      <c r="P53" s="2">
        <f t="shared" si="44"/>
        <v>0</v>
      </c>
      <c r="Q53" s="2">
        <f t="shared" si="45"/>
        <v>0</v>
      </c>
      <c r="R53" s="2">
        <f t="shared" si="46"/>
        <v>0.5</v>
      </c>
      <c r="S53" s="2">
        <f t="shared" si="47"/>
        <v>0.5</v>
      </c>
      <c r="W53">
        <v>398</v>
      </c>
      <c r="X53">
        <v>42</v>
      </c>
      <c r="Y53">
        <v>6</v>
      </c>
      <c r="Z53">
        <v>80</v>
      </c>
      <c r="AA53">
        <v>18</v>
      </c>
    </row>
    <row r="54" spans="1:41" x14ac:dyDescent="0.25">
      <c r="A54" s="5">
        <v>398</v>
      </c>
      <c r="B54">
        <v>3</v>
      </c>
      <c r="G54" s="5">
        <v>398</v>
      </c>
      <c r="H54">
        <v>4</v>
      </c>
      <c r="N54">
        <f>SUM(K35:N53)</f>
        <v>205</v>
      </c>
      <c r="AB54">
        <f>SUM(X35:AA53)</f>
        <v>205</v>
      </c>
    </row>
    <row r="55" spans="1:41" x14ac:dyDescent="0.25">
      <c r="A55" s="5">
        <v>398</v>
      </c>
      <c r="B55">
        <v>3</v>
      </c>
      <c r="G55" s="5">
        <v>398</v>
      </c>
      <c r="H55">
        <v>4</v>
      </c>
      <c r="N55" t="s">
        <v>155</v>
      </c>
    </row>
    <row r="56" spans="1:41" x14ac:dyDescent="0.25">
      <c r="A56" s="5">
        <v>398</v>
      </c>
      <c r="B56">
        <v>3</v>
      </c>
      <c r="G56" s="5">
        <v>398</v>
      </c>
      <c r="H56">
        <v>3</v>
      </c>
    </row>
    <row r="57" spans="1:41" x14ac:dyDescent="0.25">
      <c r="A57" s="5">
        <v>398</v>
      </c>
      <c r="B57">
        <v>3</v>
      </c>
      <c r="G57" s="5">
        <v>398</v>
      </c>
      <c r="H57">
        <v>3</v>
      </c>
    </row>
    <row r="58" spans="1:41" x14ac:dyDescent="0.25">
      <c r="A58" s="5">
        <v>398</v>
      </c>
      <c r="B58">
        <v>3</v>
      </c>
      <c r="G58" s="5">
        <v>398</v>
      </c>
      <c r="H58">
        <v>3</v>
      </c>
      <c r="J58" s="63"/>
      <c r="K58" s="63">
        <v>1</v>
      </c>
      <c r="L58" s="63">
        <v>2</v>
      </c>
      <c r="M58" s="63">
        <v>3</v>
      </c>
      <c r="N58" s="63">
        <v>4</v>
      </c>
      <c r="O58" s="63"/>
      <c r="P58" s="63"/>
    </row>
    <row r="59" spans="1:41" x14ac:dyDescent="0.25">
      <c r="A59" s="5">
        <v>398</v>
      </c>
      <c r="B59">
        <v>3</v>
      </c>
      <c r="G59" s="5">
        <v>398</v>
      </c>
      <c r="H59">
        <v>1</v>
      </c>
      <c r="J59" s="63" t="s">
        <v>156</v>
      </c>
      <c r="K59" s="63" t="s">
        <v>143</v>
      </c>
      <c r="L59" s="63" t="s">
        <v>145</v>
      </c>
      <c r="M59" s="63" t="s">
        <v>146</v>
      </c>
      <c r="N59" s="63" t="s">
        <v>147</v>
      </c>
      <c r="O59" s="63"/>
      <c r="P59" s="63"/>
    </row>
    <row r="60" spans="1:41" x14ac:dyDescent="0.25">
      <c r="A60" s="5">
        <v>398</v>
      </c>
      <c r="B60">
        <v>2</v>
      </c>
      <c r="G60" s="5">
        <v>398</v>
      </c>
      <c r="H60">
        <v>1</v>
      </c>
      <c r="J60" s="63"/>
      <c r="K60" s="63">
        <v>31</v>
      </c>
      <c r="L60" s="63">
        <v>9</v>
      </c>
      <c r="M60" s="63">
        <v>86</v>
      </c>
      <c r="N60" s="63">
        <v>16</v>
      </c>
      <c r="O60" s="63"/>
      <c r="P60" s="63"/>
    </row>
    <row r="61" spans="1:41" x14ac:dyDescent="0.25">
      <c r="A61" s="5">
        <v>457</v>
      </c>
      <c r="B61">
        <v>3</v>
      </c>
      <c r="G61" s="5">
        <v>398</v>
      </c>
      <c r="H61">
        <v>1</v>
      </c>
      <c r="J61" s="63"/>
      <c r="K61" s="63"/>
      <c r="L61" s="63"/>
      <c r="M61" s="63"/>
      <c r="N61" s="63"/>
      <c r="O61" s="63"/>
      <c r="P61" s="63"/>
    </row>
    <row r="62" spans="1:41" x14ac:dyDescent="0.25">
      <c r="A62" s="5">
        <v>457</v>
      </c>
      <c r="B62">
        <v>1</v>
      </c>
      <c r="G62" s="5">
        <v>398</v>
      </c>
      <c r="H62">
        <v>3</v>
      </c>
      <c r="J62" s="63" t="s">
        <v>18</v>
      </c>
      <c r="K62" s="63"/>
      <c r="L62" s="63"/>
      <c r="M62" s="63">
        <v>9</v>
      </c>
      <c r="N62" s="63"/>
      <c r="O62" s="63"/>
      <c r="P62" s="63"/>
    </row>
    <row r="63" spans="1:41" x14ac:dyDescent="0.25">
      <c r="A63" s="5">
        <v>561</v>
      </c>
      <c r="B63">
        <v>2</v>
      </c>
      <c r="G63" s="5">
        <v>398</v>
      </c>
      <c r="H63">
        <v>4</v>
      </c>
      <c r="J63" s="63" t="s">
        <v>19</v>
      </c>
      <c r="K63" s="63"/>
      <c r="L63" s="63"/>
      <c r="M63" s="63">
        <v>23</v>
      </c>
      <c r="N63" s="63">
        <v>12</v>
      </c>
      <c r="O63" s="63"/>
      <c r="P63" s="63">
        <f>SUM(K63:N63)</f>
        <v>35</v>
      </c>
    </row>
    <row r="64" spans="1:41" x14ac:dyDescent="0.25">
      <c r="A64" s="5">
        <v>570</v>
      </c>
      <c r="B64">
        <v>3</v>
      </c>
      <c r="G64" s="5">
        <v>398</v>
      </c>
      <c r="H64">
        <v>1</v>
      </c>
      <c r="J64" s="63" t="s">
        <v>157</v>
      </c>
      <c r="K64" s="63">
        <f>K60-SUM(K62:K63)</f>
        <v>31</v>
      </c>
      <c r="L64" s="63">
        <f>L60-SUM(L62:L63)</f>
        <v>9</v>
      </c>
      <c r="M64" s="63">
        <f>M60-SUM(M62:M63)</f>
        <v>54</v>
      </c>
      <c r="N64" s="63">
        <f>N60-SUM(N62:N63)</f>
        <v>4</v>
      </c>
      <c r="O64" s="63">
        <f>SUM(K62:N64)</f>
        <v>142</v>
      </c>
      <c r="P64" s="63"/>
    </row>
    <row r="65" spans="1:8" x14ac:dyDescent="0.25">
      <c r="A65" s="5">
        <v>571</v>
      </c>
      <c r="B65">
        <v>1</v>
      </c>
      <c r="G65" s="5">
        <v>398</v>
      </c>
      <c r="H65">
        <v>3</v>
      </c>
    </row>
    <row r="66" spans="1:8" x14ac:dyDescent="0.25">
      <c r="A66" s="5">
        <v>571</v>
      </c>
      <c r="B66">
        <v>3</v>
      </c>
      <c r="G66" s="5">
        <v>398</v>
      </c>
      <c r="H66">
        <v>3</v>
      </c>
    </row>
    <row r="67" spans="1:8" x14ac:dyDescent="0.25">
      <c r="A67" s="5">
        <v>571</v>
      </c>
      <c r="B67">
        <v>3</v>
      </c>
      <c r="G67" s="5">
        <v>398</v>
      </c>
      <c r="H67">
        <v>1</v>
      </c>
    </row>
    <row r="68" spans="1:8" x14ac:dyDescent="0.25">
      <c r="A68" s="5">
        <v>595</v>
      </c>
      <c r="B68">
        <v>3</v>
      </c>
      <c r="G68" s="5">
        <v>398</v>
      </c>
      <c r="H68">
        <v>3</v>
      </c>
    </row>
    <row r="69" spans="1:8" x14ac:dyDescent="0.25">
      <c r="A69" s="5">
        <v>595</v>
      </c>
      <c r="B69">
        <v>3</v>
      </c>
      <c r="G69" s="5">
        <v>398</v>
      </c>
      <c r="H69">
        <v>3</v>
      </c>
    </row>
    <row r="70" spans="1:8" x14ac:dyDescent="0.25">
      <c r="A70" s="5">
        <v>595</v>
      </c>
      <c r="B70">
        <v>3</v>
      </c>
      <c r="G70" s="5">
        <v>398</v>
      </c>
      <c r="H70">
        <v>3</v>
      </c>
    </row>
    <row r="71" spans="1:8" x14ac:dyDescent="0.25">
      <c r="A71" s="5">
        <v>664</v>
      </c>
      <c r="B71">
        <v>1</v>
      </c>
      <c r="G71" s="5">
        <v>398</v>
      </c>
      <c r="H71">
        <v>3</v>
      </c>
    </row>
    <row r="72" spans="1:8" x14ac:dyDescent="0.25">
      <c r="A72" s="5">
        <v>686</v>
      </c>
      <c r="B72">
        <v>4</v>
      </c>
      <c r="G72" s="5">
        <v>398</v>
      </c>
      <c r="H72">
        <v>3</v>
      </c>
    </row>
    <row r="73" spans="1:8" x14ac:dyDescent="0.25">
      <c r="A73" s="5">
        <v>686</v>
      </c>
      <c r="B73">
        <v>3</v>
      </c>
      <c r="G73" s="5">
        <v>398</v>
      </c>
      <c r="H73">
        <v>3</v>
      </c>
    </row>
    <row r="74" spans="1:8" x14ac:dyDescent="0.25">
      <c r="A74" s="5">
        <v>686</v>
      </c>
      <c r="B74">
        <v>3</v>
      </c>
      <c r="G74" s="5">
        <v>398</v>
      </c>
      <c r="H74">
        <v>1</v>
      </c>
    </row>
    <row r="75" spans="1:8" x14ac:dyDescent="0.25">
      <c r="A75" s="5">
        <v>686</v>
      </c>
      <c r="B75">
        <v>3</v>
      </c>
      <c r="G75" s="5">
        <v>398</v>
      </c>
      <c r="H75">
        <v>4</v>
      </c>
    </row>
    <row r="76" spans="1:8" x14ac:dyDescent="0.25">
      <c r="A76" s="5">
        <v>686</v>
      </c>
      <c r="B76">
        <v>3</v>
      </c>
      <c r="G76" s="5">
        <v>398</v>
      </c>
      <c r="H76">
        <v>4</v>
      </c>
    </row>
    <row r="77" spans="1:8" x14ac:dyDescent="0.25">
      <c r="A77" s="5">
        <v>686</v>
      </c>
      <c r="B77">
        <v>3</v>
      </c>
      <c r="G77" s="5">
        <v>398</v>
      </c>
      <c r="H77">
        <v>1</v>
      </c>
    </row>
    <row r="78" spans="1:8" x14ac:dyDescent="0.25">
      <c r="A78" s="5">
        <v>686</v>
      </c>
      <c r="B78">
        <v>3</v>
      </c>
      <c r="G78" s="5">
        <v>398</v>
      </c>
      <c r="H78">
        <v>1</v>
      </c>
    </row>
    <row r="79" spans="1:8" x14ac:dyDescent="0.25">
      <c r="A79" s="5">
        <v>768</v>
      </c>
      <c r="B79">
        <v>4</v>
      </c>
      <c r="G79" s="5">
        <v>398</v>
      </c>
      <c r="H79">
        <v>3</v>
      </c>
    </row>
    <row r="80" spans="1:8" x14ac:dyDescent="0.25">
      <c r="A80" s="5">
        <v>788</v>
      </c>
      <c r="B80">
        <v>4</v>
      </c>
      <c r="G80" s="5">
        <v>398</v>
      </c>
      <c r="H80">
        <v>3</v>
      </c>
    </row>
    <row r="81" spans="1:8" x14ac:dyDescent="0.25">
      <c r="A81" s="5">
        <v>788</v>
      </c>
      <c r="B81">
        <v>4</v>
      </c>
      <c r="G81" s="5">
        <v>398</v>
      </c>
      <c r="H81">
        <v>3</v>
      </c>
    </row>
    <row r="82" spans="1:8" x14ac:dyDescent="0.25">
      <c r="A82" s="5">
        <v>788</v>
      </c>
      <c r="B82">
        <v>4</v>
      </c>
      <c r="G82" s="5">
        <v>398</v>
      </c>
      <c r="H82">
        <v>3</v>
      </c>
    </row>
    <row r="83" spans="1:8" x14ac:dyDescent="0.25">
      <c r="A83" s="5">
        <v>788</v>
      </c>
      <c r="B83">
        <v>4</v>
      </c>
      <c r="G83" s="5">
        <v>398</v>
      </c>
      <c r="H83">
        <v>1</v>
      </c>
    </row>
    <row r="84" spans="1:8" x14ac:dyDescent="0.25">
      <c r="A84" s="5">
        <v>788</v>
      </c>
      <c r="B84">
        <v>3</v>
      </c>
      <c r="G84" s="5">
        <v>398</v>
      </c>
      <c r="H84">
        <v>1</v>
      </c>
    </row>
    <row r="85" spans="1:8" x14ac:dyDescent="0.25">
      <c r="A85" s="5">
        <v>788</v>
      </c>
      <c r="B85">
        <v>3</v>
      </c>
      <c r="G85" s="5">
        <v>398</v>
      </c>
      <c r="H85">
        <v>1</v>
      </c>
    </row>
    <row r="86" spans="1:8" x14ac:dyDescent="0.25">
      <c r="A86" s="5"/>
      <c r="G86" s="5">
        <v>398</v>
      </c>
      <c r="H86">
        <v>1</v>
      </c>
    </row>
    <row r="87" spans="1:8" x14ac:dyDescent="0.25">
      <c r="A87" s="5"/>
      <c r="G87" s="5">
        <v>398</v>
      </c>
      <c r="H87">
        <v>1</v>
      </c>
    </row>
    <row r="88" spans="1:8" x14ac:dyDescent="0.25">
      <c r="A88" s="5"/>
      <c r="G88" s="5">
        <v>398</v>
      </c>
      <c r="H88">
        <v>3</v>
      </c>
    </row>
    <row r="89" spans="1:8" x14ac:dyDescent="0.25">
      <c r="A89" s="5"/>
      <c r="G89" s="5">
        <v>398</v>
      </c>
      <c r="H89">
        <v>3</v>
      </c>
    </row>
    <row r="90" spans="1:8" x14ac:dyDescent="0.25">
      <c r="A90" s="5"/>
      <c r="G90" s="5">
        <v>398</v>
      </c>
      <c r="H90">
        <v>4</v>
      </c>
    </row>
    <row r="91" spans="1:8" x14ac:dyDescent="0.25">
      <c r="G91" s="5">
        <v>398</v>
      </c>
      <c r="H91">
        <v>1</v>
      </c>
    </row>
    <row r="92" spans="1:8" x14ac:dyDescent="0.25">
      <c r="G92" s="5">
        <v>398</v>
      </c>
      <c r="H92">
        <v>3</v>
      </c>
    </row>
    <row r="93" spans="1:8" x14ac:dyDescent="0.25">
      <c r="G93" s="5">
        <v>398</v>
      </c>
      <c r="H93">
        <v>3</v>
      </c>
    </row>
    <row r="94" spans="1:8" x14ac:dyDescent="0.25">
      <c r="G94" s="5">
        <v>398</v>
      </c>
      <c r="H94">
        <v>1</v>
      </c>
    </row>
    <row r="95" spans="1:8" x14ac:dyDescent="0.25">
      <c r="C95" s="5"/>
      <c r="G95" s="5">
        <v>398</v>
      </c>
      <c r="H95">
        <v>1</v>
      </c>
    </row>
    <row r="96" spans="1:8" x14ac:dyDescent="0.25">
      <c r="C96" s="5"/>
      <c r="G96" s="5">
        <v>398</v>
      </c>
      <c r="H96">
        <v>1</v>
      </c>
    </row>
    <row r="97" spans="3:8" x14ac:dyDescent="0.25">
      <c r="C97" s="5"/>
      <c r="G97" s="5">
        <v>398</v>
      </c>
      <c r="H97">
        <v>1</v>
      </c>
    </row>
    <row r="98" spans="3:8" x14ac:dyDescent="0.25">
      <c r="C98" s="5"/>
      <c r="G98" s="5">
        <v>398</v>
      </c>
      <c r="H98">
        <v>1</v>
      </c>
    </row>
    <row r="99" spans="3:8" x14ac:dyDescent="0.25">
      <c r="C99" s="5"/>
      <c r="G99" s="5">
        <v>398</v>
      </c>
      <c r="H99">
        <v>1</v>
      </c>
    </row>
    <row r="100" spans="3:8" x14ac:dyDescent="0.25">
      <c r="C100" s="5"/>
      <c r="G100" s="5">
        <v>398</v>
      </c>
      <c r="H100">
        <v>3</v>
      </c>
    </row>
    <row r="101" spans="3:8" x14ac:dyDescent="0.25">
      <c r="C101" s="5"/>
      <c r="G101" s="5">
        <v>398</v>
      </c>
      <c r="H101">
        <v>3</v>
      </c>
    </row>
    <row r="102" spans="3:8" x14ac:dyDescent="0.25">
      <c r="C102" s="5"/>
      <c r="G102" s="5">
        <v>398</v>
      </c>
      <c r="H102">
        <v>3</v>
      </c>
    </row>
    <row r="103" spans="3:8" x14ac:dyDescent="0.25">
      <c r="C103" s="5"/>
      <c r="G103" s="5">
        <v>398</v>
      </c>
      <c r="H103">
        <v>3</v>
      </c>
    </row>
    <row r="104" spans="3:8" x14ac:dyDescent="0.25">
      <c r="C104" s="5"/>
      <c r="G104" s="5">
        <v>398</v>
      </c>
      <c r="H104">
        <v>1</v>
      </c>
    </row>
    <row r="105" spans="3:8" x14ac:dyDescent="0.25">
      <c r="C105" s="5"/>
      <c r="G105" s="5">
        <v>398</v>
      </c>
      <c r="H105">
        <v>3</v>
      </c>
    </row>
    <row r="106" spans="3:8" x14ac:dyDescent="0.25">
      <c r="C106" s="5"/>
      <c r="G106" s="5">
        <v>398</v>
      </c>
      <c r="H106">
        <v>4</v>
      </c>
    </row>
    <row r="107" spans="3:8" x14ac:dyDescent="0.25">
      <c r="C107" s="5"/>
      <c r="G107" s="5">
        <v>401</v>
      </c>
      <c r="H107">
        <v>3</v>
      </c>
    </row>
    <row r="108" spans="3:8" x14ac:dyDescent="0.25">
      <c r="C108" s="5"/>
      <c r="G108" s="5">
        <v>457</v>
      </c>
      <c r="H108">
        <v>3</v>
      </c>
    </row>
    <row r="109" spans="3:8" x14ac:dyDescent="0.25">
      <c r="C109" s="5"/>
      <c r="G109" s="5">
        <v>457</v>
      </c>
      <c r="H109">
        <v>3</v>
      </c>
    </row>
    <row r="110" spans="3:8" x14ac:dyDescent="0.25">
      <c r="C110" s="5"/>
      <c r="G110" s="5">
        <v>457</v>
      </c>
      <c r="H110">
        <v>3</v>
      </c>
    </row>
    <row r="111" spans="3:8" x14ac:dyDescent="0.25">
      <c r="C111" s="5"/>
      <c r="G111" s="5">
        <v>457</v>
      </c>
      <c r="H111">
        <v>3</v>
      </c>
    </row>
    <row r="112" spans="3:8" x14ac:dyDescent="0.25">
      <c r="C112" s="5"/>
      <c r="G112" s="5">
        <v>457</v>
      </c>
      <c r="H112">
        <v>3</v>
      </c>
    </row>
    <row r="113" spans="3:8" x14ac:dyDescent="0.25">
      <c r="C113" s="5"/>
      <c r="G113" s="5">
        <v>457</v>
      </c>
      <c r="H113">
        <v>3</v>
      </c>
    </row>
    <row r="114" spans="3:8" x14ac:dyDescent="0.25">
      <c r="C114" s="5"/>
      <c r="G114" s="5">
        <v>457</v>
      </c>
      <c r="H114">
        <v>3</v>
      </c>
    </row>
    <row r="115" spans="3:8" x14ac:dyDescent="0.25">
      <c r="C115" s="5"/>
      <c r="G115" s="5">
        <v>467</v>
      </c>
      <c r="H115">
        <v>3</v>
      </c>
    </row>
    <row r="116" spans="3:8" x14ac:dyDescent="0.25">
      <c r="C116" s="5"/>
      <c r="G116" s="5">
        <v>467</v>
      </c>
      <c r="H116">
        <v>3</v>
      </c>
    </row>
    <row r="117" spans="3:8" x14ac:dyDescent="0.25">
      <c r="C117" s="5"/>
      <c r="G117" s="5">
        <v>477</v>
      </c>
      <c r="H117">
        <v>1</v>
      </c>
    </row>
    <row r="118" spans="3:8" x14ac:dyDescent="0.25">
      <c r="C118" s="5"/>
      <c r="G118" s="5">
        <v>561</v>
      </c>
      <c r="H118">
        <v>1</v>
      </c>
    </row>
    <row r="119" spans="3:8" x14ac:dyDescent="0.25">
      <c r="C119" s="5"/>
      <c r="G119" s="5">
        <v>562</v>
      </c>
      <c r="H119">
        <v>3</v>
      </c>
    </row>
    <row r="120" spans="3:8" x14ac:dyDescent="0.25">
      <c r="C120" s="5"/>
      <c r="G120" s="5">
        <v>562</v>
      </c>
      <c r="H120">
        <v>3</v>
      </c>
    </row>
    <row r="121" spans="3:8" x14ac:dyDescent="0.25">
      <c r="C121" s="5"/>
      <c r="G121" s="5">
        <v>571</v>
      </c>
      <c r="H121">
        <v>3</v>
      </c>
    </row>
    <row r="122" spans="3:8" x14ac:dyDescent="0.25">
      <c r="C122" s="5"/>
      <c r="G122" s="5">
        <v>595</v>
      </c>
      <c r="H122">
        <v>2</v>
      </c>
    </row>
    <row r="123" spans="3:8" x14ac:dyDescent="0.25">
      <c r="C123" s="5"/>
      <c r="G123" s="5">
        <v>595</v>
      </c>
      <c r="H123">
        <v>2</v>
      </c>
    </row>
    <row r="124" spans="3:8" x14ac:dyDescent="0.25">
      <c r="C124" s="5"/>
      <c r="G124" s="5">
        <v>595</v>
      </c>
      <c r="H124">
        <v>3</v>
      </c>
    </row>
    <row r="125" spans="3:8" x14ac:dyDescent="0.25">
      <c r="C125" s="5"/>
      <c r="G125" s="5">
        <v>628</v>
      </c>
      <c r="H125">
        <v>3</v>
      </c>
    </row>
    <row r="126" spans="3:8" x14ac:dyDescent="0.25">
      <c r="C126" s="5"/>
      <c r="G126" s="5">
        <v>665</v>
      </c>
      <c r="H126">
        <v>3</v>
      </c>
    </row>
    <row r="127" spans="3:8" x14ac:dyDescent="0.25">
      <c r="C127" s="5"/>
      <c r="G127" s="5">
        <v>665</v>
      </c>
      <c r="H127">
        <v>3</v>
      </c>
    </row>
    <row r="128" spans="3:8" x14ac:dyDescent="0.25">
      <c r="C128" s="5"/>
      <c r="G128" s="5">
        <v>686</v>
      </c>
      <c r="H128">
        <v>3</v>
      </c>
    </row>
    <row r="129" spans="3:8" x14ac:dyDescent="0.25">
      <c r="C129" s="5"/>
      <c r="G129" s="5">
        <v>686</v>
      </c>
      <c r="H129">
        <v>3</v>
      </c>
    </row>
    <row r="130" spans="3:8" x14ac:dyDescent="0.25">
      <c r="C130" s="5"/>
      <c r="G130" s="5">
        <v>686</v>
      </c>
      <c r="H130">
        <v>3</v>
      </c>
    </row>
    <row r="131" spans="3:8" x14ac:dyDescent="0.25">
      <c r="C131" s="5"/>
      <c r="G131" s="5">
        <v>686</v>
      </c>
      <c r="H131">
        <v>3</v>
      </c>
    </row>
    <row r="132" spans="3:8" x14ac:dyDescent="0.25">
      <c r="C132" s="5"/>
      <c r="G132" s="5">
        <v>686</v>
      </c>
      <c r="H132">
        <v>3</v>
      </c>
    </row>
    <row r="133" spans="3:8" x14ac:dyDescent="0.25">
      <c r="C133" s="5"/>
      <c r="G133" s="5">
        <v>686</v>
      </c>
      <c r="H133">
        <v>3</v>
      </c>
    </row>
    <row r="134" spans="3:8" x14ac:dyDescent="0.25">
      <c r="C134" s="5"/>
      <c r="G134" s="5">
        <v>686</v>
      </c>
      <c r="H134">
        <v>3</v>
      </c>
    </row>
    <row r="135" spans="3:8" x14ac:dyDescent="0.25">
      <c r="C135" s="5"/>
      <c r="G135" s="5">
        <v>686</v>
      </c>
      <c r="H135">
        <v>3</v>
      </c>
    </row>
    <row r="136" spans="3:8" x14ac:dyDescent="0.25">
      <c r="C136" s="5"/>
      <c r="G136" s="5">
        <v>686</v>
      </c>
      <c r="H136">
        <v>3</v>
      </c>
    </row>
    <row r="137" spans="3:8" x14ac:dyDescent="0.25">
      <c r="C137" s="5"/>
      <c r="G137" s="5">
        <v>686</v>
      </c>
      <c r="H137">
        <v>3</v>
      </c>
    </row>
    <row r="138" spans="3:8" x14ac:dyDescent="0.25">
      <c r="C138" s="5"/>
      <c r="G138" s="5">
        <v>686</v>
      </c>
      <c r="H138">
        <v>2</v>
      </c>
    </row>
    <row r="139" spans="3:8" x14ac:dyDescent="0.25">
      <c r="C139" s="5"/>
      <c r="G139" s="5">
        <v>686</v>
      </c>
      <c r="H139">
        <v>2</v>
      </c>
    </row>
    <row r="140" spans="3:8" x14ac:dyDescent="0.25">
      <c r="C140" s="5"/>
      <c r="G140" s="5">
        <v>758</v>
      </c>
      <c r="H140">
        <v>3</v>
      </c>
    </row>
    <row r="141" spans="3:8" x14ac:dyDescent="0.25">
      <c r="C141" s="5"/>
      <c r="G141" s="5">
        <v>758</v>
      </c>
      <c r="H141">
        <v>3</v>
      </c>
    </row>
    <row r="142" spans="3:8" x14ac:dyDescent="0.25">
      <c r="C142" s="5"/>
      <c r="G142" s="5">
        <v>783</v>
      </c>
      <c r="H142">
        <v>3</v>
      </c>
    </row>
    <row r="143" spans="3:8" x14ac:dyDescent="0.25">
      <c r="C143" s="5"/>
      <c r="G143" s="5">
        <v>783</v>
      </c>
      <c r="H143">
        <v>1</v>
      </c>
    </row>
    <row r="144" spans="3:8" x14ac:dyDescent="0.25">
      <c r="C144" s="5"/>
      <c r="G144" s="5">
        <v>783</v>
      </c>
      <c r="H144">
        <v>1</v>
      </c>
    </row>
    <row r="145" spans="3:8" x14ac:dyDescent="0.25">
      <c r="C145" s="5"/>
      <c r="G145" s="5">
        <v>788</v>
      </c>
      <c r="H145">
        <v>4</v>
      </c>
    </row>
    <row r="146" spans="3:8" x14ac:dyDescent="0.25">
      <c r="C146" s="5"/>
      <c r="G146" s="5">
        <v>788</v>
      </c>
      <c r="H146">
        <v>3</v>
      </c>
    </row>
    <row r="147" spans="3:8" x14ac:dyDescent="0.25">
      <c r="C147" s="5"/>
    </row>
    <row r="148" spans="3:8" x14ac:dyDescent="0.25">
      <c r="C148" s="5"/>
    </row>
    <row r="149" spans="3:8" x14ac:dyDescent="0.25">
      <c r="C149" s="5"/>
    </row>
    <row r="150" spans="3:8" x14ac:dyDescent="0.25">
      <c r="C150" s="5"/>
    </row>
    <row r="151" spans="3:8" x14ac:dyDescent="0.25">
      <c r="C151" s="5"/>
    </row>
    <row r="152" spans="3:8" x14ac:dyDescent="0.25">
      <c r="C152" s="5"/>
    </row>
    <row r="153" spans="3:8" x14ac:dyDescent="0.25">
      <c r="C153" s="5"/>
    </row>
    <row r="154" spans="3:8" x14ac:dyDescent="0.25">
      <c r="C154" s="5"/>
    </row>
    <row r="155" spans="3:8" x14ac:dyDescent="0.25">
      <c r="C155" s="5"/>
    </row>
    <row r="156" spans="3:8" x14ac:dyDescent="0.25">
      <c r="C156" s="5"/>
    </row>
    <row r="157" spans="3:8" x14ac:dyDescent="0.25">
      <c r="C157" s="5"/>
    </row>
    <row r="158" spans="3:8" x14ac:dyDescent="0.25">
      <c r="C158" s="5"/>
    </row>
    <row r="159" spans="3:8" x14ac:dyDescent="0.25">
      <c r="C159" s="5"/>
    </row>
    <row r="160" spans="3:8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</sheetData>
  <sortState xmlns:xlrd2="http://schemas.microsoft.com/office/spreadsheetml/2017/richdata2" ref="X56:AC73">
    <sortCondition ref="AC56:AC73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2D64F-84BD-4AEE-944A-8FBD5CE9A2D6}">
  <dimension ref="A1:Y36"/>
  <sheetViews>
    <sheetView workbookViewId="0">
      <selection activeCell="C10" sqref="C10"/>
    </sheetView>
  </sheetViews>
  <sheetFormatPr defaultRowHeight="15" x14ac:dyDescent="0.25"/>
  <cols>
    <col min="3" max="3" width="11.5703125" customWidth="1"/>
  </cols>
  <sheetData>
    <row r="1" spans="1:25" x14ac:dyDescent="0.25">
      <c r="A1" s="29" t="s">
        <v>158</v>
      </c>
      <c r="B1" s="29" t="s">
        <v>159</v>
      </c>
      <c r="C1" s="29" t="s">
        <v>160</v>
      </c>
      <c r="D1" s="29" t="s">
        <v>161</v>
      </c>
      <c r="E1" s="29" t="s">
        <v>162</v>
      </c>
      <c r="F1" s="29" t="s">
        <v>163</v>
      </c>
      <c r="G1" s="29" t="s">
        <v>164</v>
      </c>
      <c r="H1" s="29" t="s">
        <v>165</v>
      </c>
      <c r="I1" s="29" t="s">
        <v>166</v>
      </c>
      <c r="J1" s="29" t="s">
        <v>167</v>
      </c>
      <c r="K1" s="29" t="s">
        <v>168</v>
      </c>
      <c r="L1" s="29" t="s">
        <v>169</v>
      </c>
      <c r="N1" s="30" t="s">
        <v>161</v>
      </c>
      <c r="O1" s="30" t="s">
        <v>162</v>
      </c>
      <c r="P1" s="30" t="s">
        <v>163</v>
      </c>
      <c r="Q1" s="30" t="s">
        <v>164</v>
      </c>
      <c r="R1" s="30" t="s">
        <v>165</v>
      </c>
      <c r="S1" s="30" t="s">
        <v>166</v>
      </c>
      <c r="T1" s="30" t="s">
        <v>167</v>
      </c>
      <c r="U1" s="30" t="s">
        <v>168</v>
      </c>
      <c r="V1" s="30" t="s">
        <v>169</v>
      </c>
      <c r="X1" s="31" t="s">
        <v>170</v>
      </c>
    </row>
    <row r="2" spans="1:25" x14ac:dyDescent="0.25">
      <c r="A2" s="60">
        <v>190</v>
      </c>
      <c r="B2" s="32" t="s">
        <v>171</v>
      </c>
      <c r="C2" s="33">
        <v>1418</v>
      </c>
      <c r="D2" s="34">
        <f>245+37</f>
        <v>282</v>
      </c>
      <c r="E2" s="34">
        <f>225+31</f>
        <v>256</v>
      </c>
      <c r="F2" s="34">
        <f>1300-1+99</f>
        <v>1398</v>
      </c>
      <c r="G2" s="34">
        <f>68+21</f>
        <v>89</v>
      </c>
      <c r="H2" s="34">
        <v>2</v>
      </c>
      <c r="I2" s="34">
        <f>19+3</f>
        <v>22</v>
      </c>
      <c r="J2" s="34">
        <f>12+2</f>
        <v>14</v>
      </c>
      <c r="K2" s="34">
        <v>15</v>
      </c>
      <c r="L2" s="34">
        <f>67+3</f>
        <v>70</v>
      </c>
      <c r="M2">
        <f>SUM(D2:L2)</f>
        <v>2148</v>
      </c>
      <c r="N2" s="7">
        <f>D2/$M2</f>
        <v>0.13128491620111732</v>
      </c>
      <c r="O2" s="7">
        <f>E2/$M2</f>
        <v>0.11918063314711359</v>
      </c>
      <c r="P2" s="7">
        <f>F2/$M2</f>
        <v>0.65083798882681565</v>
      </c>
      <c r="Q2" s="7">
        <f t="shared" ref="Q2:V14" si="0">G2/$M2</f>
        <v>4.1433891992551208E-2</v>
      </c>
      <c r="R2" s="7">
        <f t="shared" si="0"/>
        <v>9.3109869646182495E-4</v>
      </c>
      <c r="S2" s="7">
        <f t="shared" si="0"/>
        <v>1.0242085661080074E-2</v>
      </c>
      <c r="T2" s="7">
        <f t="shared" si="0"/>
        <v>6.5176908752327747E-3</v>
      </c>
      <c r="U2" s="7">
        <f t="shared" si="0"/>
        <v>6.9832402234636867E-3</v>
      </c>
      <c r="V2" s="7">
        <f t="shared" si="0"/>
        <v>3.2588454376163874E-2</v>
      </c>
      <c r="X2">
        <f>COUNTIF(D2:K2,"&gt;0")</f>
        <v>8</v>
      </c>
      <c r="Y2">
        <v>190</v>
      </c>
    </row>
    <row r="3" spans="1:25" x14ac:dyDescent="0.25">
      <c r="A3" s="60">
        <v>476</v>
      </c>
      <c r="B3" s="32" t="s">
        <v>172</v>
      </c>
      <c r="C3" s="35">
        <v>1371</v>
      </c>
      <c r="D3" s="34">
        <v>791</v>
      </c>
      <c r="E3" s="34">
        <f>72+3</f>
        <v>75</v>
      </c>
      <c r="F3" s="34">
        <v>1</v>
      </c>
      <c r="G3" s="34">
        <v>12</v>
      </c>
      <c r="H3" s="34">
        <v>1</v>
      </c>
      <c r="I3" s="34">
        <v>6</v>
      </c>
      <c r="J3" s="34">
        <v>6</v>
      </c>
      <c r="K3" s="34">
        <v>14</v>
      </c>
      <c r="L3" s="34">
        <f>618+153</f>
        <v>771</v>
      </c>
      <c r="M3">
        <f t="shared" ref="M3:M13" si="1">SUM(D3:L3)</f>
        <v>1677</v>
      </c>
      <c r="N3" s="7">
        <f t="shared" ref="N3:N13" si="2">D3/$M3</f>
        <v>0.47167561121049495</v>
      </c>
      <c r="O3" s="7">
        <f t="shared" ref="O3:P13" si="3">E3/$M3</f>
        <v>4.4722719141323794E-2</v>
      </c>
      <c r="P3" s="7">
        <f t="shared" si="3"/>
        <v>5.963029218843172E-4</v>
      </c>
      <c r="Q3" s="7">
        <f t="shared" si="0"/>
        <v>7.1556350626118068E-3</v>
      </c>
      <c r="R3" s="7">
        <f t="shared" si="0"/>
        <v>5.963029218843172E-4</v>
      </c>
      <c r="S3" s="7">
        <f t="shared" si="0"/>
        <v>3.5778175313059034E-3</v>
      </c>
      <c r="T3" s="7">
        <f t="shared" si="0"/>
        <v>3.5778175313059034E-3</v>
      </c>
      <c r="U3" s="7">
        <f t="shared" si="0"/>
        <v>8.348240906380441E-3</v>
      </c>
      <c r="V3" s="7">
        <f t="shared" si="0"/>
        <v>0.4597495527728086</v>
      </c>
      <c r="X3">
        <f t="shared" ref="X3:X13" si="4">COUNTIF(D3:K3,"&gt;0")</f>
        <v>8</v>
      </c>
      <c r="Y3">
        <v>476</v>
      </c>
    </row>
    <row r="4" spans="1:25" x14ac:dyDescent="0.25">
      <c r="A4" s="60">
        <v>369</v>
      </c>
      <c r="B4" s="32" t="s">
        <v>173</v>
      </c>
      <c r="C4" s="35">
        <v>196</v>
      </c>
      <c r="D4" s="34">
        <f>105+6</f>
        <v>111</v>
      </c>
      <c r="E4" s="34">
        <v>1</v>
      </c>
      <c r="F4" s="34">
        <v>1</v>
      </c>
      <c r="G4" s="34">
        <v>0</v>
      </c>
      <c r="H4" s="34">
        <v>0</v>
      </c>
      <c r="I4" s="34">
        <v>0</v>
      </c>
      <c r="J4" s="34">
        <v>0</v>
      </c>
      <c r="K4" s="34">
        <v>0</v>
      </c>
      <c r="L4" s="34">
        <f>91+21</f>
        <v>112</v>
      </c>
      <c r="M4">
        <f t="shared" si="1"/>
        <v>225</v>
      </c>
      <c r="N4" s="7">
        <f t="shared" si="2"/>
        <v>0.49333333333333335</v>
      </c>
      <c r="O4" s="7">
        <f t="shared" si="3"/>
        <v>4.4444444444444444E-3</v>
      </c>
      <c r="P4" s="7">
        <f t="shared" si="3"/>
        <v>4.4444444444444444E-3</v>
      </c>
      <c r="Q4" s="7">
        <f t="shared" si="0"/>
        <v>0</v>
      </c>
      <c r="R4" s="7">
        <f t="shared" si="0"/>
        <v>0</v>
      </c>
      <c r="S4" s="7">
        <f t="shared" si="0"/>
        <v>0</v>
      </c>
      <c r="T4" s="7">
        <f t="shared" si="0"/>
        <v>0</v>
      </c>
      <c r="U4" s="7">
        <f t="shared" si="0"/>
        <v>0</v>
      </c>
      <c r="V4" s="7">
        <f t="shared" si="0"/>
        <v>0.49777777777777776</v>
      </c>
      <c r="X4">
        <f t="shared" si="4"/>
        <v>3</v>
      </c>
      <c r="Y4">
        <v>369</v>
      </c>
    </row>
    <row r="5" spans="1:25" x14ac:dyDescent="0.25">
      <c r="A5" s="60">
        <v>401</v>
      </c>
      <c r="B5" s="32" t="s">
        <v>174</v>
      </c>
      <c r="C5" s="35">
        <v>195</v>
      </c>
      <c r="D5" s="34">
        <v>126</v>
      </c>
      <c r="E5" s="34">
        <v>2</v>
      </c>
      <c r="F5" s="34">
        <v>1</v>
      </c>
      <c r="G5" s="34">
        <v>1</v>
      </c>
      <c r="H5" s="34">
        <v>0</v>
      </c>
      <c r="I5" s="34">
        <v>1</v>
      </c>
      <c r="J5" s="34">
        <v>5</v>
      </c>
      <c r="K5" s="34">
        <v>2</v>
      </c>
      <c r="L5" s="34">
        <f>73+19</f>
        <v>92</v>
      </c>
      <c r="M5">
        <f t="shared" si="1"/>
        <v>230</v>
      </c>
      <c r="N5" s="7">
        <f t="shared" si="2"/>
        <v>0.54782608695652169</v>
      </c>
      <c r="O5" s="7">
        <f t="shared" si="3"/>
        <v>8.6956521739130436E-3</v>
      </c>
      <c r="P5" s="7">
        <f t="shared" si="3"/>
        <v>4.3478260869565218E-3</v>
      </c>
      <c r="Q5" s="7">
        <f t="shared" si="0"/>
        <v>4.3478260869565218E-3</v>
      </c>
      <c r="R5" s="7">
        <f t="shared" si="0"/>
        <v>0</v>
      </c>
      <c r="S5" s="7">
        <f t="shared" si="0"/>
        <v>4.3478260869565218E-3</v>
      </c>
      <c r="T5" s="7">
        <f t="shared" si="0"/>
        <v>2.1739130434782608E-2</v>
      </c>
      <c r="U5" s="7">
        <f t="shared" si="0"/>
        <v>8.6956521739130436E-3</v>
      </c>
      <c r="V5" s="7">
        <f t="shared" si="0"/>
        <v>0.4</v>
      </c>
      <c r="X5">
        <f t="shared" si="4"/>
        <v>7</v>
      </c>
      <c r="Y5">
        <v>401</v>
      </c>
    </row>
    <row r="6" spans="1:25" x14ac:dyDescent="0.25">
      <c r="A6" s="60">
        <v>704</v>
      </c>
      <c r="B6" s="32" t="s">
        <v>175</v>
      </c>
      <c r="C6" s="35">
        <v>165</v>
      </c>
      <c r="D6" s="34">
        <v>11</v>
      </c>
      <c r="E6" s="34">
        <v>125</v>
      </c>
      <c r="F6" s="34">
        <v>4</v>
      </c>
      <c r="G6" s="34">
        <v>1</v>
      </c>
      <c r="H6" s="34">
        <v>0</v>
      </c>
      <c r="I6" s="34">
        <v>6</v>
      </c>
      <c r="J6" s="34">
        <v>1</v>
      </c>
      <c r="K6" s="34">
        <v>2</v>
      </c>
      <c r="L6" s="34">
        <v>30</v>
      </c>
      <c r="M6">
        <f t="shared" si="1"/>
        <v>180</v>
      </c>
      <c r="N6" s="7">
        <f t="shared" si="2"/>
        <v>6.1111111111111109E-2</v>
      </c>
      <c r="O6" s="7">
        <f t="shared" si="3"/>
        <v>0.69444444444444442</v>
      </c>
      <c r="P6" s="7">
        <f t="shared" si="3"/>
        <v>2.2222222222222223E-2</v>
      </c>
      <c r="Q6" s="7">
        <f t="shared" si="0"/>
        <v>5.5555555555555558E-3</v>
      </c>
      <c r="R6" s="7">
        <f t="shared" si="0"/>
        <v>0</v>
      </c>
      <c r="S6" s="7">
        <f t="shared" si="0"/>
        <v>3.3333333333333333E-2</v>
      </c>
      <c r="T6" s="7">
        <f t="shared" si="0"/>
        <v>5.5555555555555558E-3</v>
      </c>
      <c r="U6" s="7">
        <f t="shared" si="0"/>
        <v>1.1111111111111112E-2</v>
      </c>
      <c r="V6" s="7">
        <f t="shared" si="0"/>
        <v>0.16666666666666666</v>
      </c>
      <c r="X6">
        <f t="shared" si="4"/>
        <v>7</v>
      </c>
      <c r="Y6">
        <v>704</v>
      </c>
    </row>
    <row r="7" spans="1:25" x14ac:dyDescent="0.25">
      <c r="A7" s="60">
        <v>665</v>
      </c>
      <c r="B7" s="32" t="s">
        <v>176</v>
      </c>
      <c r="C7" s="35">
        <v>148</v>
      </c>
      <c r="D7" s="34">
        <f>28+4</f>
        <v>32</v>
      </c>
      <c r="E7" s="34">
        <v>24</v>
      </c>
      <c r="F7" s="34">
        <v>0</v>
      </c>
      <c r="G7" s="34">
        <v>0</v>
      </c>
      <c r="H7" s="34">
        <v>0</v>
      </c>
      <c r="I7" s="34">
        <v>6</v>
      </c>
      <c r="J7" s="34">
        <v>5</v>
      </c>
      <c r="K7" s="34">
        <v>3</v>
      </c>
      <c r="L7" s="34">
        <v>93</v>
      </c>
      <c r="M7">
        <f t="shared" si="1"/>
        <v>163</v>
      </c>
      <c r="N7" s="7">
        <f t="shared" si="2"/>
        <v>0.19631901840490798</v>
      </c>
      <c r="O7" s="7">
        <f t="shared" si="3"/>
        <v>0.14723926380368099</v>
      </c>
      <c r="P7" s="7">
        <f t="shared" si="3"/>
        <v>0</v>
      </c>
      <c r="Q7" s="7">
        <f t="shared" si="0"/>
        <v>0</v>
      </c>
      <c r="R7" s="7">
        <f t="shared" si="0"/>
        <v>0</v>
      </c>
      <c r="S7" s="7">
        <f t="shared" si="0"/>
        <v>3.6809815950920248E-2</v>
      </c>
      <c r="T7" s="7">
        <f t="shared" si="0"/>
        <v>3.0674846625766871E-2</v>
      </c>
      <c r="U7" s="7">
        <f t="shared" si="0"/>
        <v>1.8404907975460124E-2</v>
      </c>
      <c r="V7" s="7">
        <f t="shared" si="0"/>
        <v>0.57055214723926384</v>
      </c>
      <c r="X7">
        <f t="shared" si="4"/>
        <v>5</v>
      </c>
      <c r="Y7">
        <v>665</v>
      </c>
    </row>
    <row r="8" spans="1:25" x14ac:dyDescent="0.25">
      <c r="A8" s="60">
        <v>682</v>
      </c>
      <c r="B8" s="32" t="s">
        <v>177</v>
      </c>
      <c r="C8" s="35">
        <v>43</v>
      </c>
      <c r="D8" s="34">
        <v>12</v>
      </c>
      <c r="E8" s="34">
        <v>5</v>
      </c>
      <c r="F8" s="34">
        <v>1</v>
      </c>
      <c r="G8" s="34">
        <v>0</v>
      </c>
      <c r="H8" s="34">
        <v>0</v>
      </c>
      <c r="I8" s="34">
        <v>3</v>
      </c>
      <c r="J8" s="34">
        <v>4</v>
      </c>
      <c r="K8" s="34">
        <v>3</v>
      </c>
      <c r="L8" s="34">
        <v>30</v>
      </c>
      <c r="M8">
        <f t="shared" si="1"/>
        <v>58</v>
      </c>
      <c r="N8" s="7">
        <f t="shared" si="2"/>
        <v>0.20689655172413793</v>
      </c>
      <c r="O8" s="7">
        <f t="shared" si="3"/>
        <v>8.6206896551724144E-2</v>
      </c>
      <c r="P8" s="7">
        <f t="shared" si="3"/>
        <v>1.7241379310344827E-2</v>
      </c>
      <c r="Q8" s="7">
        <f t="shared" si="0"/>
        <v>0</v>
      </c>
      <c r="R8" s="7">
        <f t="shared" si="0"/>
        <v>0</v>
      </c>
      <c r="S8" s="7">
        <f t="shared" si="0"/>
        <v>5.1724137931034482E-2</v>
      </c>
      <c r="T8" s="7">
        <f t="shared" si="0"/>
        <v>6.8965517241379309E-2</v>
      </c>
      <c r="U8" s="7">
        <f t="shared" si="0"/>
        <v>5.1724137931034482E-2</v>
      </c>
      <c r="V8" s="7">
        <f t="shared" si="0"/>
        <v>0.51724137931034486</v>
      </c>
      <c r="X8">
        <f t="shared" si="4"/>
        <v>6</v>
      </c>
      <c r="Y8">
        <v>682</v>
      </c>
    </row>
    <row r="9" spans="1:25" x14ac:dyDescent="0.25">
      <c r="A9" s="60">
        <v>252</v>
      </c>
      <c r="B9" s="32" t="s">
        <v>178</v>
      </c>
      <c r="C9" s="35">
        <v>31</v>
      </c>
      <c r="D9" s="34">
        <v>9</v>
      </c>
      <c r="E9" s="34">
        <v>3</v>
      </c>
      <c r="F9" s="34">
        <v>2</v>
      </c>
      <c r="G9" s="34">
        <v>0</v>
      </c>
      <c r="H9" s="34">
        <v>0</v>
      </c>
      <c r="I9" s="34">
        <v>1</v>
      </c>
      <c r="J9" s="34">
        <v>0</v>
      </c>
      <c r="K9" s="34">
        <v>0</v>
      </c>
      <c r="L9" s="34">
        <f>15+6</f>
        <v>21</v>
      </c>
      <c r="M9">
        <f t="shared" si="1"/>
        <v>36</v>
      </c>
      <c r="N9" s="7">
        <f t="shared" si="2"/>
        <v>0.25</v>
      </c>
      <c r="O9" s="7">
        <f t="shared" si="3"/>
        <v>8.3333333333333329E-2</v>
      </c>
      <c r="P9" s="7">
        <f t="shared" si="3"/>
        <v>5.5555555555555552E-2</v>
      </c>
      <c r="Q9" s="7">
        <f t="shared" si="0"/>
        <v>0</v>
      </c>
      <c r="R9" s="7">
        <f t="shared" si="0"/>
        <v>0</v>
      </c>
      <c r="S9" s="7">
        <f t="shared" si="0"/>
        <v>2.7777777777777776E-2</v>
      </c>
      <c r="T9" s="7">
        <f t="shared" si="0"/>
        <v>0</v>
      </c>
      <c r="U9" s="7">
        <f t="shared" si="0"/>
        <v>0</v>
      </c>
      <c r="V9" s="7">
        <f t="shared" si="0"/>
        <v>0.58333333333333337</v>
      </c>
      <c r="X9">
        <f t="shared" si="4"/>
        <v>4</v>
      </c>
      <c r="Y9">
        <v>252</v>
      </c>
    </row>
    <row r="10" spans="1:25" x14ac:dyDescent="0.25">
      <c r="A10" s="60">
        <v>788</v>
      </c>
      <c r="B10" s="32" t="s">
        <v>179</v>
      </c>
      <c r="C10" s="35">
        <v>13</v>
      </c>
      <c r="D10" s="34">
        <v>0</v>
      </c>
      <c r="E10" s="34">
        <v>72</v>
      </c>
      <c r="F10" s="34">
        <v>0</v>
      </c>
      <c r="G10" s="34">
        <f>1+62</f>
        <v>63</v>
      </c>
      <c r="H10" s="34">
        <v>0</v>
      </c>
      <c r="I10" s="34">
        <v>0</v>
      </c>
      <c r="J10" s="34">
        <v>0</v>
      </c>
      <c r="K10" s="34">
        <v>0</v>
      </c>
      <c r="L10" s="34">
        <v>4</v>
      </c>
      <c r="M10">
        <f t="shared" si="1"/>
        <v>139</v>
      </c>
      <c r="N10" s="7">
        <f t="shared" si="2"/>
        <v>0</v>
      </c>
      <c r="O10" s="7">
        <f t="shared" si="3"/>
        <v>0.51798561151079137</v>
      </c>
      <c r="P10" s="7">
        <f t="shared" si="3"/>
        <v>0</v>
      </c>
      <c r="Q10" s="7">
        <f t="shared" si="0"/>
        <v>0.45323741007194246</v>
      </c>
      <c r="R10" s="7">
        <f t="shared" si="0"/>
        <v>0</v>
      </c>
      <c r="S10" s="7">
        <f t="shared" si="0"/>
        <v>0</v>
      </c>
      <c r="T10" s="7">
        <f t="shared" si="0"/>
        <v>0</v>
      </c>
      <c r="U10" s="7">
        <f t="shared" si="0"/>
        <v>0</v>
      </c>
      <c r="V10" s="7">
        <f t="shared" si="0"/>
        <v>2.8776978417266189E-2</v>
      </c>
      <c r="X10">
        <f t="shared" si="4"/>
        <v>2</v>
      </c>
      <c r="Y10">
        <v>788</v>
      </c>
    </row>
    <row r="11" spans="1:25" x14ac:dyDescent="0.25">
      <c r="A11" s="32">
        <v>672</v>
      </c>
      <c r="B11" s="32" t="s">
        <v>180</v>
      </c>
      <c r="C11" s="35">
        <v>12</v>
      </c>
      <c r="D11" s="34">
        <v>1</v>
      </c>
      <c r="E11" s="34">
        <v>2</v>
      </c>
      <c r="F11" s="34">
        <v>0</v>
      </c>
      <c r="G11" s="34">
        <v>0</v>
      </c>
      <c r="H11" s="34">
        <v>0</v>
      </c>
      <c r="I11" s="34">
        <v>0</v>
      </c>
      <c r="J11" s="34">
        <v>0</v>
      </c>
      <c r="K11" s="34">
        <v>0</v>
      </c>
      <c r="L11" s="34">
        <v>12</v>
      </c>
      <c r="M11">
        <f t="shared" si="1"/>
        <v>15</v>
      </c>
      <c r="N11" s="7">
        <f t="shared" si="2"/>
        <v>6.6666666666666666E-2</v>
      </c>
      <c r="O11" s="7">
        <f t="shared" si="3"/>
        <v>0.13333333333333333</v>
      </c>
      <c r="P11" s="7">
        <f t="shared" si="3"/>
        <v>0</v>
      </c>
      <c r="Q11" s="7">
        <f t="shared" si="0"/>
        <v>0</v>
      </c>
      <c r="R11" s="7">
        <f t="shared" si="0"/>
        <v>0</v>
      </c>
      <c r="S11" s="7">
        <f t="shared" si="0"/>
        <v>0</v>
      </c>
      <c r="T11" s="7">
        <f t="shared" si="0"/>
        <v>0</v>
      </c>
      <c r="U11" s="7">
        <f t="shared" si="0"/>
        <v>0</v>
      </c>
      <c r="V11" s="7">
        <f t="shared" si="0"/>
        <v>0.8</v>
      </c>
      <c r="X11">
        <f>COUNTIF(D11:K11,"&gt;0")</f>
        <v>2</v>
      </c>
      <c r="Y11">
        <v>672</v>
      </c>
    </row>
    <row r="12" spans="1:25" x14ac:dyDescent="0.25">
      <c r="A12" s="32">
        <v>664</v>
      </c>
      <c r="B12" s="32" t="s">
        <v>181</v>
      </c>
      <c r="C12" s="35">
        <v>2</v>
      </c>
      <c r="D12" s="34">
        <v>0</v>
      </c>
      <c r="E12" s="34">
        <v>0</v>
      </c>
      <c r="F12" s="34">
        <v>0</v>
      </c>
      <c r="G12" s="34">
        <v>0</v>
      </c>
      <c r="H12" s="34">
        <v>0</v>
      </c>
      <c r="I12" s="34">
        <v>0</v>
      </c>
      <c r="J12" s="34">
        <v>0</v>
      </c>
      <c r="K12" s="34">
        <v>0</v>
      </c>
      <c r="L12" s="34">
        <v>2</v>
      </c>
      <c r="M12">
        <f t="shared" si="1"/>
        <v>2</v>
      </c>
      <c r="N12" s="7">
        <f t="shared" si="2"/>
        <v>0</v>
      </c>
      <c r="O12" s="7">
        <f t="shared" si="3"/>
        <v>0</v>
      </c>
      <c r="P12" s="7">
        <f t="shared" si="3"/>
        <v>0</v>
      </c>
      <c r="Q12" s="7">
        <f t="shared" si="0"/>
        <v>0</v>
      </c>
      <c r="R12" s="7">
        <f t="shared" si="0"/>
        <v>0</v>
      </c>
      <c r="S12" s="7">
        <f t="shared" si="0"/>
        <v>0</v>
      </c>
      <c r="T12" s="7">
        <f t="shared" si="0"/>
        <v>0</v>
      </c>
      <c r="U12" s="7">
        <f t="shared" si="0"/>
        <v>0</v>
      </c>
      <c r="V12" s="7">
        <f t="shared" si="0"/>
        <v>1</v>
      </c>
      <c r="X12">
        <f>COUNTIF(D12:K12,"&gt;0")</f>
        <v>0</v>
      </c>
      <c r="Y12">
        <v>664</v>
      </c>
    </row>
    <row r="13" spans="1:25" x14ac:dyDescent="0.25">
      <c r="A13" s="32">
        <v>457</v>
      </c>
      <c r="B13" s="32" t="s">
        <v>182</v>
      </c>
      <c r="C13" s="35">
        <v>1</v>
      </c>
      <c r="D13" s="34">
        <v>0</v>
      </c>
      <c r="E13" s="34">
        <v>5</v>
      </c>
      <c r="F13" s="34">
        <v>0</v>
      </c>
      <c r="G13" s="34">
        <v>0</v>
      </c>
      <c r="H13" s="34">
        <v>0</v>
      </c>
      <c r="I13" s="34">
        <v>0</v>
      </c>
      <c r="J13" s="34">
        <v>0</v>
      </c>
      <c r="K13" s="34">
        <v>0</v>
      </c>
      <c r="L13" s="34">
        <v>2</v>
      </c>
      <c r="M13">
        <f t="shared" si="1"/>
        <v>7</v>
      </c>
      <c r="N13" s="7">
        <f t="shared" si="2"/>
        <v>0</v>
      </c>
      <c r="O13" s="7">
        <f t="shared" si="3"/>
        <v>0.7142857142857143</v>
      </c>
      <c r="P13" s="7">
        <f t="shared" si="3"/>
        <v>0</v>
      </c>
      <c r="Q13" s="7">
        <f t="shared" si="0"/>
        <v>0</v>
      </c>
      <c r="R13" s="7">
        <f t="shared" si="0"/>
        <v>0</v>
      </c>
      <c r="S13" s="7">
        <f t="shared" si="0"/>
        <v>0</v>
      </c>
      <c r="T13" s="7">
        <f t="shared" si="0"/>
        <v>0</v>
      </c>
      <c r="U13" s="7">
        <f t="shared" si="0"/>
        <v>0</v>
      </c>
      <c r="V13" s="7">
        <f t="shared" si="0"/>
        <v>0.2857142857142857</v>
      </c>
      <c r="X13">
        <f t="shared" si="4"/>
        <v>1</v>
      </c>
      <c r="Y13">
        <v>457</v>
      </c>
    </row>
    <row r="14" spans="1:25" x14ac:dyDescent="0.25">
      <c r="C14" t="s">
        <v>183</v>
      </c>
      <c r="D14" s="36">
        <f>SUM(D2:D13)</f>
        <v>1375</v>
      </c>
      <c r="E14" s="36">
        <f>SUM(E2:E13)</f>
        <v>570</v>
      </c>
      <c r="F14" s="36">
        <f>SUM(F2:F13)</f>
        <v>1408</v>
      </c>
      <c r="G14" s="36">
        <f t="shared" ref="G14:M14" si="5">SUM(G2:G13)</f>
        <v>166</v>
      </c>
      <c r="H14" s="36">
        <f t="shared" si="5"/>
        <v>3</v>
      </c>
      <c r="I14" s="36">
        <f t="shared" si="5"/>
        <v>45</v>
      </c>
      <c r="J14" s="36">
        <f t="shared" si="5"/>
        <v>35</v>
      </c>
      <c r="K14" s="36">
        <f t="shared" si="5"/>
        <v>39</v>
      </c>
      <c r="L14" s="36">
        <f t="shared" si="5"/>
        <v>1239</v>
      </c>
      <c r="M14" s="36">
        <f t="shared" si="5"/>
        <v>4880</v>
      </c>
      <c r="N14" s="7">
        <f>D14/$M14</f>
        <v>0.28176229508196721</v>
      </c>
      <c r="O14" s="7">
        <f>E14/$M14</f>
        <v>0.11680327868852459</v>
      </c>
      <c r="P14" s="7">
        <f>F14/$M14</f>
        <v>0.28852459016393445</v>
      </c>
      <c r="Q14" s="7">
        <f t="shared" si="0"/>
        <v>3.4016393442622951E-2</v>
      </c>
      <c r="R14" s="7">
        <f t="shared" si="0"/>
        <v>6.1475409836065579E-4</v>
      </c>
      <c r="S14" s="7">
        <f t="shared" si="0"/>
        <v>9.2213114754098359E-3</v>
      </c>
      <c r="T14" s="7">
        <f t="shared" si="0"/>
        <v>7.1721311475409838E-3</v>
      </c>
      <c r="U14" s="7">
        <f t="shared" si="0"/>
        <v>7.9918032786885241E-3</v>
      </c>
      <c r="V14" s="7">
        <f t="shared" si="0"/>
        <v>0.25389344262295083</v>
      </c>
    </row>
    <row r="18" spans="1:21" x14ac:dyDescent="0.25">
      <c r="C18" t="s">
        <v>161</v>
      </c>
      <c r="D18" t="s">
        <v>162</v>
      </c>
      <c r="E18" t="s">
        <v>163</v>
      </c>
      <c r="F18" t="s">
        <v>164</v>
      </c>
      <c r="G18" t="s">
        <v>165</v>
      </c>
      <c r="H18" t="s">
        <v>166</v>
      </c>
      <c r="I18" t="s">
        <v>167</v>
      </c>
      <c r="J18" t="s">
        <v>168</v>
      </c>
      <c r="N18" t="s">
        <v>161</v>
      </c>
      <c r="O18" t="s">
        <v>162</v>
      </c>
      <c r="P18" t="s">
        <v>163</v>
      </c>
      <c r="Q18" t="s">
        <v>164</v>
      </c>
      <c r="R18" t="s">
        <v>165</v>
      </c>
      <c r="S18" t="s">
        <v>166</v>
      </c>
      <c r="T18" t="s">
        <v>167</v>
      </c>
      <c r="U18" t="s">
        <v>168</v>
      </c>
    </row>
    <row r="19" spans="1:21" x14ac:dyDescent="0.25">
      <c r="A19">
        <v>190</v>
      </c>
      <c r="B19" t="s">
        <v>85</v>
      </c>
      <c r="C19">
        <v>282</v>
      </c>
      <c r="D19">
        <v>256</v>
      </c>
      <c r="E19">
        <v>1398</v>
      </c>
      <c r="F19">
        <v>89</v>
      </c>
      <c r="G19">
        <v>2</v>
      </c>
      <c r="H19">
        <v>22</v>
      </c>
      <c r="I19">
        <v>14</v>
      </c>
      <c r="J19">
        <v>15</v>
      </c>
      <c r="K19">
        <v>70</v>
      </c>
      <c r="M19" t="s">
        <v>85</v>
      </c>
      <c r="N19" t="s">
        <v>184</v>
      </c>
      <c r="O19" t="s">
        <v>184</v>
      </c>
      <c r="P19" t="s">
        <v>184</v>
      </c>
      <c r="Q19" t="s">
        <v>184</v>
      </c>
      <c r="R19" t="s">
        <v>184</v>
      </c>
      <c r="S19" t="s">
        <v>184</v>
      </c>
      <c r="T19" t="s">
        <v>184</v>
      </c>
      <c r="U19" t="s">
        <v>184</v>
      </c>
    </row>
    <row r="20" spans="1:21" x14ac:dyDescent="0.25">
      <c r="A20">
        <v>476</v>
      </c>
      <c r="B20" t="s">
        <v>85</v>
      </c>
      <c r="C20">
        <v>791</v>
      </c>
      <c r="D20">
        <v>75</v>
      </c>
      <c r="E20">
        <v>1</v>
      </c>
      <c r="F20">
        <v>12</v>
      </c>
      <c r="G20">
        <v>1</v>
      </c>
      <c r="H20">
        <v>6</v>
      </c>
      <c r="I20">
        <v>6</v>
      </c>
      <c r="J20">
        <v>14</v>
      </c>
      <c r="K20">
        <v>771</v>
      </c>
      <c r="M20" t="s">
        <v>108</v>
      </c>
      <c r="N20" t="s">
        <v>184</v>
      </c>
      <c r="O20" t="s">
        <v>184</v>
      </c>
      <c r="P20" t="s">
        <v>184</v>
      </c>
      <c r="Q20" t="s">
        <v>184</v>
      </c>
      <c r="S20" t="s">
        <v>184</v>
      </c>
      <c r="T20" t="s">
        <v>184</v>
      </c>
      <c r="U20" t="s">
        <v>184</v>
      </c>
    </row>
    <row r="21" spans="1:21" x14ac:dyDescent="0.25">
      <c r="A21">
        <v>401</v>
      </c>
      <c r="B21" t="s">
        <v>85</v>
      </c>
      <c r="C21">
        <v>126</v>
      </c>
      <c r="D21">
        <v>2</v>
      </c>
      <c r="E21">
        <v>1</v>
      </c>
      <c r="F21">
        <v>1</v>
      </c>
      <c r="G21">
        <v>0</v>
      </c>
      <c r="H21">
        <v>1</v>
      </c>
      <c r="I21">
        <v>5</v>
      </c>
      <c r="J21">
        <v>2</v>
      </c>
      <c r="K21">
        <v>92</v>
      </c>
      <c r="M21" t="s">
        <v>77</v>
      </c>
      <c r="N21" t="s">
        <v>184</v>
      </c>
      <c r="O21" t="s">
        <v>184</v>
      </c>
      <c r="P21" t="s">
        <v>184</v>
      </c>
      <c r="S21" t="s">
        <v>184</v>
      </c>
    </row>
    <row r="22" spans="1:21" x14ac:dyDescent="0.25">
      <c r="A22">
        <v>788</v>
      </c>
      <c r="B22" t="s">
        <v>85</v>
      </c>
      <c r="C22">
        <v>0</v>
      </c>
      <c r="D22">
        <v>72</v>
      </c>
      <c r="E22">
        <v>0</v>
      </c>
      <c r="F22">
        <v>63</v>
      </c>
      <c r="G22">
        <v>0</v>
      </c>
      <c r="H22">
        <v>0</v>
      </c>
      <c r="I22">
        <v>0</v>
      </c>
      <c r="J22">
        <v>0</v>
      </c>
      <c r="K22">
        <v>4</v>
      </c>
      <c r="M22" t="s">
        <v>116</v>
      </c>
      <c r="O22" t="s">
        <v>184</v>
      </c>
    </row>
    <row r="23" spans="1:21" x14ac:dyDescent="0.25">
      <c r="B23" s="1" t="s">
        <v>85</v>
      </c>
      <c r="C23" s="1">
        <f>SUM(C19:C22)</f>
        <v>1199</v>
      </c>
      <c r="D23" s="1">
        <f t="shared" ref="D23:J23" si="6">SUM(D19:D22)</f>
        <v>405</v>
      </c>
      <c r="E23" s="1">
        <f t="shared" si="6"/>
        <v>1400</v>
      </c>
      <c r="F23" s="1">
        <f t="shared" si="6"/>
        <v>165</v>
      </c>
      <c r="G23" s="1">
        <f t="shared" si="6"/>
        <v>3</v>
      </c>
      <c r="H23" s="1">
        <f t="shared" si="6"/>
        <v>29</v>
      </c>
      <c r="I23" s="1">
        <f t="shared" si="6"/>
        <v>25</v>
      </c>
      <c r="J23" s="1">
        <f t="shared" si="6"/>
        <v>31</v>
      </c>
      <c r="M23" t="s">
        <v>80</v>
      </c>
      <c r="N23" t="s">
        <v>184</v>
      </c>
      <c r="O23" t="s">
        <v>184</v>
      </c>
      <c r="S23" t="s">
        <v>184</v>
      </c>
      <c r="T23" t="s">
        <v>184</v>
      </c>
      <c r="U23" t="s">
        <v>184</v>
      </c>
    </row>
    <row r="24" spans="1:21" x14ac:dyDescent="0.25">
      <c r="A24">
        <v>704</v>
      </c>
      <c r="B24" s="1" t="s">
        <v>108</v>
      </c>
      <c r="C24" s="61">
        <v>9</v>
      </c>
      <c r="D24" s="61">
        <v>124</v>
      </c>
      <c r="E24" s="61">
        <v>3</v>
      </c>
      <c r="F24" s="61">
        <v>1</v>
      </c>
      <c r="G24" s="61">
        <v>0</v>
      </c>
      <c r="H24" s="61">
        <v>6</v>
      </c>
      <c r="I24" s="61">
        <v>1</v>
      </c>
      <c r="J24" s="61">
        <v>1</v>
      </c>
      <c r="M24" t="s">
        <v>103</v>
      </c>
      <c r="N24" t="s">
        <v>184</v>
      </c>
      <c r="O24" t="s">
        <v>184</v>
      </c>
      <c r="P24" t="s">
        <v>184</v>
      </c>
      <c r="S24" t="s">
        <v>184</v>
      </c>
      <c r="T24" t="s">
        <v>184</v>
      </c>
      <c r="U24" t="s">
        <v>184</v>
      </c>
    </row>
    <row r="26" spans="1:21" x14ac:dyDescent="0.25">
      <c r="A26">
        <v>252</v>
      </c>
      <c r="B26" s="1" t="s">
        <v>77</v>
      </c>
      <c r="C26" s="61">
        <v>7</v>
      </c>
      <c r="D26" s="61">
        <v>3</v>
      </c>
      <c r="E26" s="61">
        <v>2</v>
      </c>
      <c r="F26" s="61">
        <v>0</v>
      </c>
      <c r="G26" s="61">
        <v>0</v>
      </c>
      <c r="H26" s="61">
        <v>1</v>
      </c>
      <c r="I26" s="61">
        <v>0</v>
      </c>
      <c r="J26" s="61">
        <v>0</v>
      </c>
    </row>
    <row r="28" spans="1:21" x14ac:dyDescent="0.25">
      <c r="A28">
        <v>672</v>
      </c>
      <c r="B28" t="s">
        <v>116</v>
      </c>
      <c r="C28" s="34">
        <v>0</v>
      </c>
      <c r="D28" s="34">
        <v>2</v>
      </c>
      <c r="E28" s="34">
        <v>0</v>
      </c>
      <c r="F28" s="34">
        <v>0</v>
      </c>
      <c r="G28" s="34">
        <v>0</v>
      </c>
      <c r="H28" s="34">
        <v>0</v>
      </c>
      <c r="I28" s="34">
        <v>0</v>
      </c>
      <c r="J28" s="34">
        <v>0</v>
      </c>
      <c r="K28" s="34"/>
      <c r="M28" t="s">
        <v>161</v>
      </c>
      <c r="O28" t="s">
        <v>185</v>
      </c>
      <c r="R28">
        <v>2</v>
      </c>
    </row>
    <row r="29" spans="1:21" x14ac:dyDescent="0.25">
      <c r="A29">
        <v>664</v>
      </c>
      <c r="B29" t="s">
        <v>116</v>
      </c>
      <c r="C29" s="34">
        <v>0</v>
      </c>
      <c r="D29" s="34">
        <v>0</v>
      </c>
      <c r="E29" s="34">
        <v>0</v>
      </c>
      <c r="F29" s="34">
        <v>0</v>
      </c>
      <c r="G29" s="34">
        <v>0</v>
      </c>
      <c r="H29" s="34">
        <v>0</v>
      </c>
      <c r="I29" s="34">
        <v>0</v>
      </c>
      <c r="J29" s="34">
        <v>0</v>
      </c>
      <c r="K29" s="34"/>
      <c r="M29" t="s">
        <v>162</v>
      </c>
      <c r="O29" t="s">
        <v>186</v>
      </c>
      <c r="R29">
        <v>1</v>
      </c>
    </row>
    <row r="30" spans="1:21" x14ac:dyDescent="0.25">
      <c r="B30" s="1" t="s">
        <v>116</v>
      </c>
      <c r="C30" s="61">
        <f>SUM(C28:C29)</f>
        <v>0</v>
      </c>
      <c r="D30" s="61">
        <f t="shared" ref="D30:J30" si="7">SUM(D28:D29)</f>
        <v>2</v>
      </c>
      <c r="E30" s="61">
        <f t="shared" si="7"/>
        <v>0</v>
      </c>
      <c r="F30" s="61">
        <f t="shared" si="7"/>
        <v>0</v>
      </c>
      <c r="G30" s="61">
        <f t="shared" si="7"/>
        <v>0</v>
      </c>
      <c r="H30" s="61">
        <f t="shared" si="7"/>
        <v>0</v>
      </c>
      <c r="I30" s="61">
        <f t="shared" si="7"/>
        <v>0</v>
      </c>
      <c r="J30" s="61">
        <f t="shared" si="7"/>
        <v>0</v>
      </c>
      <c r="K30" s="34"/>
      <c r="M30" t="s">
        <v>163</v>
      </c>
      <c r="O30" t="s">
        <v>187</v>
      </c>
      <c r="R30">
        <v>4</v>
      </c>
    </row>
    <row r="31" spans="1:21" x14ac:dyDescent="0.25">
      <c r="A31">
        <v>665</v>
      </c>
      <c r="B31" t="s">
        <v>80</v>
      </c>
      <c r="C31" s="34">
        <v>28</v>
      </c>
      <c r="D31" s="34">
        <v>22</v>
      </c>
      <c r="E31" s="34">
        <v>0</v>
      </c>
      <c r="F31" s="34">
        <v>0</v>
      </c>
      <c r="G31" s="34">
        <v>0</v>
      </c>
      <c r="H31" s="34">
        <v>6</v>
      </c>
      <c r="I31" s="34">
        <v>5</v>
      </c>
      <c r="J31" s="34">
        <v>2</v>
      </c>
      <c r="K31" s="34"/>
      <c r="M31" t="s">
        <v>164</v>
      </c>
      <c r="O31" t="s">
        <v>188</v>
      </c>
      <c r="R31">
        <v>7</v>
      </c>
    </row>
    <row r="32" spans="1:21" x14ac:dyDescent="0.25">
      <c r="A32">
        <v>457</v>
      </c>
      <c r="B32" t="s">
        <v>80</v>
      </c>
      <c r="C32" s="34">
        <v>0</v>
      </c>
      <c r="D32" s="34">
        <v>1</v>
      </c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/>
      <c r="M32" t="s">
        <v>165</v>
      </c>
      <c r="O32" t="s">
        <v>85</v>
      </c>
      <c r="R32">
        <v>8</v>
      </c>
    </row>
    <row r="33" spans="1:18" x14ac:dyDescent="0.25">
      <c r="B33" s="1" t="s">
        <v>80</v>
      </c>
      <c r="C33" s="61">
        <f>SUM(C31:C32)</f>
        <v>28</v>
      </c>
      <c r="D33" s="61">
        <f t="shared" ref="D33:J33" si="8">SUM(D31:D32)</f>
        <v>23</v>
      </c>
      <c r="E33" s="61">
        <f t="shared" si="8"/>
        <v>0</v>
      </c>
      <c r="F33" s="61">
        <f t="shared" si="8"/>
        <v>0</v>
      </c>
      <c r="G33" s="61">
        <f t="shared" si="8"/>
        <v>0</v>
      </c>
      <c r="H33" s="61">
        <f t="shared" si="8"/>
        <v>6</v>
      </c>
      <c r="I33" s="61">
        <f t="shared" si="8"/>
        <v>5</v>
      </c>
      <c r="J33" s="61">
        <f t="shared" si="8"/>
        <v>2</v>
      </c>
      <c r="M33" t="s">
        <v>166</v>
      </c>
      <c r="O33" t="s">
        <v>185</v>
      </c>
      <c r="R33">
        <v>3</v>
      </c>
    </row>
    <row r="34" spans="1:18" x14ac:dyDescent="0.25">
      <c r="A34">
        <v>369</v>
      </c>
      <c r="B34" t="s">
        <v>103</v>
      </c>
      <c r="C34">
        <v>105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M34" t="s">
        <v>167</v>
      </c>
      <c r="O34" t="s">
        <v>189</v>
      </c>
      <c r="R34">
        <v>5</v>
      </c>
    </row>
    <row r="35" spans="1:18" x14ac:dyDescent="0.25">
      <c r="A35">
        <v>682</v>
      </c>
      <c r="B35" t="s">
        <v>103</v>
      </c>
      <c r="C35">
        <v>12</v>
      </c>
      <c r="D35">
        <v>5</v>
      </c>
      <c r="E35">
        <v>1</v>
      </c>
      <c r="F35">
        <v>0</v>
      </c>
      <c r="G35">
        <v>0</v>
      </c>
      <c r="H35">
        <v>3</v>
      </c>
      <c r="I35">
        <v>4</v>
      </c>
      <c r="J35">
        <v>3</v>
      </c>
      <c r="M35" t="s">
        <v>168</v>
      </c>
      <c r="O35" t="s">
        <v>189</v>
      </c>
      <c r="R35">
        <v>6</v>
      </c>
    </row>
    <row r="36" spans="1:18" x14ac:dyDescent="0.25">
      <c r="B36" s="1" t="s">
        <v>103</v>
      </c>
      <c r="C36" s="61">
        <f>SUM(C34:C35)</f>
        <v>117</v>
      </c>
      <c r="D36" s="61">
        <f t="shared" ref="D36:J36" si="9">SUM(D34:D35)</f>
        <v>5</v>
      </c>
      <c r="E36" s="61">
        <f t="shared" si="9"/>
        <v>2</v>
      </c>
      <c r="F36" s="61">
        <f t="shared" si="9"/>
        <v>0</v>
      </c>
      <c r="G36" s="61">
        <f t="shared" si="9"/>
        <v>0</v>
      </c>
      <c r="H36" s="61">
        <f t="shared" si="9"/>
        <v>3</v>
      </c>
      <c r="I36" s="61">
        <f t="shared" si="9"/>
        <v>4</v>
      </c>
      <c r="J36" s="61">
        <f t="shared" si="9"/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8D47D-540F-4F03-9169-08BDABBB9EF9}">
  <dimension ref="A1:AI260"/>
  <sheetViews>
    <sheetView workbookViewId="0">
      <selection activeCell="AJ20" sqref="AJ20"/>
    </sheetView>
  </sheetViews>
  <sheetFormatPr defaultRowHeight="15" x14ac:dyDescent="0.25"/>
  <cols>
    <col min="10" max="15" width="0" hidden="1" customWidth="1"/>
    <col min="16" max="16" width="6.140625" customWidth="1"/>
  </cols>
  <sheetData>
    <row r="1" spans="1:35" x14ac:dyDescent="0.25">
      <c r="A1" s="1" t="s">
        <v>95</v>
      </c>
      <c r="B1" s="1" t="s">
        <v>190</v>
      </c>
      <c r="C1" s="1"/>
      <c r="D1" s="1" t="s">
        <v>152</v>
      </c>
      <c r="E1" s="1" t="s">
        <v>191</v>
      </c>
      <c r="F1" s="1" t="s">
        <v>192</v>
      </c>
      <c r="G1" s="1" t="s">
        <v>193</v>
      </c>
      <c r="H1" s="1" t="s">
        <v>194</v>
      </c>
      <c r="I1" s="1"/>
      <c r="J1" s="52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Q1" s="1" t="s">
        <v>191</v>
      </c>
      <c r="R1" s="1" t="s">
        <v>192</v>
      </c>
      <c r="S1" s="1" t="s">
        <v>193</v>
      </c>
      <c r="T1" s="1" t="s">
        <v>194</v>
      </c>
    </row>
    <row r="2" spans="1:35" x14ac:dyDescent="0.25">
      <c r="A2" s="37">
        <v>369</v>
      </c>
      <c r="B2">
        <f>SUM(Q2:T2)</f>
        <v>224</v>
      </c>
      <c r="C2" s="37"/>
      <c r="D2" s="37" t="s">
        <v>200</v>
      </c>
      <c r="E2" s="38">
        <f>(Q2/$B2)*100</f>
        <v>20.535714285714285</v>
      </c>
      <c r="F2" s="38">
        <f>(R2/$B2)*100</f>
        <v>74.107142857142861</v>
      </c>
      <c r="G2" s="38">
        <f>(S2/$B2)*100</f>
        <v>5.3571428571428568</v>
      </c>
      <c r="H2" s="38">
        <f>(T2/$B2)*100</f>
        <v>0</v>
      </c>
      <c r="J2" s="52"/>
      <c r="K2">
        <f>COUNTIFS(J:J,"&gt;=0.1",J:J,"&lt;=3.9")</f>
        <v>0</v>
      </c>
      <c r="L2">
        <f>COUNTIFS(J:J,"&gt;=4.0",J:J,"&lt;=6.9")</f>
        <v>0</v>
      </c>
      <c r="M2">
        <f>COUNTIFS(J:J,"&gt;=7.0",J:J,"&lt;=8.9")</f>
        <v>0</v>
      </c>
      <c r="N2">
        <f>COUNTIFS(J:J,"&gt;=9.0",J:J,"&lt;=10.0")</f>
        <v>0</v>
      </c>
      <c r="O2">
        <f>SUM(K2:N2)</f>
        <v>0</v>
      </c>
      <c r="Q2">
        <v>46</v>
      </c>
      <c r="R2">
        <v>166</v>
      </c>
      <c r="S2">
        <v>12</v>
      </c>
      <c r="T2">
        <v>0</v>
      </c>
      <c r="AB2" t="s">
        <v>191</v>
      </c>
      <c r="AC2" t="s">
        <v>192</v>
      </c>
      <c r="AD2" t="s">
        <v>193</v>
      </c>
      <c r="AE2" t="s">
        <v>194</v>
      </c>
      <c r="AG2" t="s">
        <v>201</v>
      </c>
    </row>
    <row r="3" spans="1:35" x14ac:dyDescent="0.25">
      <c r="A3" s="37">
        <v>682</v>
      </c>
      <c r="B3">
        <f t="shared" ref="B3:B13" si="0">SUM(Q3:T3)</f>
        <v>52</v>
      </c>
      <c r="C3" s="37"/>
      <c r="D3" s="37" t="s">
        <v>200</v>
      </c>
      <c r="E3" s="38">
        <f t="shared" ref="E3:F6" si="1">(Q3/$B3)*100</f>
        <v>5.7692307692307692</v>
      </c>
      <c r="F3" s="38">
        <f>(R3/$B3)*100</f>
        <v>65.384615384615387</v>
      </c>
      <c r="G3" s="38">
        <f t="shared" ref="G3:H6" si="2">(S3/$B3)*100</f>
        <v>19.230769230769234</v>
      </c>
      <c r="H3" s="38">
        <f t="shared" si="2"/>
        <v>9.6153846153846168</v>
      </c>
      <c r="I3" s="39">
        <f>SUM(B2:B3)</f>
        <v>276</v>
      </c>
      <c r="J3" s="52"/>
      <c r="Q3">
        <v>3</v>
      </c>
      <c r="R3">
        <v>34</v>
      </c>
      <c r="S3">
        <v>10</v>
      </c>
      <c r="T3">
        <v>5</v>
      </c>
      <c r="V3">
        <f>SUM(Q2:Q3)</f>
        <v>49</v>
      </c>
      <c r="W3">
        <f>SUM(R2:R3)</f>
        <v>200</v>
      </c>
      <c r="X3">
        <f>SUM(S2:S3)</f>
        <v>22</v>
      </c>
      <c r="Y3">
        <f>SUM(T2:T3)</f>
        <v>5</v>
      </c>
      <c r="AA3">
        <f>SUM(V3:Y3)</f>
        <v>276</v>
      </c>
      <c r="AB3" s="53">
        <f>V3/$I3</f>
        <v>0.17753623188405798</v>
      </c>
      <c r="AC3" s="53">
        <f t="shared" ref="AC3:AE3" si="3">W3/$I3</f>
        <v>0.72463768115942029</v>
      </c>
      <c r="AD3" s="53">
        <f t="shared" si="3"/>
        <v>7.9710144927536225E-2</v>
      </c>
      <c r="AE3" s="53">
        <f t="shared" si="3"/>
        <v>1.8115942028985508E-2</v>
      </c>
      <c r="AF3" t="s">
        <v>200</v>
      </c>
      <c r="AG3" s="40">
        <f>SUM(X3:Y3)/$I3</f>
        <v>9.7826086956521743E-2</v>
      </c>
      <c r="AI3" s="7">
        <f>SUM(AB3:AE3)</f>
        <v>1</v>
      </c>
    </row>
    <row r="4" spans="1:35" x14ac:dyDescent="0.25">
      <c r="A4" s="41">
        <v>704</v>
      </c>
      <c r="B4">
        <f>SUM(Q4:T4)</f>
        <v>172</v>
      </c>
      <c r="C4" s="41"/>
      <c r="D4" s="41" t="s">
        <v>202</v>
      </c>
      <c r="E4" s="42">
        <f t="shared" si="1"/>
        <v>1.7441860465116279</v>
      </c>
      <c r="F4" s="42">
        <f t="shared" si="1"/>
        <v>77.906976744186053</v>
      </c>
      <c r="G4" s="42">
        <f t="shared" si="2"/>
        <v>6.9767441860465116</v>
      </c>
      <c r="H4" s="42">
        <f t="shared" si="2"/>
        <v>13.372093023255813</v>
      </c>
      <c r="I4">
        <v>172</v>
      </c>
      <c r="J4" s="52"/>
      <c r="Q4">
        <v>3</v>
      </c>
      <c r="R4">
        <v>134</v>
      </c>
      <c r="S4">
        <v>12</v>
      </c>
      <c r="T4">
        <v>23</v>
      </c>
      <c r="V4">
        <v>3</v>
      </c>
      <c r="W4">
        <v>134</v>
      </c>
      <c r="X4">
        <v>12</v>
      </c>
      <c r="Y4">
        <v>23</v>
      </c>
      <c r="AA4">
        <f>SUM(V4:Y4)</f>
        <v>172</v>
      </c>
      <c r="AB4" s="54">
        <f>V4/$I4</f>
        <v>1.7441860465116279E-2</v>
      </c>
      <c r="AC4" s="54">
        <f t="shared" ref="AB4:AE5" si="4">W4/$I4</f>
        <v>0.77906976744186052</v>
      </c>
      <c r="AD4" s="54">
        <f t="shared" si="4"/>
        <v>6.9767441860465115E-2</v>
      </c>
      <c r="AE4" s="54">
        <f t="shared" si="4"/>
        <v>0.13372093023255813</v>
      </c>
      <c r="AF4" t="s">
        <v>202</v>
      </c>
      <c r="AG4" s="40">
        <f t="shared" ref="AG4:AG5" si="5">SUM(X4:Y4)/$I4</f>
        <v>0.20348837209302326</v>
      </c>
      <c r="AI4" s="7">
        <f t="shared" ref="AI4:AI12" si="6">SUM(AB4:AE4)</f>
        <v>1</v>
      </c>
    </row>
    <row r="5" spans="1:35" x14ac:dyDescent="0.25">
      <c r="A5" s="43">
        <v>252</v>
      </c>
      <c r="B5">
        <f t="shared" si="0"/>
        <v>39</v>
      </c>
      <c r="C5" s="43"/>
      <c r="D5" s="43" t="s">
        <v>203</v>
      </c>
      <c r="E5" s="44">
        <f t="shared" si="1"/>
        <v>7.6923076923076925</v>
      </c>
      <c r="F5" s="44">
        <f t="shared" si="1"/>
        <v>64.102564102564102</v>
      </c>
      <c r="G5" s="44">
        <f t="shared" si="2"/>
        <v>23.076923076923077</v>
      </c>
      <c r="H5" s="44">
        <f t="shared" si="2"/>
        <v>5.1282051282051277</v>
      </c>
      <c r="I5">
        <v>39</v>
      </c>
      <c r="J5" s="52"/>
      <c r="Q5">
        <v>3</v>
      </c>
      <c r="R5">
        <v>25</v>
      </c>
      <c r="S5">
        <v>9</v>
      </c>
      <c r="T5">
        <v>2</v>
      </c>
      <c r="V5">
        <v>3</v>
      </c>
      <c r="W5">
        <v>25</v>
      </c>
      <c r="X5">
        <v>9</v>
      </c>
      <c r="Y5">
        <v>2</v>
      </c>
      <c r="AA5">
        <f>SUM(V5:Y5)</f>
        <v>39</v>
      </c>
      <c r="AB5" s="55">
        <f t="shared" si="4"/>
        <v>7.6923076923076927E-2</v>
      </c>
      <c r="AC5" s="55">
        <f t="shared" si="4"/>
        <v>0.64102564102564108</v>
      </c>
      <c r="AD5" s="55">
        <f t="shared" si="4"/>
        <v>0.23076923076923078</v>
      </c>
      <c r="AE5" s="55">
        <f t="shared" si="4"/>
        <v>5.128205128205128E-2</v>
      </c>
      <c r="AF5" t="s">
        <v>203</v>
      </c>
      <c r="AG5" s="40">
        <f t="shared" si="5"/>
        <v>0.28205128205128205</v>
      </c>
      <c r="AI5" s="7">
        <f t="shared" si="6"/>
        <v>1.0000000000000002</v>
      </c>
    </row>
    <row r="6" spans="1:35" x14ac:dyDescent="0.25">
      <c r="A6" s="45">
        <v>665</v>
      </c>
      <c r="B6">
        <f t="shared" si="0"/>
        <v>165</v>
      </c>
      <c r="C6" s="45"/>
      <c r="D6" s="45" t="s">
        <v>204</v>
      </c>
      <c r="E6" s="46">
        <f t="shared" si="1"/>
        <v>32.727272727272727</v>
      </c>
      <c r="F6" s="46">
        <f t="shared" si="1"/>
        <v>49.090909090909093</v>
      </c>
      <c r="G6" s="46">
        <f t="shared" si="2"/>
        <v>11.515151515151516</v>
      </c>
      <c r="H6" s="46">
        <f t="shared" si="2"/>
        <v>6.666666666666667</v>
      </c>
      <c r="I6">
        <v>172</v>
      </c>
      <c r="J6" s="52"/>
      <c r="Q6">
        <v>54</v>
      </c>
      <c r="R6">
        <v>81</v>
      </c>
      <c r="S6">
        <v>19</v>
      </c>
      <c r="T6">
        <v>11</v>
      </c>
      <c r="AB6" s="56">
        <f>V7/$I6</f>
        <v>0.31395348837209303</v>
      </c>
      <c r="AC6" s="56">
        <f>W7/$I6</f>
        <v>0.51162790697674421</v>
      </c>
      <c r="AD6" s="56">
        <f>X7/$I6</f>
        <v>0.11046511627906977</v>
      </c>
      <c r="AE6" s="56">
        <f>Y7/$I6</f>
        <v>6.3953488372093026E-2</v>
      </c>
      <c r="AF6" t="s">
        <v>204</v>
      </c>
      <c r="AG6" s="40">
        <f>SUM(X7:Y7)/$I6</f>
        <v>0.1744186046511628</v>
      </c>
      <c r="AI6" s="7">
        <f t="shared" si="6"/>
        <v>1</v>
      </c>
    </row>
    <row r="7" spans="1:35" x14ac:dyDescent="0.25">
      <c r="A7" s="45">
        <v>457</v>
      </c>
      <c r="B7">
        <f t="shared" si="0"/>
        <v>7</v>
      </c>
      <c r="C7" s="45">
        <v>0</v>
      </c>
      <c r="D7" s="45" t="s">
        <v>204</v>
      </c>
      <c r="E7" s="45"/>
      <c r="F7" s="45"/>
      <c r="G7" s="45"/>
      <c r="H7" s="45"/>
      <c r="J7" s="52"/>
      <c r="Q7">
        <v>0</v>
      </c>
      <c r="R7">
        <v>7</v>
      </c>
      <c r="S7">
        <v>0</v>
      </c>
      <c r="T7">
        <v>0</v>
      </c>
      <c r="V7">
        <f>SUM(Q6:Q7)</f>
        <v>54</v>
      </c>
      <c r="W7">
        <f t="shared" ref="W7:Y7" si="7">SUM(R6:R7)</f>
        <v>88</v>
      </c>
      <c r="X7">
        <f t="shared" si="7"/>
        <v>19</v>
      </c>
      <c r="Y7">
        <f t="shared" si="7"/>
        <v>11</v>
      </c>
      <c r="AA7">
        <f t="shared" ref="AA7:AA11" si="8">SUM(V7:Y7)</f>
        <v>172</v>
      </c>
      <c r="AB7" s="57"/>
      <c r="AC7" s="2"/>
      <c r="AD7" s="2"/>
      <c r="AE7" s="2"/>
      <c r="AG7" s="40"/>
      <c r="AI7" s="7">
        <f t="shared" si="6"/>
        <v>0</v>
      </c>
    </row>
    <row r="8" spans="1:35" x14ac:dyDescent="0.25">
      <c r="A8" s="47">
        <v>190</v>
      </c>
      <c r="B8">
        <f t="shared" si="0"/>
        <v>1525</v>
      </c>
      <c r="C8" s="47"/>
      <c r="D8" s="47" t="s">
        <v>205</v>
      </c>
      <c r="E8" s="48">
        <f t="shared" ref="E8:H13" si="9">(Q8/$B8)*100</f>
        <v>3.278688524590164</v>
      </c>
      <c r="F8" s="48">
        <f t="shared" si="9"/>
        <v>69.836065573770483</v>
      </c>
      <c r="G8" s="48">
        <f t="shared" si="9"/>
        <v>19.737704918032787</v>
      </c>
      <c r="H8" s="48">
        <f t="shared" si="9"/>
        <v>7.1475409836065564</v>
      </c>
      <c r="J8" s="52"/>
      <c r="Q8">
        <v>50</v>
      </c>
      <c r="R8">
        <v>1065</v>
      </c>
      <c r="S8">
        <v>301</v>
      </c>
      <c r="T8">
        <v>109</v>
      </c>
      <c r="AB8" s="57"/>
      <c r="AC8" s="2"/>
      <c r="AD8" s="2"/>
      <c r="AE8" s="2"/>
      <c r="AG8" s="40"/>
      <c r="AI8" s="7">
        <f t="shared" si="6"/>
        <v>0</v>
      </c>
    </row>
    <row r="9" spans="1:35" x14ac:dyDescent="0.25">
      <c r="A9" s="47">
        <v>476</v>
      </c>
      <c r="B9">
        <f t="shared" si="0"/>
        <v>1630</v>
      </c>
      <c r="C9" s="47"/>
      <c r="D9" s="47" t="s">
        <v>205</v>
      </c>
      <c r="E9" s="48">
        <f t="shared" si="9"/>
        <v>7.484662576687116</v>
      </c>
      <c r="F9" s="48">
        <f t="shared" si="9"/>
        <v>75.766871165644162</v>
      </c>
      <c r="G9" s="48">
        <f t="shared" si="9"/>
        <v>12.515337423312884</v>
      </c>
      <c r="H9" s="48">
        <f t="shared" si="9"/>
        <v>4.2331288343558278</v>
      </c>
      <c r="J9" s="52"/>
      <c r="Q9">
        <v>122</v>
      </c>
      <c r="R9">
        <v>1235</v>
      </c>
      <c r="S9">
        <v>204</v>
      </c>
      <c r="T9">
        <v>69</v>
      </c>
      <c r="AB9" s="57"/>
      <c r="AC9" s="2"/>
      <c r="AD9" s="2"/>
      <c r="AE9" s="2"/>
      <c r="AG9" s="40"/>
      <c r="AI9" s="7">
        <f t="shared" si="6"/>
        <v>0</v>
      </c>
    </row>
    <row r="10" spans="1:35" x14ac:dyDescent="0.25">
      <c r="A10" s="47">
        <v>401</v>
      </c>
      <c r="B10">
        <f t="shared" si="0"/>
        <v>228</v>
      </c>
      <c r="C10" s="47"/>
      <c r="D10" s="47" t="s">
        <v>205</v>
      </c>
      <c r="E10" s="48">
        <f t="shared" si="9"/>
        <v>11.403508771929824</v>
      </c>
      <c r="F10" s="48">
        <f t="shared" si="9"/>
        <v>69.298245614035096</v>
      </c>
      <c r="G10" s="48">
        <f t="shared" si="9"/>
        <v>19.298245614035086</v>
      </c>
      <c r="H10" s="48">
        <f t="shared" si="9"/>
        <v>0</v>
      </c>
      <c r="J10" s="52"/>
      <c r="Q10">
        <v>26</v>
      </c>
      <c r="R10">
        <v>158</v>
      </c>
      <c r="S10">
        <v>44</v>
      </c>
      <c r="T10">
        <v>0</v>
      </c>
      <c r="AB10" s="58">
        <f>V11/$I11</f>
        <v>5.722543352601156E-2</v>
      </c>
      <c r="AC10" s="58">
        <f>W11/$I11</f>
        <v>0.71820809248554918</v>
      </c>
      <c r="AD10" s="58">
        <f>X11/$I11</f>
        <v>0.15895953757225434</v>
      </c>
      <c r="AE10" s="58">
        <f>Y11/$I11</f>
        <v>6.5606936416184966E-2</v>
      </c>
      <c r="AF10" t="s">
        <v>205</v>
      </c>
      <c r="AG10" s="40">
        <f>SUM(X11:Y11)/$I11</f>
        <v>0.22456647398843932</v>
      </c>
      <c r="AI10" s="7">
        <f t="shared" si="6"/>
        <v>1</v>
      </c>
    </row>
    <row r="11" spans="1:35" x14ac:dyDescent="0.25">
      <c r="A11" s="47">
        <v>788</v>
      </c>
      <c r="B11">
        <f t="shared" si="0"/>
        <v>77</v>
      </c>
      <c r="C11" s="47"/>
      <c r="D11" s="47" t="s">
        <v>205</v>
      </c>
      <c r="E11" s="48">
        <f t="shared" si="9"/>
        <v>0</v>
      </c>
      <c r="F11" s="48">
        <f t="shared" si="9"/>
        <v>35.064935064935064</v>
      </c>
      <c r="G11" s="48">
        <f t="shared" si="9"/>
        <v>1.2987012987012987</v>
      </c>
      <c r="H11" s="48">
        <f t="shared" si="9"/>
        <v>63.636363636363633</v>
      </c>
      <c r="I11" s="39">
        <f>SUM(B8:B11)</f>
        <v>3460</v>
      </c>
      <c r="J11" s="52"/>
      <c r="Q11">
        <v>0</v>
      </c>
      <c r="R11">
        <v>27</v>
      </c>
      <c r="S11">
        <v>1</v>
      </c>
      <c r="T11">
        <v>49</v>
      </c>
      <c r="V11">
        <f>SUM(Q8:Q11)</f>
        <v>198</v>
      </c>
      <c r="W11">
        <f>SUM(R8:R11)</f>
        <v>2485</v>
      </c>
      <c r="X11">
        <f>SUM(S8:S11)</f>
        <v>550</v>
      </c>
      <c r="Y11">
        <f>SUM(T8:T11)</f>
        <v>227</v>
      </c>
      <c r="AA11">
        <f t="shared" si="8"/>
        <v>3460</v>
      </c>
      <c r="AB11" s="57"/>
      <c r="AC11" s="2"/>
      <c r="AD11" s="2"/>
      <c r="AE11" s="2"/>
      <c r="AG11" s="40"/>
      <c r="AI11" s="7">
        <f t="shared" si="6"/>
        <v>0</v>
      </c>
    </row>
    <row r="12" spans="1:35" x14ac:dyDescent="0.25">
      <c r="A12" s="49">
        <v>672</v>
      </c>
      <c r="B12">
        <f t="shared" si="0"/>
        <v>15</v>
      </c>
      <c r="C12" s="49"/>
      <c r="D12" s="49" t="s">
        <v>206</v>
      </c>
      <c r="E12" s="50">
        <f t="shared" si="9"/>
        <v>6.666666666666667</v>
      </c>
      <c r="F12" s="50">
        <f t="shared" si="9"/>
        <v>46.666666666666664</v>
      </c>
      <c r="G12" s="50">
        <f t="shared" si="9"/>
        <v>40</v>
      </c>
      <c r="H12" s="50">
        <f t="shared" si="9"/>
        <v>6.666666666666667</v>
      </c>
      <c r="J12" s="52"/>
      <c r="Q12">
        <v>1</v>
      </c>
      <c r="R12">
        <v>7</v>
      </c>
      <c r="S12">
        <v>6</v>
      </c>
      <c r="T12">
        <v>1</v>
      </c>
      <c r="AB12" s="59">
        <f>V13/$I13</f>
        <v>5.8823529411764705E-2</v>
      </c>
      <c r="AC12" s="59">
        <f>W13/$I13</f>
        <v>0.47058823529411764</v>
      </c>
      <c r="AD12" s="59">
        <f>X13/$I13</f>
        <v>0.35294117647058826</v>
      </c>
      <c r="AE12" s="59">
        <f>Y13/$I13</f>
        <v>0.11764705882352941</v>
      </c>
      <c r="AF12" t="s">
        <v>206</v>
      </c>
      <c r="AG12" s="40">
        <f>SUM(X13:Y13)/$I13</f>
        <v>0.47058823529411764</v>
      </c>
      <c r="AI12" s="7">
        <f t="shared" si="6"/>
        <v>1</v>
      </c>
    </row>
    <row r="13" spans="1:35" x14ac:dyDescent="0.25">
      <c r="A13" s="49">
        <v>664</v>
      </c>
      <c r="B13">
        <f t="shared" si="0"/>
        <v>2</v>
      </c>
      <c r="C13" s="49"/>
      <c r="D13" s="49" t="s">
        <v>206</v>
      </c>
      <c r="E13" s="50">
        <f t="shared" si="9"/>
        <v>0</v>
      </c>
      <c r="F13" s="50">
        <f t="shared" si="9"/>
        <v>50</v>
      </c>
      <c r="G13" s="50">
        <f t="shared" si="9"/>
        <v>0</v>
      </c>
      <c r="H13" s="50">
        <f t="shared" si="9"/>
        <v>50</v>
      </c>
      <c r="I13">
        <v>17</v>
      </c>
      <c r="J13" s="52"/>
      <c r="Q13">
        <v>0</v>
      </c>
      <c r="R13">
        <v>1</v>
      </c>
      <c r="S13">
        <v>0</v>
      </c>
      <c r="T13">
        <v>1</v>
      </c>
      <c r="V13">
        <f>SUM(Q12:Q13)</f>
        <v>1</v>
      </c>
      <c r="W13">
        <f>SUM(R12:R13)</f>
        <v>8</v>
      </c>
      <c r="X13">
        <f>SUM(S12:S13)</f>
        <v>6</v>
      </c>
      <c r="Y13">
        <f>SUM(T12:T13)</f>
        <v>2</v>
      </c>
      <c r="AA13">
        <f>SUM(V13:Y13)</f>
        <v>17</v>
      </c>
    </row>
    <row r="14" spans="1:35" x14ac:dyDescent="0.25">
      <c r="J14" s="52"/>
      <c r="Q14">
        <f>SUM(Q2:Q13)</f>
        <v>308</v>
      </c>
      <c r="R14">
        <f>SUM(R2:R13)</f>
        <v>2940</v>
      </c>
      <c r="S14">
        <f>SUM(S2:S13)</f>
        <v>618</v>
      </c>
      <c r="T14">
        <f>SUM(T2:T13)</f>
        <v>270</v>
      </c>
      <c r="V14">
        <f>SUM(Q2:T13)</f>
        <v>4136</v>
      </c>
    </row>
    <row r="15" spans="1:35" x14ac:dyDescent="0.25">
      <c r="J15" s="52"/>
      <c r="Q15" s="51">
        <f>Q14/4136</f>
        <v>7.4468085106382975E-2</v>
      </c>
      <c r="R15" s="51">
        <f t="shared" ref="R15:T15" si="10">R14/4136</f>
        <v>0.71083172147001938</v>
      </c>
      <c r="S15" s="51">
        <f t="shared" si="10"/>
        <v>0.14941972920696325</v>
      </c>
      <c r="T15" s="51">
        <f t="shared" si="10"/>
        <v>6.5280464216634429E-2</v>
      </c>
    </row>
    <row r="16" spans="1:35" x14ac:dyDescent="0.25">
      <c r="B16" t="s">
        <v>207</v>
      </c>
      <c r="J16" s="52"/>
    </row>
    <row r="17" spans="2:26" x14ac:dyDescent="0.25">
      <c r="B17" t="s">
        <v>208</v>
      </c>
      <c r="J17" s="52"/>
      <c r="W17">
        <v>0</v>
      </c>
      <c r="X17">
        <v>7</v>
      </c>
      <c r="Y17">
        <v>0</v>
      </c>
      <c r="Z17">
        <v>0</v>
      </c>
    </row>
    <row r="18" spans="2:26" x14ac:dyDescent="0.25">
      <c r="B18" t="s">
        <v>209</v>
      </c>
      <c r="J18" s="52"/>
    </row>
    <row r="19" spans="2:26" x14ac:dyDescent="0.25">
      <c r="B19" t="s">
        <v>210</v>
      </c>
      <c r="J19" s="52"/>
    </row>
    <row r="20" spans="2:26" x14ac:dyDescent="0.25">
      <c r="J20" s="52"/>
    </row>
    <row r="21" spans="2:26" x14ac:dyDescent="0.25">
      <c r="J21" s="52"/>
    </row>
    <row r="22" spans="2:26" x14ac:dyDescent="0.25">
      <c r="J22" s="52"/>
      <c r="O22" s="1" t="s">
        <v>211</v>
      </c>
      <c r="P22" s="1"/>
      <c r="Q22" s="1"/>
      <c r="R22" s="1"/>
      <c r="T22" t="s">
        <v>212</v>
      </c>
    </row>
    <row r="23" spans="2:26" x14ac:dyDescent="0.25">
      <c r="J23" s="52"/>
      <c r="N23" s="37">
        <v>369</v>
      </c>
      <c r="O23">
        <v>32</v>
      </c>
      <c r="P23">
        <v>152</v>
      </c>
      <c r="Q23">
        <v>12</v>
      </c>
      <c r="R23">
        <v>0</v>
      </c>
      <c r="T23">
        <v>14</v>
      </c>
      <c r="U23">
        <v>14</v>
      </c>
      <c r="V23">
        <v>0</v>
      </c>
      <c r="W23">
        <v>0</v>
      </c>
    </row>
    <row r="24" spans="2:26" x14ac:dyDescent="0.25">
      <c r="J24" s="52"/>
      <c r="N24" s="37">
        <v>682</v>
      </c>
      <c r="O24">
        <v>2</v>
      </c>
      <c r="P24">
        <v>26</v>
      </c>
      <c r="Q24">
        <v>10</v>
      </c>
      <c r="R24">
        <v>5</v>
      </c>
      <c r="T24">
        <v>1</v>
      </c>
      <c r="U24">
        <v>8</v>
      </c>
      <c r="V24">
        <v>0</v>
      </c>
      <c r="W24">
        <v>0</v>
      </c>
    </row>
    <row r="25" spans="2:26" x14ac:dyDescent="0.25">
      <c r="J25" s="52"/>
      <c r="N25" s="41">
        <v>704</v>
      </c>
      <c r="O25">
        <v>2</v>
      </c>
      <c r="P25">
        <v>130</v>
      </c>
      <c r="Q25">
        <v>10</v>
      </c>
      <c r="R25">
        <v>23</v>
      </c>
      <c r="T25">
        <v>1</v>
      </c>
      <c r="U25">
        <v>4</v>
      </c>
      <c r="V25">
        <v>2</v>
      </c>
      <c r="W25">
        <v>0</v>
      </c>
    </row>
    <row r="26" spans="2:26" x14ac:dyDescent="0.25">
      <c r="J26" s="52"/>
      <c r="N26" s="43">
        <v>252</v>
      </c>
      <c r="O26">
        <v>2</v>
      </c>
      <c r="P26">
        <v>19</v>
      </c>
      <c r="Q26">
        <v>8</v>
      </c>
      <c r="R26">
        <v>2</v>
      </c>
      <c r="T26">
        <v>1</v>
      </c>
      <c r="U26">
        <v>6</v>
      </c>
      <c r="V26">
        <v>1</v>
      </c>
      <c r="W26">
        <v>0</v>
      </c>
    </row>
    <row r="27" spans="2:26" x14ac:dyDescent="0.25">
      <c r="J27" s="52"/>
      <c r="N27" s="45">
        <v>665</v>
      </c>
      <c r="O27">
        <v>53</v>
      </c>
      <c r="P27">
        <v>69</v>
      </c>
      <c r="Q27">
        <v>15</v>
      </c>
      <c r="R27">
        <v>11</v>
      </c>
      <c r="T27">
        <v>1</v>
      </c>
      <c r="U27">
        <v>12</v>
      </c>
      <c r="V27">
        <v>4</v>
      </c>
      <c r="W27">
        <v>0</v>
      </c>
    </row>
    <row r="28" spans="2:26" x14ac:dyDescent="0.25">
      <c r="J28" s="52"/>
      <c r="N28" s="45">
        <v>457</v>
      </c>
      <c r="O28">
        <v>0</v>
      </c>
      <c r="P28">
        <v>0</v>
      </c>
      <c r="Q28">
        <v>0</v>
      </c>
      <c r="R28">
        <v>0</v>
      </c>
      <c r="T28">
        <v>0</v>
      </c>
      <c r="U28">
        <v>7</v>
      </c>
      <c r="V28">
        <v>0</v>
      </c>
      <c r="W28">
        <v>0</v>
      </c>
    </row>
    <row r="29" spans="2:26" x14ac:dyDescent="0.25">
      <c r="J29" s="52"/>
      <c r="N29" s="47">
        <v>190</v>
      </c>
      <c r="O29">
        <v>44</v>
      </c>
      <c r="P29">
        <v>1006</v>
      </c>
      <c r="Q29">
        <v>261</v>
      </c>
      <c r="R29">
        <v>107</v>
      </c>
      <c r="T29">
        <v>6</v>
      </c>
      <c r="U29">
        <v>59</v>
      </c>
      <c r="V29">
        <v>40</v>
      </c>
      <c r="W29">
        <v>2</v>
      </c>
    </row>
    <row r="30" spans="2:26" x14ac:dyDescent="0.25">
      <c r="J30" s="52"/>
      <c r="N30" s="47">
        <v>476</v>
      </c>
      <c r="O30">
        <v>104</v>
      </c>
      <c r="P30">
        <v>1016</v>
      </c>
      <c r="Q30">
        <v>183</v>
      </c>
      <c r="R30">
        <v>68</v>
      </c>
      <c r="T30">
        <v>18</v>
      </c>
      <c r="U30">
        <v>219</v>
      </c>
      <c r="V30">
        <v>21</v>
      </c>
      <c r="W30">
        <v>1</v>
      </c>
    </row>
    <row r="31" spans="2:26" x14ac:dyDescent="0.25">
      <c r="J31" s="52"/>
      <c r="N31" s="47">
        <v>401</v>
      </c>
      <c r="O31">
        <v>21</v>
      </c>
      <c r="P31">
        <v>136</v>
      </c>
      <c r="Q31">
        <v>38</v>
      </c>
      <c r="R31">
        <v>0</v>
      </c>
      <c r="T31">
        <v>5</v>
      </c>
      <c r="U31">
        <v>22</v>
      </c>
      <c r="V31">
        <v>6</v>
      </c>
      <c r="W31">
        <v>0</v>
      </c>
    </row>
    <row r="32" spans="2:26" x14ac:dyDescent="0.25">
      <c r="J32" s="52"/>
      <c r="N32" s="47">
        <v>788</v>
      </c>
      <c r="O32">
        <v>0</v>
      </c>
      <c r="P32">
        <v>7</v>
      </c>
      <c r="Q32">
        <v>1</v>
      </c>
      <c r="R32">
        <v>5</v>
      </c>
      <c r="T32">
        <v>0</v>
      </c>
      <c r="U32">
        <v>20</v>
      </c>
      <c r="V32">
        <v>0</v>
      </c>
      <c r="W32">
        <v>44</v>
      </c>
    </row>
    <row r="33" spans="10:23" x14ac:dyDescent="0.25">
      <c r="J33" s="52"/>
      <c r="N33" s="49">
        <v>672</v>
      </c>
      <c r="O33">
        <v>1</v>
      </c>
      <c r="P33">
        <v>4</v>
      </c>
      <c r="Q33">
        <v>6</v>
      </c>
      <c r="R33">
        <v>1</v>
      </c>
      <c r="T33">
        <v>0</v>
      </c>
      <c r="U33">
        <v>3</v>
      </c>
      <c r="V33">
        <v>0</v>
      </c>
      <c r="W33">
        <v>0</v>
      </c>
    </row>
    <row r="34" spans="10:23" x14ac:dyDescent="0.25">
      <c r="J34" s="52"/>
      <c r="N34" s="49">
        <v>664</v>
      </c>
      <c r="O34">
        <v>0</v>
      </c>
      <c r="P34">
        <v>1</v>
      </c>
      <c r="Q34">
        <v>0</v>
      </c>
      <c r="R34">
        <v>1</v>
      </c>
      <c r="T34">
        <v>0</v>
      </c>
      <c r="U34">
        <v>0</v>
      </c>
      <c r="V34">
        <v>0</v>
      </c>
      <c r="W34">
        <v>0</v>
      </c>
    </row>
    <row r="35" spans="10:23" x14ac:dyDescent="0.25">
      <c r="J35" s="52"/>
    </row>
    <row r="36" spans="10:23" x14ac:dyDescent="0.25">
      <c r="J36" s="52"/>
      <c r="O36" s="51"/>
      <c r="P36" s="51"/>
      <c r="Q36" s="51"/>
      <c r="R36" s="51"/>
    </row>
    <row r="37" spans="10:23" x14ac:dyDescent="0.25">
      <c r="J37" s="52"/>
    </row>
    <row r="38" spans="10:23" x14ac:dyDescent="0.25">
      <c r="J38" s="52"/>
    </row>
    <row r="39" spans="10:23" x14ac:dyDescent="0.25">
      <c r="J39" s="52"/>
    </row>
    <row r="40" spans="10:23" x14ac:dyDescent="0.25">
      <c r="J40" s="52"/>
    </row>
    <row r="41" spans="10:23" x14ac:dyDescent="0.25">
      <c r="J41" s="52"/>
    </row>
    <row r="42" spans="10:23" x14ac:dyDescent="0.25">
      <c r="J42" s="52"/>
    </row>
    <row r="43" spans="10:23" x14ac:dyDescent="0.25">
      <c r="J43" s="52"/>
    </row>
    <row r="44" spans="10:23" x14ac:dyDescent="0.25">
      <c r="J44" s="52"/>
    </row>
    <row r="45" spans="10:23" x14ac:dyDescent="0.25">
      <c r="J45" s="52"/>
    </row>
    <row r="46" spans="10:23" x14ac:dyDescent="0.25">
      <c r="J46" s="52"/>
    </row>
    <row r="47" spans="10:23" x14ac:dyDescent="0.25">
      <c r="J47" s="52"/>
    </row>
    <row r="48" spans="10:23" x14ac:dyDescent="0.25">
      <c r="J48" s="52"/>
    </row>
    <row r="49" spans="10:10" x14ac:dyDescent="0.25">
      <c r="J49" s="52"/>
    </row>
    <row r="50" spans="10:10" x14ac:dyDescent="0.25">
      <c r="J50" s="52"/>
    </row>
    <row r="51" spans="10:10" x14ac:dyDescent="0.25">
      <c r="J51" s="52"/>
    </row>
    <row r="52" spans="10:10" x14ac:dyDescent="0.25">
      <c r="J52" s="52"/>
    </row>
    <row r="53" spans="10:10" x14ac:dyDescent="0.25">
      <c r="J53" s="52"/>
    </row>
    <row r="54" spans="10:10" x14ac:dyDescent="0.25">
      <c r="J54" s="52"/>
    </row>
    <row r="55" spans="10:10" x14ac:dyDescent="0.25">
      <c r="J55" s="52"/>
    </row>
    <row r="56" spans="10:10" x14ac:dyDescent="0.25">
      <c r="J56" s="52"/>
    </row>
    <row r="57" spans="10:10" x14ac:dyDescent="0.25">
      <c r="J57" s="52"/>
    </row>
    <row r="58" spans="10:10" x14ac:dyDescent="0.25">
      <c r="J58" s="52"/>
    </row>
    <row r="59" spans="10:10" x14ac:dyDescent="0.25">
      <c r="J59" s="52"/>
    </row>
    <row r="60" spans="10:10" x14ac:dyDescent="0.25">
      <c r="J60" s="52"/>
    </row>
    <row r="61" spans="10:10" x14ac:dyDescent="0.25">
      <c r="J61" s="52"/>
    </row>
    <row r="62" spans="10:10" x14ac:dyDescent="0.25">
      <c r="J62" s="52"/>
    </row>
    <row r="63" spans="10:10" x14ac:dyDescent="0.25">
      <c r="J63" s="52"/>
    </row>
    <row r="64" spans="10:10" x14ac:dyDescent="0.25">
      <c r="J64" s="52"/>
    </row>
    <row r="65" spans="10:10" x14ac:dyDescent="0.25">
      <c r="J65" s="52"/>
    </row>
    <row r="66" spans="10:10" x14ac:dyDescent="0.25">
      <c r="J66" s="52"/>
    </row>
    <row r="67" spans="10:10" x14ac:dyDescent="0.25">
      <c r="J67" s="52"/>
    </row>
    <row r="68" spans="10:10" x14ac:dyDescent="0.25">
      <c r="J68" s="52"/>
    </row>
    <row r="69" spans="10:10" x14ac:dyDescent="0.25">
      <c r="J69" s="52"/>
    </row>
    <row r="70" spans="10:10" x14ac:dyDescent="0.25">
      <c r="J70" s="52"/>
    </row>
    <row r="71" spans="10:10" x14ac:dyDescent="0.25">
      <c r="J71" s="52"/>
    </row>
    <row r="72" spans="10:10" x14ac:dyDescent="0.25">
      <c r="J72" s="52"/>
    </row>
    <row r="73" spans="10:10" x14ac:dyDescent="0.25">
      <c r="J73" s="52"/>
    </row>
    <row r="74" spans="10:10" x14ac:dyDescent="0.25">
      <c r="J74" s="52"/>
    </row>
    <row r="75" spans="10:10" x14ac:dyDescent="0.25">
      <c r="J75" s="52"/>
    </row>
    <row r="76" spans="10:10" x14ac:dyDescent="0.25">
      <c r="J76" s="52"/>
    </row>
    <row r="77" spans="10:10" x14ac:dyDescent="0.25">
      <c r="J77" s="52"/>
    </row>
    <row r="78" spans="10:10" x14ac:dyDescent="0.25">
      <c r="J78" s="52"/>
    </row>
    <row r="79" spans="10:10" x14ac:dyDescent="0.25">
      <c r="J79" s="52"/>
    </row>
    <row r="80" spans="10:10" x14ac:dyDescent="0.25">
      <c r="J80" s="52"/>
    </row>
    <row r="81" spans="10:10" x14ac:dyDescent="0.25">
      <c r="J81" s="52"/>
    </row>
    <row r="82" spans="10:10" x14ac:dyDescent="0.25">
      <c r="J82" s="52"/>
    </row>
    <row r="83" spans="10:10" x14ac:dyDescent="0.25">
      <c r="J83" s="52"/>
    </row>
    <row r="84" spans="10:10" x14ac:dyDescent="0.25">
      <c r="J84" s="52"/>
    </row>
    <row r="85" spans="10:10" x14ac:dyDescent="0.25">
      <c r="J85" s="52"/>
    </row>
    <row r="86" spans="10:10" x14ac:dyDescent="0.25">
      <c r="J86" s="52"/>
    </row>
    <row r="87" spans="10:10" x14ac:dyDescent="0.25">
      <c r="J87" s="52"/>
    </row>
    <row r="88" spans="10:10" x14ac:dyDescent="0.25">
      <c r="J88" s="52"/>
    </row>
    <row r="89" spans="10:10" x14ac:dyDescent="0.25">
      <c r="J89" s="52"/>
    </row>
    <row r="90" spans="10:10" x14ac:dyDescent="0.25">
      <c r="J90" s="52"/>
    </row>
    <row r="91" spans="10:10" x14ac:dyDescent="0.25">
      <c r="J91" s="52"/>
    </row>
    <row r="92" spans="10:10" x14ac:dyDescent="0.25">
      <c r="J92" s="52"/>
    </row>
    <row r="93" spans="10:10" x14ac:dyDescent="0.25">
      <c r="J93" s="52"/>
    </row>
    <row r="94" spans="10:10" x14ac:dyDescent="0.25">
      <c r="J94" s="52"/>
    </row>
    <row r="95" spans="10:10" x14ac:dyDescent="0.25">
      <c r="J95" s="52"/>
    </row>
    <row r="96" spans="10:10" x14ac:dyDescent="0.25">
      <c r="J96" s="52"/>
    </row>
    <row r="97" spans="10:10" x14ac:dyDescent="0.25">
      <c r="J97" s="52"/>
    </row>
    <row r="98" spans="10:10" x14ac:dyDescent="0.25">
      <c r="J98" s="52"/>
    </row>
    <row r="99" spans="10:10" x14ac:dyDescent="0.25">
      <c r="J99" s="52"/>
    </row>
    <row r="100" spans="10:10" x14ac:dyDescent="0.25">
      <c r="J100" s="52"/>
    </row>
    <row r="101" spans="10:10" x14ac:dyDescent="0.25">
      <c r="J101" s="52"/>
    </row>
    <row r="102" spans="10:10" x14ac:dyDescent="0.25">
      <c r="J102" s="52"/>
    </row>
    <row r="103" spans="10:10" x14ac:dyDescent="0.25">
      <c r="J103" s="52"/>
    </row>
    <row r="104" spans="10:10" x14ac:dyDescent="0.25">
      <c r="J104" s="52"/>
    </row>
    <row r="105" spans="10:10" x14ac:dyDescent="0.25">
      <c r="J105" s="52"/>
    </row>
    <row r="106" spans="10:10" x14ac:dyDescent="0.25">
      <c r="J106" s="52"/>
    </row>
    <row r="107" spans="10:10" x14ac:dyDescent="0.25">
      <c r="J107" s="52"/>
    </row>
    <row r="108" spans="10:10" x14ac:dyDescent="0.25">
      <c r="J108" s="52"/>
    </row>
    <row r="109" spans="10:10" x14ac:dyDescent="0.25">
      <c r="J109" s="52"/>
    </row>
    <row r="110" spans="10:10" x14ac:dyDescent="0.25">
      <c r="J110" s="52"/>
    </row>
    <row r="111" spans="10:10" x14ac:dyDescent="0.25">
      <c r="J111" s="52"/>
    </row>
    <row r="112" spans="10:10" x14ac:dyDescent="0.25">
      <c r="J112" s="52"/>
    </row>
    <row r="113" spans="10:10" x14ac:dyDescent="0.25">
      <c r="J113" s="52"/>
    </row>
    <row r="114" spans="10:10" x14ac:dyDescent="0.25">
      <c r="J114" s="52"/>
    </row>
    <row r="115" spans="10:10" x14ac:dyDescent="0.25">
      <c r="J115" s="52"/>
    </row>
    <row r="116" spans="10:10" x14ac:dyDescent="0.25">
      <c r="J116" s="52"/>
    </row>
    <row r="117" spans="10:10" x14ac:dyDescent="0.25">
      <c r="J117" s="52"/>
    </row>
    <row r="118" spans="10:10" x14ac:dyDescent="0.25">
      <c r="J118" s="52"/>
    </row>
    <row r="119" spans="10:10" x14ac:dyDescent="0.25">
      <c r="J119" s="52"/>
    </row>
    <row r="120" spans="10:10" x14ac:dyDescent="0.25">
      <c r="J120" s="52"/>
    </row>
    <row r="121" spans="10:10" x14ac:dyDescent="0.25">
      <c r="J121" s="52"/>
    </row>
    <row r="122" spans="10:10" x14ac:dyDescent="0.25">
      <c r="J122" s="52"/>
    </row>
    <row r="123" spans="10:10" x14ac:dyDescent="0.25">
      <c r="J123" s="52"/>
    </row>
    <row r="124" spans="10:10" x14ac:dyDescent="0.25">
      <c r="J124" s="52"/>
    </row>
    <row r="125" spans="10:10" x14ac:dyDescent="0.25">
      <c r="J125" s="52"/>
    </row>
    <row r="126" spans="10:10" x14ac:dyDescent="0.25">
      <c r="J126" s="52"/>
    </row>
    <row r="127" spans="10:10" x14ac:dyDescent="0.25">
      <c r="J127" s="52"/>
    </row>
    <row r="128" spans="10:10" x14ac:dyDescent="0.25">
      <c r="J128" s="52"/>
    </row>
    <row r="129" spans="10:10" x14ac:dyDescent="0.25">
      <c r="J129" s="52"/>
    </row>
    <row r="130" spans="10:10" x14ac:dyDescent="0.25">
      <c r="J130" s="52"/>
    </row>
    <row r="131" spans="10:10" x14ac:dyDescent="0.25">
      <c r="J131" s="52"/>
    </row>
    <row r="132" spans="10:10" x14ac:dyDescent="0.25">
      <c r="J132" s="52"/>
    </row>
    <row r="133" spans="10:10" x14ac:dyDescent="0.25">
      <c r="J133" s="52"/>
    </row>
    <row r="134" spans="10:10" x14ac:dyDescent="0.25">
      <c r="J134" s="52"/>
    </row>
    <row r="135" spans="10:10" x14ac:dyDescent="0.25">
      <c r="J135" s="52"/>
    </row>
    <row r="136" spans="10:10" x14ac:dyDescent="0.25">
      <c r="J136" s="52"/>
    </row>
    <row r="137" spans="10:10" x14ac:dyDescent="0.25">
      <c r="J137" s="52"/>
    </row>
    <row r="138" spans="10:10" x14ac:dyDescent="0.25">
      <c r="J138" s="52"/>
    </row>
    <row r="139" spans="10:10" x14ac:dyDescent="0.25">
      <c r="J139" s="52"/>
    </row>
    <row r="140" spans="10:10" x14ac:dyDescent="0.25">
      <c r="J140" s="52"/>
    </row>
    <row r="141" spans="10:10" x14ac:dyDescent="0.25">
      <c r="J141" s="52"/>
    </row>
    <row r="142" spans="10:10" x14ac:dyDescent="0.25">
      <c r="J142" s="52"/>
    </row>
    <row r="143" spans="10:10" x14ac:dyDescent="0.25">
      <c r="J143" s="52"/>
    </row>
    <row r="144" spans="10:10" x14ac:dyDescent="0.25">
      <c r="J144" s="52"/>
    </row>
    <row r="145" spans="10:10" x14ac:dyDescent="0.25">
      <c r="J145" s="52"/>
    </row>
    <row r="146" spans="10:10" x14ac:dyDescent="0.25">
      <c r="J146" s="52"/>
    </row>
    <row r="147" spans="10:10" x14ac:dyDescent="0.25">
      <c r="J147" s="52"/>
    </row>
    <row r="148" spans="10:10" x14ac:dyDescent="0.25">
      <c r="J148" s="52"/>
    </row>
    <row r="149" spans="10:10" x14ac:dyDescent="0.25">
      <c r="J149" s="52"/>
    </row>
    <row r="150" spans="10:10" x14ac:dyDescent="0.25">
      <c r="J150" s="52"/>
    </row>
    <row r="151" spans="10:10" x14ac:dyDescent="0.25">
      <c r="J151" s="52"/>
    </row>
    <row r="152" spans="10:10" x14ac:dyDescent="0.25">
      <c r="J152" s="52"/>
    </row>
    <row r="153" spans="10:10" x14ac:dyDescent="0.25">
      <c r="J153" s="52"/>
    </row>
    <row r="154" spans="10:10" x14ac:dyDescent="0.25">
      <c r="J154" s="52"/>
    </row>
    <row r="155" spans="10:10" x14ac:dyDescent="0.25">
      <c r="J155" s="52"/>
    </row>
    <row r="156" spans="10:10" x14ac:dyDescent="0.25">
      <c r="J156" s="52"/>
    </row>
    <row r="157" spans="10:10" x14ac:dyDescent="0.25">
      <c r="J157" s="52"/>
    </row>
    <row r="158" spans="10:10" x14ac:dyDescent="0.25">
      <c r="J158" s="52"/>
    </row>
    <row r="159" spans="10:10" x14ac:dyDescent="0.25">
      <c r="J159" s="52"/>
    </row>
    <row r="160" spans="10:10" x14ac:dyDescent="0.25">
      <c r="J160" s="52"/>
    </row>
    <row r="161" spans="10:10" x14ac:dyDescent="0.25">
      <c r="J161" s="52"/>
    </row>
    <row r="162" spans="10:10" x14ac:dyDescent="0.25">
      <c r="J162" s="52"/>
    </row>
    <row r="163" spans="10:10" x14ac:dyDescent="0.25">
      <c r="J163" s="52"/>
    </row>
    <row r="164" spans="10:10" x14ac:dyDescent="0.25">
      <c r="J164" s="52"/>
    </row>
    <row r="165" spans="10:10" x14ac:dyDescent="0.25">
      <c r="J165" s="52"/>
    </row>
    <row r="166" spans="10:10" x14ac:dyDescent="0.25">
      <c r="J166" s="52"/>
    </row>
    <row r="167" spans="10:10" x14ac:dyDescent="0.25">
      <c r="J167" s="52"/>
    </row>
    <row r="168" spans="10:10" x14ac:dyDescent="0.25">
      <c r="J168" s="52"/>
    </row>
    <row r="169" spans="10:10" x14ac:dyDescent="0.25">
      <c r="J169" s="52"/>
    </row>
    <row r="170" spans="10:10" x14ac:dyDescent="0.25">
      <c r="J170" s="52"/>
    </row>
    <row r="171" spans="10:10" x14ac:dyDescent="0.25">
      <c r="J171" s="52"/>
    </row>
    <row r="172" spans="10:10" x14ac:dyDescent="0.25">
      <c r="J172" s="52"/>
    </row>
    <row r="173" spans="10:10" x14ac:dyDescent="0.25">
      <c r="J173" s="52"/>
    </row>
    <row r="174" spans="10:10" x14ac:dyDescent="0.25">
      <c r="J174" s="52"/>
    </row>
    <row r="175" spans="10:10" x14ac:dyDescent="0.25">
      <c r="J175" s="52"/>
    </row>
    <row r="176" spans="10:10" x14ac:dyDescent="0.25">
      <c r="J176" s="52"/>
    </row>
    <row r="177" spans="10:10" x14ac:dyDescent="0.25">
      <c r="J177" s="52"/>
    </row>
    <row r="178" spans="10:10" x14ac:dyDescent="0.25">
      <c r="J178" s="52"/>
    </row>
    <row r="179" spans="10:10" x14ac:dyDescent="0.25">
      <c r="J179" s="52"/>
    </row>
    <row r="180" spans="10:10" x14ac:dyDescent="0.25">
      <c r="J180" s="52"/>
    </row>
    <row r="181" spans="10:10" x14ac:dyDescent="0.25">
      <c r="J181" s="52"/>
    </row>
    <row r="182" spans="10:10" x14ac:dyDescent="0.25">
      <c r="J182" s="52"/>
    </row>
    <row r="183" spans="10:10" x14ac:dyDescent="0.25">
      <c r="J183" s="52"/>
    </row>
    <row r="184" spans="10:10" x14ac:dyDescent="0.25">
      <c r="J184" s="52"/>
    </row>
    <row r="185" spans="10:10" x14ac:dyDescent="0.25">
      <c r="J185" s="52"/>
    </row>
    <row r="186" spans="10:10" x14ac:dyDescent="0.25">
      <c r="J186" s="52"/>
    </row>
    <row r="187" spans="10:10" x14ac:dyDescent="0.25">
      <c r="J187" s="52"/>
    </row>
    <row r="188" spans="10:10" x14ac:dyDescent="0.25">
      <c r="J188" s="52"/>
    </row>
    <row r="189" spans="10:10" x14ac:dyDescent="0.25">
      <c r="J189" s="52"/>
    </row>
    <row r="190" spans="10:10" x14ac:dyDescent="0.25">
      <c r="J190" s="52"/>
    </row>
    <row r="191" spans="10:10" x14ac:dyDescent="0.25">
      <c r="J191" s="52"/>
    </row>
    <row r="192" spans="10:10" x14ac:dyDescent="0.25">
      <c r="J192" s="52"/>
    </row>
    <row r="193" spans="10:10" x14ac:dyDescent="0.25">
      <c r="J193" s="52"/>
    </row>
    <row r="194" spans="10:10" x14ac:dyDescent="0.25">
      <c r="J194" s="52"/>
    </row>
    <row r="195" spans="10:10" x14ac:dyDescent="0.25">
      <c r="J195" s="52"/>
    </row>
    <row r="196" spans="10:10" x14ac:dyDescent="0.25">
      <c r="J196" s="52"/>
    </row>
    <row r="197" spans="10:10" x14ac:dyDescent="0.25">
      <c r="J197" s="52"/>
    </row>
    <row r="198" spans="10:10" x14ac:dyDescent="0.25">
      <c r="J198" s="52"/>
    </row>
    <row r="199" spans="10:10" x14ac:dyDescent="0.25">
      <c r="J199" s="52"/>
    </row>
    <row r="200" spans="10:10" x14ac:dyDescent="0.25">
      <c r="J200" s="52"/>
    </row>
    <row r="201" spans="10:10" x14ac:dyDescent="0.25">
      <c r="J201" s="52"/>
    </row>
    <row r="202" spans="10:10" x14ac:dyDescent="0.25">
      <c r="J202" s="52"/>
    </row>
    <row r="203" spans="10:10" x14ac:dyDescent="0.25">
      <c r="J203" s="52"/>
    </row>
    <row r="204" spans="10:10" x14ac:dyDescent="0.25">
      <c r="J204" s="52"/>
    </row>
    <row r="205" spans="10:10" x14ac:dyDescent="0.25">
      <c r="J205" s="52"/>
    </row>
    <row r="206" spans="10:10" x14ac:dyDescent="0.25">
      <c r="J206" s="52"/>
    </row>
    <row r="207" spans="10:10" x14ac:dyDescent="0.25">
      <c r="J207" s="52"/>
    </row>
    <row r="208" spans="10:10" x14ac:dyDescent="0.25">
      <c r="J208" s="52"/>
    </row>
    <row r="209" spans="10:10" x14ac:dyDescent="0.25">
      <c r="J209" s="52"/>
    </row>
    <row r="210" spans="10:10" x14ac:dyDescent="0.25">
      <c r="J210" s="52"/>
    </row>
    <row r="211" spans="10:10" x14ac:dyDescent="0.25">
      <c r="J211" s="52"/>
    </row>
    <row r="212" spans="10:10" x14ac:dyDescent="0.25">
      <c r="J212" s="52"/>
    </row>
    <row r="213" spans="10:10" x14ac:dyDescent="0.25">
      <c r="J213" s="52"/>
    </row>
    <row r="214" spans="10:10" x14ac:dyDescent="0.25">
      <c r="J214" s="52"/>
    </row>
    <row r="215" spans="10:10" x14ac:dyDescent="0.25">
      <c r="J215" s="52"/>
    </row>
    <row r="216" spans="10:10" x14ac:dyDescent="0.25">
      <c r="J216" s="52"/>
    </row>
    <row r="217" spans="10:10" x14ac:dyDescent="0.25">
      <c r="J217" s="52"/>
    </row>
    <row r="218" spans="10:10" x14ac:dyDescent="0.25">
      <c r="J218" s="52"/>
    </row>
    <row r="219" spans="10:10" x14ac:dyDescent="0.25">
      <c r="J219" s="52"/>
    </row>
    <row r="220" spans="10:10" x14ac:dyDescent="0.25">
      <c r="J220" s="52"/>
    </row>
    <row r="221" spans="10:10" x14ac:dyDescent="0.25">
      <c r="J221" s="52"/>
    </row>
    <row r="222" spans="10:10" x14ac:dyDescent="0.25">
      <c r="J222" s="52"/>
    </row>
    <row r="223" spans="10:10" x14ac:dyDescent="0.25">
      <c r="J223" s="52"/>
    </row>
    <row r="224" spans="10:10" x14ac:dyDescent="0.25">
      <c r="J224" s="52"/>
    </row>
    <row r="225" spans="10:10" x14ac:dyDescent="0.25">
      <c r="J225" s="52"/>
    </row>
    <row r="226" spans="10:10" x14ac:dyDescent="0.25">
      <c r="J226" s="52"/>
    </row>
    <row r="227" spans="10:10" x14ac:dyDescent="0.25">
      <c r="J227" s="52"/>
    </row>
    <row r="228" spans="10:10" x14ac:dyDescent="0.25">
      <c r="J228" s="52"/>
    </row>
    <row r="229" spans="10:10" x14ac:dyDescent="0.25">
      <c r="J229" s="52"/>
    </row>
    <row r="230" spans="10:10" x14ac:dyDescent="0.25">
      <c r="J230" s="52"/>
    </row>
    <row r="231" spans="10:10" x14ac:dyDescent="0.25">
      <c r="J231" s="52"/>
    </row>
    <row r="232" spans="10:10" x14ac:dyDescent="0.25">
      <c r="J232" s="52"/>
    </row>
    <row r="233" spans="10:10" x14ac:dyDescent="0.25">
      <c r="J233" s="52"/>
    </row>
    <row r="234" spans="10:10" x14ac:dyDescent="0.25">
      <c r="J234" s="52"/>
    </row>
    <row r="235" spans="10:10" x14ac:dyDescent="0.25">
      <c r="J235" s="52"/>
    </row>
    <row r="236" spans="10:10" x14ac:dyDescent="0.25">
      <c r="J236" s="52"/>
    </row>
    <row r="237" spans="10:10" x14ac:dyDescent="0.25">
      <c r="J237" s="52"/>
    </row>
    <row r="238" spans="10:10" x14ac:dyDescent="0.25">
      <c r="J238" s="52"/>
    </row>
    <row r="239" spans="10:10" x14ac:dyDescent="0.25">
      <c r="J239" s="52"/>
    </row>
    <row r="240" spans="10:10" x14ac:dyDescent="0.25">
      <c r="J240" s="52"/>
    </row>
    <row r="241" spans="10:10" x14ac:dyDescent="0.25">
      <c r="J241" s="52"/>
    </row>
    <row r="242" spans="10:10" x14ac:dyDescent="0.25">
      <c r="J242" s="52"/>
    </row>
    <row r="243" spans="10:10" x14ac:dyDescent="0.25">
      <c r="J243" s="52"/>
    </row>
    <row r="244" spans="10:10" x14ac:dyDescent="0.25">
      <c r="J244" s="52"/>
    </row>
    <row r="245" spans="10:10" x14ac:dyDescent="0.25">
      <c r="J245" s="52"/>
    </row>
    <row r="246" spans="10:10" x14ac:dyDescent="0.25">
      <c r="J246" s="52"/>
    </row>
    <row r="247" spans="10:10" x14ac:dyDescent="0.25">
      <c r="J247" s="52"/>
    </row>
    <row r="248" spans="10:10" x14ac:dyDescent="0.25">
      <c r="J248" s="52"/>
    </row>
    <row r="249" spans="10:10" x14ac:dyDescent="0.25">
      <c r="J249" s="52"/>
    </row>
    <row r="250" spans="10:10" x14ac:dyDescent="0.25">
      <c r="J250" s="52"/>
    </row>
    <row r="251" spans="10:10" x14ac:dyDescent="0.25">
      <c r="J251" s="52"/>
    </row>
    <row r="252" spans="10:10" x14ac:dyDescent="0.25">
      <c r="J252" s="52"/>
    </row>
    <row r="253" spans="10:10" x14ac:dyDescent="0.25">
      <c r="J253" s="52"/>
    </row>
    <row r="254" spans="10:10" x14ac:dyDescent="0.25">
      <c r="J254" s="52"/>
    </row>
    <row r="255" spans="10:10" x14ac:dyDescent="0.25">
      <c r="J255" s="52"/>
    </row>
    <row r="256" spans="10:10" x14ac:dyDescent="0.25">
      <c r="J256" s="52"/>
    </row>
    <row r="257" spans="10:10" x14ac:dyDescent="0.25">
      <c r="J257" s="52"/>
    </row>
    <row r="258" spans="10:10" x14ac:dyDescent="0.25">
      <c r="J258" s="52"/>
    </row>
    <row r="259" spans="10:10" x14ac:dyDescent="0.25">
      <c r="J259" s="52"/>
    </row>
    <row r="260" spans="10:10" x14ac:dyDescent="0.25">
      <c r="J260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RQ1</vt:lpstr>
      <vt:lpstr>RQ2</vt:lpstr>
      <vt:lpstr>RQ3</vt:lpstr>
      <vt:lpstr>RQ4</vt:lpstr>
      <vt:lpstr>cve info</vt:lpstr>
      <vt:lpstr>cve-cvss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Madhu</dc:creator>
  <cp:keywords/>
  <dc:description/>
  <cp:lastModifiedBy>Madhu</cp:lastModifiedBy>
  <cp:revision/>
  <dcterms:created xsi:type="dcterms:W3CDTF">2022-03-24T15:39:31Z</dcterms:created>
  <dcterms:modified xsi:type="dcterms:W3CDTF">2022-05-02T15:46:49Z</dcterms:modified>
  <cp:category/>
  <cp:contentStatus/>
</cp:coreProperties>
</file>