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dison/Desktop/Data Analytics Boot Camp/1_excel/1_homework/"/>
    </mc:Choice>
  </mc:AlternateContent>
  <xr:revisionPtr revIDLastSave="0" documentId="13_ncr:1_{D491864B-D662-B449-8202-7C95461DFE70}" xr6:coauthVersionLast="46" xr6:coauthVersionMax="46" xr10:uidLastSave="{00000000-0000-0000-0000-000000000000}"/>
  <bookViews>
    <workbookView xWindow="-76740" yWindow="500" windowWidth="37960" windowHeight="19820" xr2:uid="{00000000-000D-0000-FFFF-FFFF00000000}"/>
  </bookViews>
  <sheets>
    <sheet name="Formatting" sheetId="1" r:id="rId1"/>
    <sheet name="Pivot_Table_1" sheetId="2" r:id="rId2"/>
    <sheet name="Pivot_Table_2" sheetId="3" r:id="rId3"/>
    <sheet name="Pivot_Table_3" sheetId="4" r:id="rId4"/>
    <sheet name="Bonus" sheetId="5" r:id="rId5"/>
    <sheet name="Bonus Stats" sheetId="6" r:id="rId6"/>
  </sheets>
  <definedNames>
    <definedName name="_xlnm._FilterDatabase" localSheetId="0" hidden="1">Formatting!$A$1:$T$4115</definedName>
    <definedName name="failed">'Bonus Stats'!$D$2:$D$1531</definedName>
    <definedName name="successful">'Bonus Stats'!$B$2:$B$2186</definedName>
  </definedNames>
  <calcPr calcId="191029"/>
  <pivotCaches>
    <pivotCache cacheId="13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6" l="1"/>
  <c r="I6" i="6"/>
  <c r="I5" i="6"/>
  <c r="I4" i="6"/>
  <c r="I3" i="6"/>
  <c r="I2" i="6"/>
  <c r="H7" i="6"/>
  <c r="H6" i="6"/>
  <c r="H5" i="6"/>
  <c r="H4" i="6"/>
  <c r="H3" i="6"/>
  <c r="H2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C2" i="5"/>
  <c r="D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5" l="1"/>
  <c r="G13" i="5" s="1"/>
  <c r="E12" i="5"/>
  <c r="G12" i="5" s="1"/>
  <c r="E11" i="5"/>
  <c r="F11" i="5" s="1"/>
  <c r="E10" i="5"/>
  <c r="H10" i="5" s="1"/>
  <c r="E9" i="5"/>
  <c r="G9" i="5" s="1"/>
  <c r="E8" i="5"/>
  <c r="F8" i="5" s="1"/>
  <c r="E7" i="5"/>
  <c r="F7" i="5" s="1"/>
  <c r="E6" i="5"/>
  <c r="G6" i="5" s="1"/>
  <c r="E5" i="5"/>
  <c r="G5" i="5" s="1"/>
  <c r="E4" i="5"/>
  <c r="G4" i="5" s="1"/>
  <c r="E3" i="5"/>
  <c r="F3" i="5" s="1"/>
  <c r="E2" i="5"/>
  <c r="G2" i="5" s="1"/>
  <c r="G10" i="5"/>
  <c r="H11" i="5" l="1"/>
  <c r="F10" i="5"/>
  <c r="G7" i="5"/>
  <c r="G11" i="5"/>
  <c r="H6" i="5"/>
  <c r="H7" i="5"/>
  <c r="F6" i="5"/>
  <c r="H5" i="5"/>
  <c r="F5" i="5"/>
  <c r="H4" i="5"/>
  <c r="F13" i="5"/>
  <c r="H13" i="5"/>
  <c r="F12" i="5"/>
  <c r="H12" i="5"/>
  <c r="H9" i="5"/>
  <c r="F9" i="5"/>
  <c r="G8" i="5"/>
  <c r="H8" i="5"/>
  <c r="F4" i="5"/>
  <c r="G3" i="5"/>
  <c r="H3" i="5"/>
  <c r="F2" i="5"/>
  <c r="H2" i="5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<sst xmlns="http://schemas.openxmlformats.org/spreadsheetml/2006/main" count="28548" uniqueCount="8410">
  <si>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</si>
  <si>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</si>
  <si>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</si>
  <si>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</si>
  <si>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</si>
  <si>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</si>
  <si>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</si>
  <si>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</si>
  <si>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</si>
  <si>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</si>
  <si>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</si>
  <si>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</si>
  <si>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</si>
  <si>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</si>
  <si>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</si>
  <si>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</si>
  <si>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</si>
  <si>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</si>
  <si>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</si>
  <si>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</si>
  <si>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</si>
  <si>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</si>
  <si>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</si>
  <si>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</si>
  <si>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</si>
  <si>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</si>
  <si>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</si>
  <si>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</si>
  <si>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</si>
  <si>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</si>
  <si>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</si>
  <si>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</si>
  <si>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</si>
  <si>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</si>
  <si>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</si>
  <si>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</si>
  <si>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</si>
  <si>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</si>
  <si>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</si>
  <si>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</si>
  <si>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</si>
  <si>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</si>
  <si>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</si>
  <si>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</si>
  <si>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</si>
  <si>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</si>
  <si>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</si>
  <si>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</si>
  <si>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</si>
  <si>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</si>
  <si>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</si>
  <si>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</si>
  <si>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</si>
  <si>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</si>
  <si>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</si>
  <si>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</si>
  <si>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</si>
  <si>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</si>
  <si>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</si>
  <si>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</si>
  <si>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</si>
  <si>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</si>
  <si>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</si>
  <si>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</si>
  <si>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</si>
  <si>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</si>
  <si>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</si>
  <si>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</si>
  <si>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</si>
  <si>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</si>
  <si>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</si>
  <si>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</si>
  <si>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</si>
  <si>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</si>
  <si>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</si>
  <si>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</si>
  <si>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</si>
  <si>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</si>
  <si>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</si>
  <si>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</si>
  <si>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</si>
  <si>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</si>
  <si>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</si>
  <si>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</si>
  <si>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</si>
  <si>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</si>
  <si>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</si>
  <si>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</si>
  <si>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</si>
  <si>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</si>
  <si>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</si>
  <si>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</si>
  <si>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</si>
  <si>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</si>
  <si>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</si>
  <si>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</si>
  <si>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</si>
  <si>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</si>
  <si>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</si>
  <si>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</si>
  <si>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</si>
  <si>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</si>
  <si>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</si>
  <si>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</si>
  <si>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</si>
  <si>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</si>
  <si>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</si>
  <si>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</si>
  <si>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</si>
  <si>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</si>
  <si>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</si>
  <si>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</si>
  <si>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</si>
  <si>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</si>
  <si>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</si>
  <si>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</si>
  <si>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</si>
  <si>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</si>
  <si>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</si>
  <si>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</si>
  <si>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</si>
  <si>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</si>
  <si>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</si>
  <si>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</si>
  <si>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</si>
  <si>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</si>
  <si>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</si>
  <si>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</si>
  <si>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</si>
  <si>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</si>
  <si>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</si>
  <si>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</si>
  <si>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</si>
  <si>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</si>
  <si>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</si>
  <si>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</si>
  <si>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</si>
  <si>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</si>
  <si>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</si>
  <si>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</si>
  <si>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</si>
  <si>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</si>
  <si>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</si>
  <si>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</si>
  <si>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</si>
  <si>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</si>
  <si>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</si>
  <si>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</si>
  <si>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</si>
  <si>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</si>
  <si>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</si>
  <si>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</si>
  <si>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</si>
  <si>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</si>
  <si>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</si>
  <si>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</si>
  <si>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</si>
  <si>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</si>
  <si>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</si>
  <si>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</si>
  <si>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</si>
  <si>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</si>
  <si>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</si>
  <si>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</si>
  <si>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</si>
  <si>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</si>
  <si>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</si>
  <si>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</si>
  <si>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</si>
  <si>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</si>
  <si>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</si>
  <si>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</si>
  <si>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</si>
  <si>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</si>
  <si>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</si>
  <si>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</si>
  <si>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</si>
  <si>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</si>
  <si>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</si>
  <si>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</si>
  <si>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</si>
  <si>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</si>
  <si>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</si>
  <si>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</si>
  <si>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</si>
  <si>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</si>
  <si>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</si>
  <si>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</si>
  <si>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</si>
  <si>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</si>
  <si>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</si>
  <si>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</si>
  <si>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</si>
  <si>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</si>
  <si>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</si>
  <si>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</si>
  <si>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</si>
  <si>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</si>
  <si>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</si>
  <si>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</si>
  <si>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</si>
  <si>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</si>
  <si>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</si>
  <si>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</si>
  <si>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</si>
  <si>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</si>
  <si>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</si>
  <si>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</si>
  <si>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</si>
  <si>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</si>
  <si>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</si>
  <si>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</si>
  <si>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</si>
  <si>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</si>
  <si>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</si>
  <si>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</si>
  <si>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</si>
  <si>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</si>
  <si>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</si>
  <si>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</si>
  <si>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</si>
  <si>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</si>
  <si>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</si>
  <si>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</si>
  <si>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</si>
  <si>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</si>
  <si>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</si>
  <si>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</si>
  <si>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</si>
  <si>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</si>
  <si>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</si>
  <si>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</si>
  <si>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</si>
  <si>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</si>
  <si>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</si>
  <si>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</si>
  <si>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</si>
  <si>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</si>
  <si>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</si>
  <si>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</si>
  <si>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</si>
  <si>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</si>
  <si>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</si>
  <si>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</si>
  <si>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</si>
  <si>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</si>
  <si>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</si>
  <si>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</si>
  <si>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</si>
  <si>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</si>
  <si>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</si>
  <si>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</si>
  <si>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</si>
  <si>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</si>
  <si>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</si>
  <si>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</si>
  <si>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</si>
  <si>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</si>
  <si>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</si>
  <si>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</si>
  <si>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</si>
  <si>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</si>
  <si>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</si>
  <si>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</si>
  <si>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</si>
  <si>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</si>
  <si>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</si>
  <si>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</si>
  <si>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</si>
  <si>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</si>
  <si>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</si>
  <si>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</si>
  <si>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</si>
  <si>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</si>
  <si>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</si>
  <si>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</si>
  <si>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</si>
  <si>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</si>
  <si>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</si>
  <si>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</si>
  <si>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</si>
  <si>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</si>
  <si>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</si>
  <si>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</si>
  <si>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</si>
  <si>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</si>
  <si>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</si>
  <si>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</si>
  <si>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</si>
  <si>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</si>
  <si>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</si>
  <si>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</si>
  <si>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</si>
  <si>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</si>
  <si>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</si>
  <si>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</si>
  <si>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</si>
  <si>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</si>
  <si>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</si>
  <si>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</si>
  <si>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</si>
  <si>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</si>
  <si>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</si>
  <si>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</si>
  <si>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</si>
  <si>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</si>
  <si>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</si>
  <si>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</si>
  <si>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</si>
  <si>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</si>
  <si>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</si>
  <si>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</si>
  <si>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</si>
  <si>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</si>
  <si>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</si>
  <si>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</si>
  <si>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</si>
  <si>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</si>
  <si>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</si>
  <si>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</si>
  <si>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</si>
  <si>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</si>
  <si>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</si>
  <si>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</si>
  <si>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</si>
  <si>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</si>
  <si>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</si>
  <si>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</si>
  <si>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</si>
  <si>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</si>
  <si>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</si>
  <si>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</si>
  <si>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</si>
  <si>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</si>
  <si>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</si>
  <si>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</si>
  <si>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</si>
  <si>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</si>
  <si>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</si>
  <si>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</si>
  <si>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</si>
  <si>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</si>
  <si>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</si>
  <si>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</si>
  <si>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</si>
  <si>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</si>
  <si>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</si>
  <si>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</si>
  <si>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</si>
  <si>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</si>
  <si>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</si>
  <si>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</si>
  <si>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</si>
  <si>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</si>
  <si>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</si>
  <si>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</si>
  <si>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</si>
  <si>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</si>
  <si>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</si>
  <si>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</si>
  <si>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</si>
  <si>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</si>
  <si>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</si>
  <si>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</si>
  <si>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</si>
  <si>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</si>
  <si>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</si>
  <si>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</si>
  <si>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</si>
  <si>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</si>
  <si>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</si>
  <si>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</si>
  <si>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</si>
  <si>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</si>
  <si>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</si>
  <si>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</si>
  <si>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</si>
  <si>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</si>
  <si>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</si>
  <si>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</si>
  <si>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</si>
  <si>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</si>
  <si>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</si>
  <si>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</si>
  <si>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</si>
  <si>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</si>
  <si>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</si>
  <si>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</si>
  <si>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</si>
  <si>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</si>
  <si>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</si>
  <si>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</si>
  <si>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</si>
  <si>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</si>
  <si>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</si>
  <si>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</si>
  <si>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</si>
  <si>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</si>
  <si>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</si>
  <si>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</si>
  <si>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</si>
  <si>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</si>
  <si>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</si>
  <si>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</si>
  <si>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</si>
  <si>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</si>
  <si>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</si>
  <si>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</si>
  <si>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</si>
  <si>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</si>
  <si>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</si>
  <si>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</si>
  <si>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</si>
  <si>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</si>
  <si>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</si>
  <si>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</si>
  <si>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</si>
  <si>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</si>
  <si>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</si>
  <si>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</si>
  <si>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</si>
  <si>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</si>
  <si>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</si>
  <si>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</si>
  <si>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</si>
  <si>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</si>
  <si>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</si>
  <si>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</si>
  <si>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</si>
  <si>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</si>
  <si>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</si>
  <si>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</si>
  <si>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</si>
  <si>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</si>
  <si>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</si>
  <si>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</si>
  <si>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</si>
  <si>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</si>
  <si>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</si>
  <si>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</si>
  <si>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</si>
  <si>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</si>
  <si>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</si>
  <si>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</si>
  <si>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</si>
  <si>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</si>
  <si>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</si>
  <si>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</si>
  <si>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</si>
  <si>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</si>
  <si>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</si>
  <si>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</si>
  <si>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</si>
  <si>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</si>
  <si>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</si>
  <si>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</si>
  <si>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</si>
  <si>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</si>
  <si>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</si>
  <si>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</si>
  <si>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</si>
  <si>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</si>
  <si>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</si>
  <si>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</si>
  <si>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</si>
  <si>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</si>
  <si>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</si>
  <si>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</si>
  <si>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</si>
  <si>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</si>
  <si>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</si>
  <si>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</si>
  <si>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</si>
  <si>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</si>
  <si>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</si>
  <si>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</si>
  <si>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</si>
  <si>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</si>
  <si>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</si>
  <si>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</si>
  <si>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</si>
  <si>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</si>
  <si>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</si>
  <si>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</si>
  <si>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</si>
  <si>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</si>
  <si>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</si>
  <si>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</si>
  <si>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</si>
  <si>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</si>
  <si>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</si>
  <si>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</si>
  <si>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</si>
  <si>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</si>
  <si>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</si>
  <si>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</si>
  <si>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</si>
  <si>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</si>
  <si>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</si>
  <si>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</si>
  <si>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</si>
  <si>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</si>
  <si>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</si>
  <si>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</si>
  <si>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</si>
  <si>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</si>
  <si>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</si>
  <si>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</si>
  <si>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</si>
  <si>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</si>
  <si>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</si>
  <si>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</si>
  <si>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</si>
  <si>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</si>
  <si>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</si>
  <si>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</si>
  <si>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</si>
  <si>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</si>
  <si>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</si>
  <si>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</si>
  <si>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</si>
  <si>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</si>
  <si>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</si>
  <si>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</si>
  <si>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</si>
  <si>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</si>
  <si>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</si>
  <si>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</si>
  <si>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</si>
  <si>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</si>
  <si>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</si>
  <si>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</si>
  <si>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</si>
  <si>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</si>
  <si>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</si>
  <si>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</si>
  <si>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</si>
  <si>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</si>
  <si>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</si>
  <si>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</si>
  <si>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</si>
  <si>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</si>
  <si>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</si>
  <si>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</si>
  <si>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</si>
  <si>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</si>
  <si>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</si>
  <si>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</si>
  <si>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</si>
  <si>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</si>
  <si>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</si>
  <si>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</si>
  <si>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</si>
  <si>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</si>
  <si>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</si>
  <si>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</si>
  <si>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</si>
  <si>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</si>
  <si>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</si>
  <si>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</si>
  <si>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</si>
  <si>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</si>
  <si>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</si>
  <si>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</si>
  <si>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</si>
  <si>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</si>
  <si>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</si>
  <si>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</si>
  <si>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</si>
  <si>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</si>
  <si>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</si>
  <si>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</si>
  <si>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</si>
  <si>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</si>
  <si>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</si>
  <si>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</si>
  <si>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</si>
  <si>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</si>
  <si>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</si>
  <si>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</si>
  <si>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</si>
  <si>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</si>
  <si>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</si>
  <si>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</si>
  <si>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</si>
  <si>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</si>
  <si>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</si>
  <si>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</si>
  <si>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</si>
  <si>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</si>
  <si>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</si>
  <si>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</si>
  <si>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</si>
  <si>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</si>
  <si>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</si>
  <si>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</si>
  <si>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</si>
  <si>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</si>
  <si>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</si>
  <si>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</si>
  <si>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</si>
  <si>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</si>
  <si>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</si>
  <si>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</si>
  <si>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</si>
  <si>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</si>
  <si>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</si>
  <si>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</si>
  <si>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</si>
  <si>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</si>
  <si>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</si>
  <si>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</si>
  <si>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</si>
  <si>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</si>
  <si>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</si>
  <si>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</si>
  <si>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</si>
  <si>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</si>
  <si>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</si>
  <si>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</si>
  <si>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</si>
  <si>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</si>
  <si>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</si>
  <si>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</si>
  <si>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</si>
  <si>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</si>
  <si>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</si>
  <si>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</si>
  <si>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</si>
  <si>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</si>
  <si>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</si>
  <si>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</si>
  <si>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</si>
  <si>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</si>
  <si>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</si>
  <si>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</si>
  <si>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</si>
  <si>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</si>
  <si>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</si>
  <si>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</si>
  <si>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</si>
  <si>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</si>
  <si>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</si>
  <si>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</si>
  <si>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</si>
  <si>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</si>
  <si>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</si>
  <si>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</si>
  <si>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</si>
  <si>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</si>
  <si>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</si>
  <si>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</si>
  <si>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</si>
  <si>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</si>
  <si>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</si>
  <si>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</si>
  <si>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</si>
  <si>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</si>
  <si>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</si>
  <si>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</si>
  <si>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</si>
  <si>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</si>
  <si>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</si>
  <si>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</si>
  <si>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</si>
  <si>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</si>
  <si>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</si>
  <si>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</si>
  <si>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</si>
  <si>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</si>
  <si>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</si>
  <si>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</si>
  <si>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</si>
  <si>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</si>
  <si>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</si>
  <si>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</si>
  <si>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</si>
  <si>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</si>
  <si>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</si>
  <si>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</si>
  <si>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</si>
  <si>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</si>
  <si>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</si>
  <si>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</si>
  <si>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</si>
  <si>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</si>
  <si>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</si>
  <si>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</si>
  <si>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</si>
  <si>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</si>
  <si>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</si>
  <si>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</si>
  <si>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</si>
  <si>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</si>
  <si>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</si>
  <si>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</si>
  <si>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</si>
  <si>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</si>
  <si>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</si>
  <si>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</si>
  <si>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</si>
  <si>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</si>
  <si>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</si>
  <si>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</si>
  <si>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</si>
  <si>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</si>
  <si>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</si>
  <si>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</si>
  <si>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</si>
  <si>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</si>
  <si>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</si>
  <si>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</si>
  <si>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</si>
  <si>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</si>
  <si>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</si>
  <si>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</si>
  <si>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</si>
  <si>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</si>
  <si>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</si>
  <si>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</si>
  <si>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</si>
  <si>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</si>
  <si>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</si>
  <si>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</si>
  <si>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</si>
  <si>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</si>
  <si>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</si>
  <si>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</si>
  <si>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</si>
  <si>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</si>
  <si>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</si>
  <si>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</si>
  <si>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</si>
  <si>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</si>
  <si>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</si>
  <si>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</si>
  <si>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</si>
  <si>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</si>
  <si>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</si>
  <si>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</si>
  <si>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</si>
  <si>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</si>
  <si>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</si>
  <si>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</si>
  <si>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</si>
  <si>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</si>
  <si>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</si>
  <si>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</si>
  <si>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</si>
  <si>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</si>
  <si>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</si>
  <si>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</si>
  <si>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</si>
  <si>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</si>
  <si>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</si>
  <si>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</si>
  <si>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</si>
  <si>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</si>
  <si>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</si>
  <si>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</si>
  <si>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</si>
  <si>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</si>
  <si>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</si>
  <si>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</si>
  <si>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</si>
  <si>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</si>
  <si>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</si>
  <si>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</si>
  <si>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</si>
  <si>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</si>
  <si>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</si>
  <si>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</si>
  <si>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</si>
  <si>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</si>
  <si>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</si>
  <si>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</si>
  <si>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</si>
  <si>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</si>
  <si>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</si>
  <si>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</si>
  <si>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</si>
  <si>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</si>
  <si>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</si>
  <si>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</si>
  <si>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</si>
  <si>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</si>
  <si>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</si>
  <si>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</si>
  <si>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</si>
  <si>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</si>
  <si>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</si>
  <si>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</si>
  <si>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</si>
  <si>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</si>
  <si>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</si>
  <si>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</si>
  <si>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</si>
  <si>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</si>
  <si>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</si>
  <si>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</si>
  <si>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</si>
  <si>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</si>
  <si>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</si>
  <si>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</si>
  <si>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</si>
  <si>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</si>
  <si>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</si>
  <si>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</si>
  <si>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</si>
  <si>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</si>
  <si>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</si>
  <si>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</si>
  <si>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</si>
  <si>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</si>
  <si>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</si>
  <si>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</si>
  <si>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</si>
  <si>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</si>
  <si>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</si>
  <si>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</si>
  <si>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</si>
  <si>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</si>
  <si>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</si>
  <si>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</si>
  <si>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</si>
  <si>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</si>
  <si>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</si>
  <si>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</si>
  <si>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</si>
  <si>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</si>
  <si>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</si>
  <si>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</si>
  <si>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</si>
  <si>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</si>
  <si>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</si>
  <si>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</si>
  <si>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</si>
  <si>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</si>
  <si>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</si>
  <si>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</si>
  <si>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</si>
  <si>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</si>
  <si>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</si>
  <si>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</si>
  <si>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</si>
  <si>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</si>
  <si>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</si>
  <si>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</si>
  <si>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</si>
  <si>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</si>
  <si>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</si>
  <si>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</si>
  <si>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</si>
  <si>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</si>
  <si>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</si>
  <si>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</si>
  <si>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</si>
  <si>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</si>
  <si>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</si>
  <si>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</si>
  <si>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</si>
  <si>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</si>
  <si>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</si>
  <si>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</si>
  <si>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</si>
  <si>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</si>
  <si>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</si>
  <si>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</si>
  <si>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</si>
  <si>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</si>
  <si>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</si>
  <si>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</si>
  <si>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</si>
  <si>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</si>
  <si>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</si>
  <si>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</si>
  <si>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</si>
  <si>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</si>
  <si>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</si>
  <si>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</si>
  <si>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</si>
  <si>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</si>
  <si>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</si>
  <si>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</si>
  <si>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</si>
  <si>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</si>
  <si>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</si>
  <si>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</si>
  <si>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</si>
  <si>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</si>
  <si>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</si>
  <si>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</si>
  <si>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</si>
  <si>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</si>
  <si>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</si>
  <si>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</si>
  <si>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</si>
  <si>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</si>
  <si>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</si>
  <si>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</si>
  <si>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</si>
  <si>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</si>
  <si>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</si>
  <si>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</si>
  <si>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</si>
  <si>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</si>
  <si>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</si>
  <si>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</si>
  <si>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</si>
  <si>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</si>
  <si>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</si>
  <si>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</si>
  <si>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</si>
  <si>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</si>
  <si>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</si>
  <si>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</si>
  <si>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</si>
  <si>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</si>
  <si>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</si>
  <si>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</si>
  <si>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</si>
  <si>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</si>
  <si>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</si>
  <si>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</si>
  <si>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</si>
  <si>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</si>
  <si>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</si>
  <si>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</si>
  <si>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</si>
  <si>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</si>
  <si>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</si>
  <si>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</si>
  <si>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</si>
  <si>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</si>
  <si>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</si>
  <si>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</si>
  <si>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</si>
  <si>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</si>
  <si>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</si>
  <si>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</si>
  <si>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</si>
  <si>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</si>
  <si>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</si>
  <si>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</si>
  <si>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</si>
  <si>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</si>
  <si>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</si>
  <si>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</si>
  <si>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</si>
  <si>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</si>
  <si>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</si>
  <si>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</si>
  <si>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</si>
  <si>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</si>
  <si>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</si>
  <si>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</si>
  <si>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</si>
  <si>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</si>
  <si>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</si>
  <si>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</si>
  <si>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</si>
  <si>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</si>
  <si>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</si>
  <si>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</si>
  <si>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</si>
  <si>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</si>
  <si>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</si>
  <si>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</si>
  <si>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</si>
  <si>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</si>
  <si>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</si>
  <si>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</si>
  <si>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</si>
  <si>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</si>
  <si>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</si>
  <si>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</si>
  <si>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</si>
  <si>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</si>
  <si>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</si>
  <si>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</si>
  <si>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</si>
  <si>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</si>
  <si>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</si>
  <si>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</si>
  <si>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</si>
  <si>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</si>
  <si>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</si>
  <si>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</si>
  <si>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</si>
  <si>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</si>
  <si>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</si>
  <si>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</si>
  <si>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</si>
  <si>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</si>
  <si>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</si>
  <si>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</si>
  <si>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</si>
  <si>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</si>
  <si>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</si>
  <si>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</si>
  <si>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</si>
  <si>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</si>
  <si>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</si>
  <si>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</si>
  <si>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</si>
  <si>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</si>
  <si>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</si>
  <si>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</si>
  <si>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</si>
  <si>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</si>
  <si>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</si>
  <si>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</si>
  <si>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</si>
  <si>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</si>
  <si>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</si>
  <si>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</si>
  <si>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</si>
  <si>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</si>
  <si>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</si>
  <si>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</si>
  <si>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</si>
  <si>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</si>
  <si>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</si>
  <si>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</si>
  <si>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</si>
  <si>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</si>
  <si>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</si>
  <si>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</si>
  <si>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</si>
  <si>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</si>
  <si>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</si>
  <si>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</si>
  <si>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</si>
  <si>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</si>
  <si>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</si>
  <si>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</si>
  <si>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</si>
  <si>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</si>
  <si>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</si>
  <si>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</si>
  <si>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</si>
  <si>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</si>
  <si>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</si>
  <si>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</si>
  <si>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</si>
  <si>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</si>
  <si>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</si>
  <si>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</si>
  <si>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</si>
  <si>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</si>
  <si>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</si>
  <si>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</si>
  <si>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</si>
  <si>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</si>
  <si>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</si>
  <si>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</si>
  <si>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</si>
  <si>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</si>
  <si>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</si>
  <si>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</si>
  <si>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</si>
  <si>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</si>
  <si>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</si>
  <si>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</si>
  <si>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</si>
  <si>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</si>
  <si>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</si>
  <si>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</si>
  <si>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</si>
  <si>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</si>
  <si>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</si>
  <si>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</si>
  <si>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</si>
  <si>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</si>
  <si>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</si>
  <si>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</si>
  <si>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</si>
  <si>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</si>
  <si>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</si>
  <si>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</si>
  <si>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</si>
  <si>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</si>
  <si>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</si>
  <si>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</si>
  <si>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</si>
  <si>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</si>
  <si>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</si>
  <si>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</si>
  <si>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</si>
  <si>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</si>
  <si>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</si>
  <si>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</si>
  <si>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</si>
  <si>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</si>
  <si>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</si>
  <si>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</si>
  <si>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</si>
  <si>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</si>
  <si>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</si>
  <si>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</si>
  <si>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</si>
  <si>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</si>
  <si>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</si>
  <si>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</si>
  <si>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</si>
  <si>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</si>
  <si>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</si>
  <si>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</si>
  <si>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</si>
  <si>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</si>
  <si>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</si>
  <si>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</si>
  <si>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</si>
  <si>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</si>
  <si>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</si>
  <si>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</si>
  <si>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</si>
  <si>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</si>
  <si>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</si>
  <si>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</si>
  <si>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</si>
  <si>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</si>
  <si>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</si>
  <si>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</si>
  <si>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</si>
  <si>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</si>
  <si>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</si>
  <si>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</si>
  <si>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</si>
  <si>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</si>
  <si>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</si>
  <si>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</si>
  <si>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</si>
  <si>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</si>
  <si>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</si>
  <si>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</si>
  <si>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</si>
  <si>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</si>
  <si>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</si>
  <si>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</si>
  <si>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</si>
  <si>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</si>
  <si>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</si>
  <si>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</si>
  <si>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</si>
  <si>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</si>
  <si>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</si>
  <si>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</si>
  <si>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</si>
  <si>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</si>
  <si>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</si>
  <si>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</si>
  <si>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</si>
  <si>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</si>
  <si>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</si>
  <si>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</si>
  <si>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</si>
  <si>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</si>
  <si>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</si>
  <si>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</si>
  <si>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</si>
  <si>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</si>
  <si>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</si>
  <si>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</si>
  <si>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</si>
  <si>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</si>
  <si>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</si>
  <si>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</si>
  <si>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</si>
  <si>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</si>
  <si>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</si>
  <si>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</si>
  <si>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</si>
  <si>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</si>
  <si>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</si>
  <si>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</si>
  <si>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</si>
  <si>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</si>
  <si>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</si>
  <si>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</si>
  <si>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</si>
  <si>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</si>
  <si>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</si>
  <si>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</si>
  <si>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</si>
  <si>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</si>
  <si>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</si>
  <si>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</si>
  <si>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</si>
  <si>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</si>
  <si>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</si>
  <si>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</si>
  <si>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</si>
  <si>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</si>
  <si>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</si>
  <si>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</si>
  <si>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</si>
  <si>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</si>
  <si>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</si>
  <si>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</si>
  <si>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</si>
  <si>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</si>
  <si>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</si>
  <si>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</si>
  <si>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</si>
  <si>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</si>
  <si>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</si>
  <si>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</si>
  <si>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</si>
  <si>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</si>
  <si>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</si>
  <si>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</si>
  <si>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</si>
  <si>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</si>
  <si>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</si>
  <si>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</si>
  <si>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</si>
  <si>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</si>
  <si>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</si>
  <si>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</si>
  <si>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</si>
  <si>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</si>
  <si>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</si>
  <si>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</si>
  <si>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</si>
  <si>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</si>
  <si>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</si>
  <si>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</si>
  <si>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</si>
  <si>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</si>
  <si>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</si>
  <si>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</si>
  <si>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</si>
  <si>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</si>
  <si>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</si>
  <si>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</si>
  <si>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</si>
  <si>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</si>
  <si>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</si>
  <si>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</si>
  <si>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</si>
  <si>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</si>
  <si>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</si>
  <si>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</si>
  <si>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</si>
  <si>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</si>
  <si>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</si>
  <si>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</si>
  <si>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</si>
  <si>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</si>
  <si>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</si>
  <si>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</si>
  <si>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</si>
  <si>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</si>
  <si>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</si>
  <si>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</si>
  <si>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</si>
  <si>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</si>
  <si>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</si>
  <si>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</si>
  <si>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</si>
  <si>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</si>
  <si>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</si>
  <si>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</si>
  <si>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</si>
  <si>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</si>
  <si>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</si>
  <si>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</si>
  <si>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</si>
  <si>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</si>
  <si>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</si>
  <si>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</si>
  <si>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</si>
  <si>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</si>
  <si>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</si>
  <si>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</si>
  <si>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</si>
  <si>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</si>
  <si>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</si>
  <si>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</si>
  <si>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</si>
  <si>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</si>
  <si>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</si>
  <si>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</si>
  <si>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</si>
  <si>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</si>
  <si>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</si>
  <si>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</si>
  <si>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</si>
  <si>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</si>
  <si>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</si>
  <si>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</si>
  <si>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</si>
  <si>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</si>
  <si>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</si>
  <si>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</si>
  <si>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</si>
  <si>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</si>
  <si>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</si>
  <si>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</si>
  <si>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</si>
  <si>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</si>
  <si>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</si>
  <si>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</si>
  <si>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</si>
  <si>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</si>
  <si>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</si>
  <si>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</si>
  <si>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</si>
  <si>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</si>
  <si>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</si>
  <si>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</si>
  <si>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</si>
  <si>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</si>
  <si>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</si>
  <si>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</si>
  <si>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</si>
  <si>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</si>
  <si>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</si>
  <si>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</si>
  <si>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</si>
  <si>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</si>
  <si>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</si>
  <si>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</si>
  <si>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</si>
  <si>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</si>
  <si>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</si>
  <si>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</si>
  <si>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</si>
  <si>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</si>
  <si>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</si>
  <si>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</si>
  <si>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</si>
  <si>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</si>
  <si>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</si>
  <si>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</si>
  <si>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</si>
  <si>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</si>
  <si>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</si>
  <si>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</si>
  <si>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</si>
  <si>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</si>
  <si>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</si>
  <si>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</si>
  <si>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</si>
  <si>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</si>
  <si>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</si>
  <si>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</si>
  <si>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</si>
  <si>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</si>
  <si>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</si>
  <si>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</si>
  <si>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</si>
  <si>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</si>
  <si>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</si>
  <si>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</si>
  <si>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</si>
  <si>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</si>
  <si>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</si>
  <si>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</si>
  <si>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</si>
  <si>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</si>
  <si>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</si>
  <si>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</si>
  <si>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</si>
  <si>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</si>
  <si>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</si>
  <si>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</si>
  <si>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</si>
  <si>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</si>
  <si>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</si>
  <si>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</si>
  <si>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</si>
  <si>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</si>
  <si>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</si>
  <si>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</si>
  <si>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</si>
  <si>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</si>
  <si>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</si>
  <si>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</si>
  <si>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</si>
  <si>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</si>
  <si>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</si>
  <si>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</si>
  <si>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</si>
  <si>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</si>
  <si>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</si>
  <si>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</si>
  <si>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</si>
  <si>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</si>
  <si>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</si>
  <si>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</si>
  <si>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</si>
  <si>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</si>
  <si>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</si>
  <si>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</si>
  <si>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</si>
  <si>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</si>
  <si>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</si>
  <si>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</si>
  <si>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</si>
  <si>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</si>
  <si>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</si>
  <si>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</si>
  <si>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</si>
  <si>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</si>
  <si>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</si>
  <si>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</si>
  <si>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</si>
  <si>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</si>
  <si>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</si>
  <si>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</si>
  <si>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</si>
  <si>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</si>
  <si>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</si>
  <si>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</si>
  <si>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</si>
  <si>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</si>
  <si>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</si>
  <si>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</si>
  <si>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</si>
  <si>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</si>
  <si>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</si>
  <si>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</si>
  <si>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</si>
  <si>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</si>
  <si>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</si>
  <si>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</si>
  <si>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</si>
  <si>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</si>
  <si>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</si>
  <si>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</si>
  <si>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</si>
  <si>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</si>
  <si>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</si>
  <si>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</si>
  <si>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</si>
  <si>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</si>
  <si>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</si>
  <si>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</si>
  <si>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</si>
  <si>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</si>
  <si>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</si>
  <si>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</si>
  <si>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</si>
  <si>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</si>
  <si>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</si>
  <si>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</si>
  <si>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</si>
  <si>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</si>
  <si>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</si>
  <si>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</si>
  <si>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</si>
  <si>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</si>
  <si>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</si>
  <si>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</si>
  <si>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</si>
  <si>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</si>
  <si>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</si>
  <si>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</si>
  <si>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</si>
  <si>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</si>
  <si>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</si>
  <si>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</si>
  <si>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</si>
  <si>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</si>
  <si>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</si>
  <si>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</si>
  <si>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</si>
  <si>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</si>
  <si>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</si>
  <si>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</si>
  <si>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</si>
  <si>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</si>
  <si>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</si>
  <si>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</si>
  <si>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</si>
  <si>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</si>
  <si>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</si>
  <si>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</si>
  <si>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</si>
  <si>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</si>
  <si>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</si>
  <si>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</si>
  <si>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</si>
  <si>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</si>
  <si>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</si>
  <si>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</si>
  <si>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</si>
  <si>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</si>
  <si>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</si>
  <si>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</si>
  <si>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</si>
  <si>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</si>
  <si>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</si>
  <si>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</si>
  <si>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</si>
  <si>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</si>
  <si>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</si>
  <si>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</si>
  <si>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</si>
  <si>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</si>
  <si>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</si>
  <si>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</si>
  <si>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</si>
  <si>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</si>
  <si>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</si>
  <si>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</si>
  <si>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</si>
  <si>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</si>
  <si>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</si>
  <si>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</si>
  <si>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</si>
  <si>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</si>
  <si>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</si>
  <si>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</si>
  <si>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</si>
  <si>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</si>
  <si>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</si>
  <si>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</si>
  <si>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</si>
  <si>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</si>
  <si>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</si>
  <si>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</si>
  <si>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</si>
  <si>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</si>
  <si>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</si>
  <si>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</si>
  <si>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</si>
  <si>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</si>
  <si>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</si>
  <si>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</si>
  <si>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</si>
  <si>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</si>
  <si>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</si>
  <si>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</si>
  <si>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</si>
  <si>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</si>
  <si>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</si>
  <si>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</si>
  <si>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</si>
  <si>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</si>
  <si>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</si>
  <si>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</si>
  <si>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</si>
  <si>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</si>
  <si>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</si>
  <si>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</si>
  <si>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</si>
  <si>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</si>
  <si>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</si>
  <si>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</si>
  <si>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</si>
  <si>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</si>
  <si>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</si>
  <si>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</si>
  <si>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</si>
  <si>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</si>
  <si>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</si>
  <si>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</si>
  <si>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</si>
  <si>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</si>
  <si>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</si>
  <si>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</si>
  <si>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</si>
  <si>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</si>
  <si>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</si>
  <si>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</si>
  <si>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</si>
  <si>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</si>
  <si>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</si>
  <si>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</si>
  <si>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</si>
  <si>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</si>
  <si>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</si>
  <si>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</si>
  <si>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</si>
  <si>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</si>
  <si>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</si>
  <si>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</si>
  <si>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</si>
  <si>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</si>
  <si>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</si>
  <si>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</si>
  <si>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</si>
  <si>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</si>
  <si>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</si>
  <si>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</si>
  <si>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</si>
  <si>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</si>
  <si>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</si>
  <si>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</si>
  <si>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</si>
  <si>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</si>
  <si>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</si>
  <si>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</si>
  <si>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</si>
  <si>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</si>
  <si>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</si>
  <si>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</si>
  <si>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</si>
  <si>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</si>
  <si>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</si>
  <si>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</si>
  <si>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</si>
  <si>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</si>
  <si>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</si>
  <si>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</si>
  <si>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</si>
  <si>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</si>
  <si>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</si>
  <si>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</si>
  <si>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</si>
  <si>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</si>
  <si>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</si>
  <si>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</si>
  <si>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</si>
  <si>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</si>
  <si>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</si>
  <si>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</si>
  <si>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</si>
  <si>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</si>
  <si>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</si>
  <si>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</si>
  <si>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</si>
  <si>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</si>
  <si>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</si>
  <si>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</si>
  <si>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</si>
  <si>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</si>
  <si>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</si>
  <si>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</si>
  <si>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</si>
  <si>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</si>
  <si>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</si>
  <si>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</si>
  <si>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</si>
  <si>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</si>
  <si>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</si>
  <si>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</si>
  <si>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</si>
  <si>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</si>
  <si>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</si>
  <si>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</si>
  <si>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</si>
  <si>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</si>
  <si>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</si>
  <si>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</si>
  <si>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</si>
  <si>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</si>
  <si>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</si>
  <si>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</si>
  <si>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</si>
  <si>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</si>
  <si>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</si>
  <si>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</si>
  <si>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</si>
  <si>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</si>
  <si>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</si>
  <si>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</si>
  <si>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</si>
  <si>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</si>
  <si>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</si>
  <si>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</si>
  <si>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</si>
  <si>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</si>
  <si>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</si>
  <si>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</si>
  <si>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</si>
  <si>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</si>
  <si>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</si>
  <si>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</si>
  <si>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</si>
  <si>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</si>
  <si>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</si>
  <si>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</si>
  <si>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</si>
  <si>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</si>
  <si>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</si>
  <si>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</si>
  <si>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</si>
  <si>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</si>
  <si>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</si>
  <si>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</si>
  <si>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</si>
  <si>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</si>
  <si>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</si>
  <si>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</si>
  <si>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</si>
  <si>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</si>
  <si>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</si>
  <si>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</si>
  <si>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</si>
  <si>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</si>
  <si>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</si>
  <si>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</si>
  <si>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</si>
  <si>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</si>
  <si>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</si>
  <si>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</si>
  <si>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</si>
  <si>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</si>
  <si>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</si>
  <si>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</si>
  <si>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</si>
  <si>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</si>
  <si>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</si>
  <si>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</si>
  <si>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</si>
  <si>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</si>
  <si>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</si>
  <si>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</si>
  <si>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</si>
  <si>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</si>
  <si>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</si>
  <si>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</si>
  <si>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</si>
  <si>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</si>
  <si>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</si>
  <si>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</si>
  <si>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</si>
  <si>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</si>
  <si>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</si>
  <si>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</si>
  <si>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</si>
  <si>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</si>
  <si>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</si>
  <si>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</si>
  <si>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</si>
  <si>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</si>
  <si>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</si>
  <si>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</si>
  <si>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</si>
  <si>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</si>
  <si>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</si>
  <si>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</si>
  <si>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</si>
  <si>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</si>
  <si>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</si>
  <si>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</si>
  <si>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</si>
  <si>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</si>
  <si>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</si>
  <si>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</si>
  <si>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</si>
  <si>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</si>
  <si>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</si>
  <si>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</si>
  <si>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</si>
  <si>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</si>
  <si>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</si>
  <si>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</si>
  <si>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</si>
  <si>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</si>
  <si>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</si>
  <si>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</si>
  <si>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</si>
  <si>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</si>
  <si>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</si>
  <si>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</si>
  <si>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</si>
  <si>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</si>
  <si>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</si>
  <si>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</si>
  <si>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</si>
  <si>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</si>
  <si>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</si>
  <si>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</si>
  <si>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</si>
  <si>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</si>
  <si>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</si>
  <si>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</si>
  <si>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</si>
  <si>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</si>
  <si>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</si>
  <si>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</si>
  <si>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</si>
  <si>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</si>
  <si>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</si>
  <si>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</si>
  <si>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</si>
  <si>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</si>
  <si>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</si>
  <si>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</si>
  <si>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</si>
  <si>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</si>
  <si>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</si>
  <si>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</si>
  <si>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</si>
  <si>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</si>
  <si>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</si>
  <si>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</si>
  <si>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</si>
  <si>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</si>
  <si>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</si>
  <si>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</si>
  <si>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</si>
  <si>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</si>
  <si>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</si>
  <si>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</si>
  <si>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</si>
  <si>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</si>
  <si>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</si>
  <si>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</si>
  <si>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</si>
  <si>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</si>
  <si>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</si>
  <si>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</si>
  <si>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</si>
  <si>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</si>
  <si>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</si>
  <si>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</si>
  <si>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</si>
  <si>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</si>
  <si>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</si>
  <si>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</si>
  <si>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</si>
  <si>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</si>
  <si>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</si>
  <si>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</si>
  <si>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</si>
  <si>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</si>
  <si>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</si>
  <si>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</si>
  <si>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</si>
  <si>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</si>
  <si>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</si>
  <si>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</si>
  <si>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</si>
  <si>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</si>
  <si>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</si>
  <si>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</si>
  <si>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</si>
  <si>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</si>
  <si>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</si>
  <si>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</si>
  <si>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</si>
  <si>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</si>
  <si>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</si>
  <si>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</si>
  <si>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</si>
  <si>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</si>
  <si>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</si>
  <si>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</si>
  <si>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</si>
  <si>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</si>
  <si>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</si>
  <si>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</si>
  <si>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</si>
  <si>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</si>
  <si>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</si>
  <si>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</si>
  <si>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</si>
  <si>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</si>
  <si>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</si>
  <si>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</si>
  <si>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</si>
  <si>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</si>
  <si>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</si>
  <si>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</si>
  <si>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</si>
  <si>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</si>
  <si>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</si>
  <si>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</si>
  <si>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</si>
  <si>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</si>
  <si>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</si>
  <si>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</si>
  <si>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</si>
  <si>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</si>
  <si>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</si>
  <si>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</si>
  <si>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</si>
  <si>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</si>
  <si>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</si>
  <si>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</si>
  <si>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</si>
  <si>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</si>
  <si>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</si>
  <si>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</si>
  <si>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</si>
  <si>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</si>
  <si>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</si>
  <si>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</si>
  <si>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</si>
  <si>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</si>
  <si>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</si>
  <si>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</si>
  <si>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</si>
  <si>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</si>
  <si>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</si>
  <si>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</si>
  <si>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</si>
  <si>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</si>
  <si>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</si>
  <si>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</si>
  <si>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</si>
  <si>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</si>
  <si>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</si>
  <si>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</si>
  <si>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</si>
  <si>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</si>
  <si>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</si>
  <si>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</si>
  <si>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</si>
  <si>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</si>
  <si>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</si>
  <si>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</si>
  <si>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</si>
  <si>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</si>
  <si>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</si>
  <si>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</si>
  <si>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</si>
  <si>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</si>
  <si>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</si>
  <si>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</si>
  <si>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</si>
  <si>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</si>
  <si>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</si>
  <si>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</si>
  <si>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</si>
  <si>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</si>
  <si>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</si>
  <si>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</si>
  <si>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</si>
  <si>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</si>
  <si>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</si>
  <si>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</si>
  <si>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</si>
  <si>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</si>
  <si>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</si>
  <si>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</si>
  <si>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</si>
  <si>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</si>
  <si>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</si>
  <si>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</si>
  <si>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</si>
  <si>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</si>
  <si>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</si>
  <si>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</si>
  <si>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</si>
  <si>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</si>
  <si>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</si>
  <si>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</si>
  <si>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</si>
  <si>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</si>
  <si>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</si>
  <si>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</si>
  <si>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</si>
  <si>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</si>
  <si>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</si>
  <si>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</si>
  <si>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</si>
  <si>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</si>
  <si>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</si>
  <si>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</si>
  <si>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</si>
  <si>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</si>
  <si>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</si>
  <si>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</si>
  <si>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</si>
  <si>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</si>
  <si>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</si>
  <si>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</si>
  <si>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</si>
  <si>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</si>
  <si>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</si>
  <si>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</si>
  <si>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</si>
  <si>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</si>
  <si>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</si>
  <si>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</si>
  <si>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</si>
  <si>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</si>
  <si>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</si>
  <si>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</si>
  <si>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</si>
  <si>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</si>
  <si>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</si>
  <si>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</si>
  <si>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</si>
  <si>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</si>
  <si>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</si>
  <si>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</si>
  <si>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</si>
  <si>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</si>
  <si>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</si>
  <si>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</si>
  <si>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</si>
  <si>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</si>
  <si>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</si>
  <si>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</si>
  <si>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</si>
  <si>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</si>
  <si>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</si>
  <si>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</si>
  <si>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</si>
  <si>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</si>
  <si>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</si>
  <si>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</si>
  <si>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</si>
  <si>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</si>
  <si>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</si>
  <si>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</si>
  <si>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</si>
  <si>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</si>
  <si>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</si>
  <si>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</si>
  <si>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</si>
  <si>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</si>
  <si>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</si>
  <si>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</si>
  <si>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</si>
  <si>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</si>
  <si>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</si>
  <si>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</si>
  <si>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</si>
  <si>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</si>
  <si>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</si>
  <si>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</si>
  <si>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</si>
  <si>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</si>
  <si>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</si>
  <si>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</si>
  <si>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</si>
  <si>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</si>
  <si>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</si>
  <si>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</si>
  <si>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</si>
  <si>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</si>
  <si>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</si>
  <si>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</si>
  <si>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</si>
  <si>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</si>
  <si>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</si>
  <si>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</si>
  <si>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</si>
  <si>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</si>
  <si>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</si>
  <si>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</si>
  <si>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</si>
  <si>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</si>
  <si>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</si>
  <si>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</si>
  <si>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</si>
  <si>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</si>
  <si>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</si>
  <si>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</si>
  <si>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</si>
  <si>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</si>
  <si>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</si>
  <si>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</si>
  <si>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</si>
  <si>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</si>
  <si>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</si>
  <si>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</si>
  <si>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</si>
  <si>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</si>
  <si>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</si>
  <si>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</si>
  <si>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</si>
  <si>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</si>
  <si>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</si>
  <si>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</si>
  <si>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</si>
  <si>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</si>
  <si>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</si>
  <si>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</si>
  <si>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</si>
  <si>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</si>
  <si>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</si>
  <si>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</si>
  <si>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</si>
  <si>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</si>
  <si>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</si>
  <si>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</si>
  <si>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</si>
  <si>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</si>
  <si>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</si>
  <si>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</si>
  <si>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</si>
  <si>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</si>
  <si>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</si>
  <si>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</si>
  <si>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</si>
  <si>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</si>
  <si>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</si>
  <si>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</si>
  <si>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</si>
  <si>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</si>
  <si>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</si>
  <si>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</si>
  <si>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</si>
  <si>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</si>
  <si>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</si>
  <si>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</si>
  <si>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</si>
  <si>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</si>
  <si>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</si>
  <si>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</si>
  <si>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</si>
  <si>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</si>
  <si>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</si>
  <si>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</si>
  <si>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</si>
  <si>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</si>
  <si>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</si>
  <si>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</si>
  <si>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</si>
  <si>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</si>
  <si>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</si>
  <si>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</si>
  <si>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</si>
  <si>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</si>
  <si>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</si>
  <si>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</si>
  <si>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</si>
  <si>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</si>
  <si>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</si>
  <si>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</si>
  <si>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</si>
  <si>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</si>
  <si>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</si>
  <si>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</si>
  <si>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</si>
  <si>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</si>
  <si>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</si>
  <si>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</si>
  <si>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</si>
  <si>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</si>
  <si>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</si>
  <si>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</si>
  <si>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</si>
  <si>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</si>
  <si>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</si>
  <si>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</si>
  <si>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</si>
  <si>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</si>
  <si>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</si>
  <si>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</si>
  <si>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</si>
  <si>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</si>
  <si>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</si>
  <si>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</si>
  <si>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</si>
  <si>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</si>
  <si>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</si>
  <si>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</si>
  <si>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</si>
  <si>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</si>
  <si>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</si>
  <si>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</si>
  <si>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</si>
  <si>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</si>
  <si>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</si>
  <si>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</si>
  <si>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</si>
  <si>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</si>
  <si>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</si>
  <si>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</si>
  <si>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</si>
  <si>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</si>
  <si>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</si>
  <si>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</si>
  <si>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</si>
  <si>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</si>
  <si>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</si>
  <si>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</si>
  <si>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</si>
  <si>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</si>
  <si>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</si>
  <si>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</si>
  <si>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</si>
  <si>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</si>
  <si>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</si>
  <si>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</si>
  <si>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</si>
  <si>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</si>
  <si>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</si>
  <si>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</si>
  <si>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</si>
  <si>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</si>
  <si>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</si>
  <si>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</si>
  <si>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</si>
  <si>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</si>
  <si>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</si>
  <si>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</si>
  <si>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</si>
  <si>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</si>
  <si>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</si>
  <si>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</si>
  <si>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</si>
  <si>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</si>
  <si>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</si>
  <si>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</si>
  <si>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</si>
  <si>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</si>
  <si>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</si>
  <si>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</si>
  <si>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</si>
  <si>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</si>
  <si>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</si>
  <si>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</si>
  <si>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</si>
  <si>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</si>
  <si>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</si>
  <si>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</si>
  <si>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</si>
  <si>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</si>
  <si>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</si>
  <si>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</si>
  <si>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</si>
  <si>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</si>
  <si>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</si>
  <si>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</si>
  <si>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</si>
  <si>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</si>
  <si>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</si>
  <si>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</si>
  <si>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</si>
  <si>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</si>
  <si>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</si>
  <si>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</si>
  <si>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</si>
  <si>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</si>
  <si>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</si>
  <si>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</si>
  <si>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</si>
  <si>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</si>
  <si>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</si>
  <si>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</si>
  <si>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</si>
  <si>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</si>
  <si>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</si>
  <si>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</si>
  <si>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</si>
  <si>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</si>
  <si>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</si>
  <si>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</si>
  <si>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</si>
  <si>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</si>
  <si>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</si>
  <si>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</si>
  <si>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</si>
  <si>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</si>
  <si>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</si>
  <si>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</si>
  <si>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</si>
  <si>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</si>
  <si>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</si>
  <si>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</si>
  <si>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</si>
  <si>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</si>
  <si>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</si>
  <si>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</si>
  <si>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</si>
  <si>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</si>
  <si>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</si>
  <si>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</si>
  <si>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</si>
  <si>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</si>
  <si>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</si>
  <si>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</si>
  <si>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</si>
  <si>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</si>
  <si>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</si>
  <si>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</si>
  <si>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</si>
  <si>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</si>
  <si>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</si>
  <si>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</si>
  <si>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</si>
  <si>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</si>
  <si>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</si>
  <si>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</si>
  <si>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</si>
  <si>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</si>
  <si>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</si>
  <si>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</si>
  <si>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</si>
  <si>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</si>
  <si>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</si>
  <si>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</si>
  <si>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</si>
  <si>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</si>
  <si>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</si>
  <si>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</si>
  <si>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</si>
  <si>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</si>
  <si>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</si>
  <si>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</si>
  <si>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</si>
  <si>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</si>
  <si>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</si>
  <si>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</si>
  <si>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</si>
  <si>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</si>
  <si>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</si>
  <si>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</si>
  <si>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</si>
  <si>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</si>
  <si>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</si>
  <si>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</si>
  <si>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</si>
  <si>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</si>
  <si>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</si>
  <si>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</si>
  <si>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</si>
  <si>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</si>
  <si>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</si>
  <si>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</si>
  <si>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</si>
  <si>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</si>
  <si>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</si>
  <si>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</si>
  <si>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</si>
  <si>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</si>
  <si>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</si>
  <si>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</si>
  <si>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</si>
  <si>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</si>
  <si>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</si>
  <si>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</si>
  <si>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</si>
  <si>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</si>
  <si>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</si>
  <si>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</si>
  <si>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</si>
  <si>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</si>
  <si>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</si>
  <si>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</si>
  <si>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</si>
  <si>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</si>
  <si>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</si>
  <si>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</si>
  <si>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</si>
  <si>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</si>
  <si>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</si>
  <si>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</si>
  <si>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</si>
  <si>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</si>
  <si>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</si>
  <si>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</si>
  <si>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</si>
  <si>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</si>
  <si>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</si>
  <si>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</si>
  <si>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</si>
  <si>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</si>
  <si>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</si>
  <si>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</si>
  <si>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</si>
  <si>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</si>
  <si>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</si>
  <si>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</si>
  <si>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</si>
  <si>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</si>
  <si>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</si>
  <si>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</si>
  <si>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</si>
  <si>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</si>
  <si>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</si>
  <si>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</si>
  <si>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</si>
  <si>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</si>
  <si>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</si>
  <si>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</si>
  <si>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</si>
  <si>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</si>
  <si>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</si>
  <si>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</si>
  <si>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</si>
  <si>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</si>
  <si>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</si>
  <si>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</si>
  <si>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</si>
  <si>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</si>
  <si>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</si>
  <si>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</si>
  <si>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</si>
  <si>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</si>
  <si>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</si>
  <si>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</si>
  <si>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</si>
  <si>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</si>
  <si>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</si>
  <si>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</si>
  <si>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</si>
  <si>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</si>
  <si>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</si>
  <si>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</si>
  <si>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</si>
  <si>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</si>
  <si>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</si>
  <si>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</si>
  <si>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</si>
  <si>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</si>
  <si>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</si>
  <si>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</si>
  <si>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</si>
  <si>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</si>
  <si>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</si>
  <si>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</si>
  <si>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</si>
  <si>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</si>
  <si>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</si>
  <si>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</si>
  <si>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</si>
  <si>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</si>
  <si>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</si>
  <si>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</si>
  <si>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</si>
  <si>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</si>
  <si>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</si>
  <si>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</si>
  <si>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</si>
  <si>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</si>
  <si>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</si>
  <si>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</si>
  <si>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</si>
  <si>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</si>
  <si>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</si>
  <si>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</si>
  <si>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</si>
  <si>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</si>
  <si>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</si>
  <si>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</si>
  <si>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</si>
  <si>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</si>
  <si>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</si>
  <si>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</si>
  <si>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</si>
  <si>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</si>
  <si>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</si>
  <si>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</si>
  <si>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</si>
  <si>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</si>
  <si>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</si>
  <si>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</si>
  <si>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</si>
  <si>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</si>
  <si>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</si>
  <si>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</si>
  <si>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</si>
  <si>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</si>
  <si>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</si>
  <si>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</si>
  <si>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</si>
  <si>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</si>
  <si>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</si>
  <si>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</si>
  <si>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</si>
  <si>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</si>
  <si>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</si>
  <si>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</si>
  <si>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</si>
  <si>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</si>
  <si>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</si>
  <si>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</si>
  <si>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</si>
  <si>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</si>
  <si>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</si>
  <si>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</si>
  <si>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</si>
  <si>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</si>
  <si>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</si>
  <si>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</si>
  <si>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</si>
  <si>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</si>
  <si>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</si>
  <si>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</si>
  <si>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</si>
  <si>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</si>
  <si>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</si>
  <si>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</si>
  <si>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</si>
  <si>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</si>
  <si>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</si>
  <si>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</si>
  <si>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</si>
  <si>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</si>
  <si>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</si>
  <si>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</si>
  <si>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</si>
  <si>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</si>
  <si>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</si>
  <si>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</si>
  <si>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</si>
  <si>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</si>
  <si>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</si>
  <si>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</si>
  <si>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</si>
  <si>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</si>
  <si>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</si>
  <si>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</si>
  <si>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</si>
  <si>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</si>
  <si>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</si>
  <si>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</si>
  <si>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</si>
  <si>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</si>
  <si>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</si>
  <si>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</si>
  <si>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</si>
  <si>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</si>
  <si>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</si>
  <si>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</si>
  <si>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</si>
  <si>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</si>
  <si>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</si>
  <si>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</si>
  <si>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</si>
  <si>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</si>
  <si>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</si>
  <si>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</si>
  <si>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</si>
  <si>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</si>
  <si>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</si>
  <si>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</si>
  <si>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</si>
  <si>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</si>
  <si>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</si>
  <si>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</si>
  <si>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</si>
  <si>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</si>
  <si>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</si>
  <si>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</si>
  <si>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</si>
  <si>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</si>
  <si>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</si>
  <si>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</si>
  <si>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</si>
  <si>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</si>
  <si>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</si>
  <si>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</si>
  <si>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</si>
  <si>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</si>
  <si>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</si>
  <si>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</si>
  <si>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</si>
  <si>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</si>
  <si>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</si>
  <si>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</si>
  <si>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</si>
  <si>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</si>
  <si>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</si>
  <si>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</si>
  <si>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</si>
  <si>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</si>
  <si>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</si>
  <si>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</si>
  <si>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</si>
  <si>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</si>
  <si>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</si>
  <si>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</si>
  <si>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</si>
  <si>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</si>
  <si>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</si>
  <si>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</si>
  <si>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</si>
  <si>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</si>
  <si>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</si>
  <si>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</si>
  <si>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</si>
  <si>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</si>
  <si>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</si>
  <si>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</si>
  <si>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</si>
  <si>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</si>
  <si>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</si>
  <si>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</si>
  <si>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</si>
  <si>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</si>
  <si>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</si>
  <si>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</si>
  <si>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</si>
  <si>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</si>
  <si>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</si>
  <si>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</si>
  <si>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</si>
  <si>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</si>
  <si>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</si>
  <si>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</si>
  <si>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</si>
  <si>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</si>
  <si>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</si>
  <si>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</si>
  <si>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</si>
  <si>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</si>
  <si>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</si>
  <si>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</si>
  <si>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</si>
  <si>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</si>
  <si>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</si>
  <si>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</si>
  <si>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</si>
  <si>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</si>
  <si>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</si>
  <si>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</si>
  <si>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</si>
  <si>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</si>
  <si>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</si>
  <si>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</si>
  <si>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</si>
  <si>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</si>
  <si>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</si>
  <si>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</si>
  <si>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</si>
  <si>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</si>
  <si>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</si>
  <si>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</si>
  <si>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</si>
  <si>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</si>
  <si>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</si>
  <si>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</si>
  <si>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</si>
  <si>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</si>
  <si>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</si>
  <si>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</si>
  <si>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</si>
  <si>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</si>
  <si>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</si>
  <si>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</si>
  <si>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</si>
  <si>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</si>
  <si>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</si>
  <si>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</si>
  <si>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</si>
  <si>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</si>
  <si>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</si>
  <si>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</si>
  <si>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</si>
  <si>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</si>
  <si>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</si>
  <si>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</si>
  <si>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</si>
  <si>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</si>
  <si>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</si>
  <si>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</si>
  <si>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</si>
  <si>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</si>
  <si>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</si>
  <si>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</si>
  <si>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</si>
  <si>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</si>
  <si>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</si>
  <si>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</si>
  <si>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</si>
  <si>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</si>
  <si>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</si>
  <si>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</si>
  <si>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</si>
  <si>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</si>
  <si>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</si>
  <si>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</si>
  <si>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</si>
  <si>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</si>
  <si>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</si>
  <si>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</si>
  <si>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</si>
  <si>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</si>
  <si>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</si>
  <si>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</si>
  <si>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</si>
  <si>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</si>
  <si>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</si>
  <si>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</si>
  <si>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</si>
  <si>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</si>
  <si>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</si>
  <si>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</si>
  <si>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</si>
  <si>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</si>
  <si>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</si>
  <si>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</si>
  <si>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</si>
  <si>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</si>
  <si>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</si>
  <si>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</si>
  <si>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</si>
  <si>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</si>
  <si>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</si>
  <si>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</si>
  <si>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</si>
  <si>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</si>
  <si>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</si>
  <si>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</si>
  <si>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</si>
  <si>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</si>
  <si>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</si>
  <si>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</si>
  <si>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</si>
  <si>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</si>
  <si>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</si>
  <si>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</si>
  <si>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</si>
  <si>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</si>
  <si>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</si>
  <si>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</si>
  <si>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</si>
  <si>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</si>
  <si>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</si>
  <si>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</si>
  <si>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</si>
  <si>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</si>
  <si>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</si>
  <si>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</si>
  <si>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</si>
  <si>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</si>
  <si>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</si>
  <si>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</si>
  <si>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</si>
  <si>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</si>
  <si>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</si>
  <si>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</si>
  <si>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</si>
  <si>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</si>
  <si>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</si>
  <si>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</si>
  <si>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</si>
  <si>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</si>
  <si>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</si>
  <si>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</si>
  <si>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</si>
  <si>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</si>
  <si>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</si>
  <si>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</si>
  <si>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</si>
  <si>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</si>
  <si>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</si>
  <si>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</si>
  <si>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</si>
  <si>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</si>
  <si>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</si>
  <si>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</si>
  <si>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</si>
  <si>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</si>
  <si>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</si>
  <si>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</si>
  <si>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</si>
  <si>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</si>
  <si>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</si>
  <si>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</si>
  <si>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</si>
  <si>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</si>
  <si>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</si>
  <si>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</si>
  <si>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</si>
  <si>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</si>
  <si>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</si>
  <si>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</si>
  <si>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</si>
  <si>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</si>
  <si>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</si>
  <si>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</si>
  <si>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</si>
  <si>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</si>
  <si>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</si>
  <si>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</si>
  <si>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</si>
  <si>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</si>
  <si>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</si>
  <si>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</si>
  <si>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</si>
  <si>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</si>
  <si>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</si>
  <si>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</si>
  <si>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</si>
  <si>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</si>
  <si>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</si>
  <si>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</si>
  <si>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</si>
  <si>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</si>
  <si>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</si>
  <si>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</si>
  <si>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</si>
  <si>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</si>
  <si>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</si>
  <si>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</si>
  <si>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</si>
  <si>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</si>
  <si>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</si>
  <si>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</si>
  <si>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</si>
  <si>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</si>
  <si>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</si>
  <si>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</si>
  <si>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</si>
  <si>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</si>
  <si>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</si>
  <si>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</si>
  <si>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</si>
  <si>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</si>
  <si>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</si>
  <si>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</si>
  <si>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</si>
  <si>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</si>
  <si>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</si>
  <si>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</si>
  <si>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</si>
  <si>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</si>
  <si>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</si>
  <si>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</si>
  <si>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</si>
  <si>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</si>
  <si>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</si>
  <si>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</si>
  <si>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</si>
  <si>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</si>
  <si>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</si>
  <si>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</si>
  <si>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</si>
  <si>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</si>
  <si>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</si>
  <si>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</si>
  <si>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</si>
  <si>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</si>
  <si>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</si>
  <si>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</si>
  <si>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</si>
  <si>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</si>
  <si>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</si>
  <si>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</si>
  <si>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</si>
  <si>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</si>
  <si>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</si>
  <si>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</si>
  <si>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</si>
  <si>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</si>
  <si>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</si>
  <si>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</si>
  <si>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</si>
  <si>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</si>
  <si>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</si>
  <si>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</si>
  <si>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</si>
  <si>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</si>
  <si>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</si>
  <si>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</si>
  <si>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</si>
  <si>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</si>
  <si>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</si>
  <si>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</si>
  <si>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</si>
  <si>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</si>
  <si>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</si>
  <si>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</si>
  <si>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</si>
  <si>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</si>
  <si>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</si>
  <si>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</si>
  <si>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</si>
  <si>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</si>
  <si>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</si>
  <si>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</si>
  <si>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</si>
  <si>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</si>
  <si>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</si>
  <si>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</si>
  <si>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</si>
  <si>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</si>
  <si>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</si>
  <si>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</si>
  <si>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</si>
  <si>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</si>
  <si>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</si>
  <si>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</si>
  <si>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</si>
  <si>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</si>
  <si>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</si>
  <si>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</si>
  <si>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</si>
  <si>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</si>
  <si>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</si>
  <si>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</si>
  <si>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</si>
  <si>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</si>
  <si>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</si>
  <si>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</si>
  <si>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</si>
  <si>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</si>
  <si>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</si>
  <si>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</si>
  <si>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</si>
  <si>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</si>
  <si>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</si>
  <si>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</si>
  <si>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</si>
  <si>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</si>
  <si>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</si>
  <si>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</si>
  <si>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</si>
  <si>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</si>
  <si>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</si>
  <si>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</si>
  <si>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</si>
  <si>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</si>
  <si>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</si>
  <si>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</si>
  <si>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</si>
  <si>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</si>
  <si>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</si>
  <si>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</si>
  <si>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</si>
  <si>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</si>
  <si>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</si>
  <si>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</si>
  <si>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</si>
  <si>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</si>
  <si>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</si>
  <si>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</si>
  <si>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</si>
  <si>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</si>
  <si>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</si>
  <si>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</si>
  <si>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</si>
  <si>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</si>
  <si>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</si>
  <si>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</si>
  <si>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</si>
  <si>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</si>
  <si>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</si>
  <si>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</si>
  <si>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</si>
  <si>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</si>
  <si>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</si>
  <si>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</si>
  <si>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</si>
  <si>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</si>
  <si>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</si>
  <si>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</si>
  <si>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</si>
  <si>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</si>
  <si>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</si>
  <si>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</si>
  <si>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</si>
  <si>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</si>
  <si>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</si>
  <si>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</si>
  <si>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</si>
  <si>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</si>
  <si>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</si>
  <si>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</si>
  <si>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</si>
  <si>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</si>
  <si>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</si>
  <si>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</si>
  <si>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</si>
  <si>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</si>
  <si>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</si>
  <si>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</si>
  <si>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</si>
  <si>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</si>
  <si>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</si>
  <si>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</si>
  <si>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</si>
  <si>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</si>
  <si>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</si>
  <si>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</si>
  <si>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</si>
  <si>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</si>
  <si>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</si>
  <si>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</si>
  <si>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</si>
  <si>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</si>
  <si>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</si>
  <si>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</si>
  <si>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</si>
  <si>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</si>
  <si>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</si>
  <si>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</si>
  <si>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</si>
  <si>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</si>
  <si>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</si>
  <si>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</si>
  <si>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</si>
  <si>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</si>
  <si>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</si>
  <si>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</si>
  <si>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</si>
  <si>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</si>
  <si>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</si>
  <si>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</si>
  <si>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</si>
  <si>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</si>
  <si>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</si>
  <si>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</si>
  <si>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</si>
  <si>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</si>
  <si>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</si>
  <si>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</si>
  <si>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</si>
  <si>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</si>
  <si>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</si>
  <si>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</si>
  <si>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</si>
  <si>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</si>
  <si>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</si>
  <si>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</si>
  <si>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</si>
  <si>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</si>
  <si>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</si>
  <si>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</si>
  <si>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</si>
  <si>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</si>
  <si>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</si>
  <si>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</si>
  <si>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</si>
  <si>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</si>
  <si>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</si>
  <si>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</si>
  <si>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</si>
  <si>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</si>
  <si>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</si>
  <si>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</si>
  <si>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</si>
  <si>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</si>
  <si>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</si>
  <si>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</si>
  <si>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</si>
  <si>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</si>
  <si>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</si>
  <si>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</si>
  <si>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</si>
  <si>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</si>
  <si>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</si>
  <si>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</si>
  <si>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</si>
  <si>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</si>
  <si>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</si>
  <si>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</si>
  <si>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</si>
  <si>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</si>
  <si>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</si>
  <si>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</si>
  <si>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</si>
  <si>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</si>
  <si>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</si>
  <si>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</si>
  <si>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</si>
  <si>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</si>
  <si>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</si>
  <si>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</si>
  <si>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</si>
  <si>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</si>
  <si>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</si>
  <si>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</si>
  <si>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</si>
  <si>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</si>
  <si>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</si>
  <si>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</si>
  <si>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</si>
  <si>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</si>
  <si>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</si>
  <si>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</si>
  <si>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</si>
  <si>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</si>
  <si>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</si>
  <si>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</si>
  <si>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</si>
  <si>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</si>
  <si>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</si>
  <si>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</si>
  <si>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</si>
  <si>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</si>
  <si>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</si>
  <si>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</si>
  <si>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</si>
  <si>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</si>
  <si>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</si>
  <si>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</si>
  <si>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</si>
  <si>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</si>
  <si>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</si>
  <si>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</si>
  <si>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</si>
  <si>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</si>
  <si>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</si>
  <si>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</si>
  <si>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</si>
  <si>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</si>
  <si>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</si>
  <si>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</si>
  <si>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</si>
  <si>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</si>
  <si>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</si>
  <si>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</si>
  <si>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</si>
  <si>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</si>
  <si>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</si>
  <si>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</si>
  <si>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</si>
  <si>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</si>
  <si>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</si>
  <si>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</si>
  <si>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</si>
  <si>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</si>
  <si>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</si>
  <si>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</si>
  <si>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</si>
  <si>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</si>
  <si>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</si>
  <si>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</si>
  <si>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</si>
  <si>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</si>
  <si>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</si>
  <si>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</si>
  <si>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</si>
  <si>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</si>
  <si>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</si>
  <si>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</si>
  <si>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</si>
  <si>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</si>
  <si>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</si>
  <si>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</si>
  <si>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</si>
  <si>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</si>
  <si>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</si>
  <si>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</si>
  <si>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</si>
  <si>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</si>
  <si>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</si>
  <si>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</si>
  <si>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</si>
  <si>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</si>
  <si>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</si>
  <si>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</si>
  <si>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</si>
  <si>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</si>
  <si>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</si>
  <si>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</si>
  <si>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</si>
  <si>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</si>
  <si>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</si>
  <si>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</si>
  <si>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</si>
  <si>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</si>
  <si>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</si>
  <si>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</si>
  <si>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</si>
  <si>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</si>
  <si>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</si>
  <si>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</si>
  <si>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</si>
  <si>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</si>
  <si>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</si>
  <si>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</si>
  <si>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</si>
  <si>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</si>
  <si>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</si>
  <si>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</si>
  <si>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</si>
  <si>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</si>
  <si>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</si>
  <si>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</si>
  <si>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</si>
  <si>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</si>
  <si>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</si>
  <si>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</si>
  <si>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</si>
  <si>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</si>
  <si>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</si>
  <si>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</si>
  <si>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</si>
  <si>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</si>
  <si>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</si>
  <si>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</si>
  <si>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</si>
  <si>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</si>
  <si>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</si>
  <si>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</si>
  <si>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</si>
  <si>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</si>
  <si>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</si>
  <si>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</si>
  <si>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</si>
  <si>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</si>
  <si>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</si>
  <si>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</si>
  <si>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</si>
  <si>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</si>
  <si>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</si>
  <si>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</si>
  <si>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</si>
  <si>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</si>
  <si>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</si>
  <si>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</si>
  <si>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</si>
  <si>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</si>
  <si>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</si>
  <si>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</si>
  <si>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</si>
  <si>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</si>
  <si>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</si>
  <si>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</si>
  <si>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</si>
  <si>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</si>
  <si>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</si>
  <si>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</si>
  <si>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</si>
  <si>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</si>
  <si>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</si>
  <si>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</si>
  <si>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</si>
  <si>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</si>
  <si>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</si>
  <si>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</si>
  <si>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</si>
  <si>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</si>
  <si>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</si>
  <si>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</si>
  <si>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</si>
  <si>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</si>
  <si>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</si>
  <si>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</si>
  <si>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</si>
  <si>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</si>
  <si>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</si>
  <si>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</si>
  <si>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</si>
  <si>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</si>
  <si>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</si>
  <si>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</si>
  <si>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</si>
  <si>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</si>
  <si>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</si>
  <si>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</si>
  <si>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</si>
  <si>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</si>
  <si>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</si>
  <si>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</si>
  <si>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</si>
  <si>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</si>
  <si>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</si>
  <si>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</si>
  <si>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</si>
  <si>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</si>
  <si>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</si>
  <si>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</si>
  <si>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</si>
  <si>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</si>
  <si>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</si>
  <si>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</si>
  <si>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</si>
  <si>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</si>
  <si>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</si>
  <si>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</si>
  <si>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</si>
  <si>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</si>
  <si>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</si>
  <si>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</si>
  <si>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</si>
  <si>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</si>
  <si>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</si>
  <si>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</si>
  <si>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</si>
  <si>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</si>
  <si>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</si>
  <si>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</si>
  <si>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</si>
  <si>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</si>
  <si>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</si>
  <si>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</si>
  <si>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</si>
  <si>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</si>
  <si>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</si>
  <si>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</si>
  <si>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</si>
  <si>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</si>
  <si>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</si>
  <si>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</si>
  <si>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</si>
  <si>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</si>
  <si>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</si>
  <si>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</si>
  <si>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</si>
  <si>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</si>
  <si>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</si>
  <si>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</si>
  <si>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</si>
  <si>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</si>
  <si>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</si>
  <si>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</si>
  <si>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</si>
  <si>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</si>
  <si>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</si>
  <si>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</si>
  <si>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</si>
  <si>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</si>
  <si>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</si>
  <si>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</si>
  <si>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</si>
  <si>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</si>
  <si>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</si>
  <si>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</si>
  <si>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</si>
  <si>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</si>
  <si>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</si>
  <si>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</si>
  <si>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</si>
  <si>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</si>
  <si>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</si>
  <si>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</si>
  <si>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</si>
  <si>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</si>
  <si>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</si>
  <si>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</si>
  <si>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</si>
  <si>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</si>
  <si>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</si>
  <si>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</si>
  <si>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</si>
  <si>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</si>
  <si>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</si>
  <si>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</si>
  <si>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</si>
  <si>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</si>
  <si>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</si>
  <si>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</si>
  <si>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</si>
  <si>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</si>
  <si>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</si>
  <si>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</si>
  <si>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</si>
  <si>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</si>
  <si>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</si>
  <si>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</si>
  <si>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</si>
  <si>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</si>
  <si>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</si>
  <si>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</si>
  <si>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</si>
  <si>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</si>
  <si>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</si>
  <si>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</si>
  <si>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</si>
  <si>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</si>
  <si>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</si>
  <si>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</si>
  <si>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</si>
  <si>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</si>
  <si>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</si>
  <si>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</si>
  <si>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</si>
  <si>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</si>
  <si>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</si>
  <si>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</si>
  <si>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</si>
  <si>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</si>
  <si>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</si>
  <si>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</si>
  <si>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</si>
  <si>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</si>
  <si>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</si>
  <si>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</si>
  <si>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</si>
  <si>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</si>
  <si>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</si>
  <si>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</si>
  <si>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</si>
  <si>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</si>
  <si>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</si>
  <si>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</si>
  <si>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</si>
  <si>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</si>
  <si>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</si>
  <si>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</si>
  <si>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</si>
  <si>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</si>
  <si>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</si>
  <si>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</si>
  <si>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</si>
  <si>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</si>
  <si>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</si>
  <si>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</si>
  <si>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</si>
  <si>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</si>
  <si>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</si>
  <si>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</si>
  <si>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</si>
  <si>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</si>
  <si>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</si>
  <si>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</si>
  <si>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</si>
  <si>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</si>
  <si>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</si>
  <si>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</si>
  <si>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</si>
  <si>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</si>
  <si>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</si>
  <si>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</si>
  <si>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</si>
  <si>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</si>
  <si>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</si>
  <si>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</si>
  <si>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</si>
  <si>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</si>
  <si>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</si>
  <si>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</si>
  <si>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</si>
  <si>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</si>
  <si>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</si>
  <si>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</si>
  <si>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</si>
  <si>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</si>
  <si>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</si>
  <si>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</si>
  <si>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</si>
  <si>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</si>
  <si>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</si>
  <si>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</si>
  <si>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</si>
  <si>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</si>
  <si>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</si>
  <si>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</si>
  <si>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</si>
  <si>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</si>
  <si>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</si>
  <si>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</si>
  <si>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</si>
  <si>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</si>
  <si>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</si>
  <si>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</si>
  <si>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</si>
  <si>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</si>
  <si>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</si>
  <si>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</si>
  <si>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</si>
  <si>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</si>
  <si>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</si>
  <si>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</si>
  <si>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</si>
  <si>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</si>
  <si>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</si>
  <si>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</si>
  <si>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</si>
  <si>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</si>
  <si>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</si>
  <si>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</si>
  <si>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</si>
  <si>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</si>
  <si>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</si>
  <si>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</si>
  <si>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</si>
  <si>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</si>
  <si>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</si>
  <si>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</si>
  <si>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</si>
  <si>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</si>
  <si>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</si>
  <si>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</si>
  <si>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</si>
  <si>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</si>
  <si>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</si>
  <si>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</si>
  <si>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</si>
  <si>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</si>
  <si>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</si>
  <si>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</si>
  <si>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</si>
  <si>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</si>
  <si>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</si>
  <si>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</si>
  <si>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</si>
  <si>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</si>
  <si>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</si>
  <si>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</si>
  <si>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</si>
  <si>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</si>
  <si>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</si>
  <si>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</si>
  <si>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</si>
  <si>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</si>
  <si>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</si>
  <si>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</si>
  <si>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</si>
  <si>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</si>
  <si>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</si>
  <si>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</si>
  <si>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</si>
  <si>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</si>
  <si>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</si>
  <si>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</si>
  <si>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</si>
  <si>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</si>
  <si>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</si>
  <si>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</si>
  <si>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</si>
  <si>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</si>
  <si>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</si>
  <si>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</si>
  <si>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</si>
  <si>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</si>
  <si>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</si>
  <si>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</si>
  <si>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</si>
  <si>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</si>
  <si>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</si>
  <si>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</si>
  <si>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</si>
  <si>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</si>
  <si>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</si>
  <si>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</si>
  <si>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</si>
  <si>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</si>
  <si>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</si>
  <si>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</si>
  <si>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</si>
  <si>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</si>
  <si>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</si>
  <si>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</si>
  <si>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</si>
  <si>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</si>
  <si>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</si>
  <si>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</si>
  <si>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</si>
  <si>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</si>
  <si>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</si>
  <si>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</si>
  <si>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</si>
  <si>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</si>
  <si>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</si>
  <si>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</si>
  <si>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</si>
  <si>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</si>
  <si>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</si>
  <si>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</si>
  <si>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</si>
  <si>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</si>
  <si>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</si>
  <si>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</si>
  <si>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</si>
  <si>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</si>
  <si>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</si>
  <si>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</si>
  <si>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</si>
  <si>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</si>
  <si>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</si>
  <si>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</si>
  <si>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</si>
  <si>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</si>
  <si>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</si>
  <si>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</si>
  <si>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</si>
  <si>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</si>
  <si>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</si>
  <si>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</si>
  <si>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</si>
  <si>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</si>
  <si>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</si>
  <si>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</si>
  <si>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</si>
  <si>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</si>
  <si>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</si>
  <si>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</si>
  <si>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</si>
  <si>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</si>
  <si>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</si>
  <si>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</si>
  <si>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</si>
  <si>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</si>
  <si>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</si>
  <si>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</si>
  <si>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</si>
  <si>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</si>
  <si>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</si>
  <si>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</si>
  <si>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</si>
  <si>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</si>
  <si>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</si>
  <si>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</si>
  <si>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</si>
  <si>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</si>
  <si>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</si>
  <si>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</si>
  <si>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</si>
  <si>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</si>
  <si>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</si>
  <si>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</si>
  <si>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</si>
  <si>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</si>
  <si>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</si>
  <si>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</si>
  <si>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</si>
  <si>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</si>
  <si>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</si>
  <si>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</si>
  <si>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</si>
  <si>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</si>
  <si>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</si>
  <si>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</si>
  <si>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</si>
  <si>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</si>
  <si>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</si>
  <si>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</si>
  <si>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</si>
  <si>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</si>
  <si>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</si>
  <si>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</si>
  <si>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</si>
  <si>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</si>
  <si>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</si>
  <si>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</si>
  <si>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</si>
  <si>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</si>
  <si>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</si>
  <si>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</si>
  <si>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</si>
  <si>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</si>
  <si>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</si>
  <si>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</si>
  <si>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</si>
  <si>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</si>
  <si>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</si>
  <si>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</si>
  <si>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</si>
  <si>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</si>
  <si>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</si>
  <si>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</si>
  <si>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</si>
  <si>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</si>
  <si>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</si>
  <si>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</si>
  <si>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</si>
  <si>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</si>
  <si>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</si>
  <si>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</si>
  <si>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</si>
  <si>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</si>
  <si>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</si>
  <si>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</si>
  <si>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</si>
  <si>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</si>
  <si>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</si>
  <si>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</si>
  <si>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</si>
  <si>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</si>
  <si>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</si>
  <si>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</si>
  <si>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</si>
  <si>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</si>
  <si>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</si>
  <si>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</si>
  <si>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</si>
  <si>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</si>
  <si>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</si>
  <si>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</si>
  <si>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</si>
  <si>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</si>
  <si>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</si>
  <si>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</si>
  <si>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</si>
  <si>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</si>
  <si>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</si>
  <si>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</si>
  <si>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</si>
  <si>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</si>
  <si>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</si>
  <si>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</si>
  <si>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</si>
  <si>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</si>
  <si>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</si>
  <si>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</si>
  <si>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</si>
  <si>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</si>
  <si>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</si>
  <si>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</si>
  <si>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</si>
  <si>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</si>
  <si>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</si>
  <si>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</si>
  <si>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</si>
  <si>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</si>
  <si>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</si>
  <si>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</si>
  <si>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</si>
  <si>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</si>
  <si>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</si>
  <si>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</si>
  <si>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</si>
  <si>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</si>
  <si>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</si>
  <si>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</si>
  <si>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</si>
  <si>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</si>
  <si>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</si>
  <si>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</si>
  <si>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</si>
  <si>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</si>
  <si>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</si>
  <si>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</si>
  <si>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</si>
  <si>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</si>
  <si>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</si>
  <si>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</si>
  <si>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</si>
  <si>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</si>
  <si>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</si>
  <si>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</si>
  <si>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</si>
  <si>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</si>
  <si>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</si>
  <si>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</si>
  <si>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</si>
  <si>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</si>
  <si>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</si>
  <si>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</si>
  <si>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</si>
  <si>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</si>
  <si>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</si>
  <si>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</si>
  <si>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</si>
  <si>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</si>
  <si>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</si>
  <si>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</si>
  <si>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</si>
  <si>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</si>
  <si>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</si>
  <si>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</si>
  <si>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</si>
  <si>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</si>
  <si>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</si>
  <si>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</si>
  <si>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</si>
  <si>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</si>
  <si>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</si>
  <si>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</si>
  <si>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</si>
  <si>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</si>
  <si>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</si>
  <si>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</si>
  <si>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</si>
  <si>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</si>
  <si>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</si>
  <si>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</si>
  <si>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</si>
  <si>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</si>
  <si>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</si>
  <si>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</si>
  <si>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</si>
  <si>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</si>
  <si>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</si>
  <si>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</si>
  <si>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</si>
  <si>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</si>
  <si>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</si>
  <si>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</si>
  <si>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</si>
  <si>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</si>
  <si>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</si>
  <si>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</si>
  <si>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</si>
  <si>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</si>
  <si>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</si>
  <si>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</si>
  <si>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</si>
  <si>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</si>
  <si>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</si>
  <si>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</si>
  <si>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</si>
  <si>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</si>
  <si>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</si>
  <si>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</si>
  <si>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</si>
  <si>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</si>
  <si>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</si>
  <si>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</si>
  <si>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</si>
  <si>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</si>
  <si>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</si>
  <si>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</si>
  <si>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</si>
  <si>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</si>
  <si>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</si>
  <si>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</si>
  <si>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</si>
  <si>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</si>
  <si>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</si>
  <si>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</si>
  <si>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</si>
  <si>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</si>
  <si>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</si>
  <si>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</si>
  <si>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</si>
  <si>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</si>
  <si>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</si>
  <si>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</si>
  <si>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</si>
  <si>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</si>
  <si>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</si>
  <si>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</si>
  <si>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</si>
  <si>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</si>
  <si>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</si>
  <si>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</si>
  <si>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</si>
  <si>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</si>
  <si>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</si>
  <si>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</si>
  <si>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</si>
  <si>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</si>
  <si>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</si>
  <si>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</si>
  <si>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</si>
  <si>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</si>
  <si>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</si>
  <si>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</si>
  <si>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</si>
  <si>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</si>
  <si>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</si>
  <si>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</si>
  <si>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</si>
  <si>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</si>
  <si>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</si>
  <si>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</si>
  <si>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</si>
  <si>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</si>
  <si>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</si>
  <si>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</si>
  <si>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</si>
  <si>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</si>
  <si>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</si>
  <si>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</si>
  <si>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</si>
  <si>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</si>
  <si>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</si>
  <si>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</si>
  <si>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</si>
  <si>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</si>
  <si>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</si>
  <si>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</si>
  <si>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</si>
  <si>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</si>
  <si>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</si>
  <si>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</si>
  <si>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</si>
  <si>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</si>
  <si>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</si>
  <si>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</si>
  <si>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</si>
  <si>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</si>
  <si>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</si>
  <si>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</si>
  <si>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</si>
  <si>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</si>
  <si>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</si>
  <si>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</si>
  <si>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</si>
  <si>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</si>
  <si>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</si>
  <si>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</si>
  <si>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</si>
  <si>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</si>
  <si>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</si>
  <si>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</si>
  <si>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</si>
  <si>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</si>
  <si>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</si>
  <si>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</si>
  <si>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</si>
  <si>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</si>
  <si>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</si>
  <si>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</si>
  <si>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</si>
  <si>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</si>
  <si>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</si>
  <si>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</si>
  <si>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</si>
  <si>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</si>
  <si>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</si>
  <si>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</si>
  <si>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</si>
  <si>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</si>
  <si>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</si>
  <si>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</si>
  <si>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</si>
  <si>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</si>
  <si>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</si>
  <si>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</si>
  <si>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</si>
  <si>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</si>
  <si>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</si>
  <si>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</si>
  <si>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</si>
  <si>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</si>
  <si>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</si>
  <si>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</si>
  <si>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</si>
  <si>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</si>
  <si>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</si>
  <si>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</si>
  <si>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</si>
  <si>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</si>
  <si>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</si>
  <si>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</si>
  <si>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</si>
  <si>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</si>
  <si>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</si>
  <si>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</si>
  <si>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</si>
  <si>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</si>
  <si>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</si>
  <si>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</si>
  <si>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</si>
  <si>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</si>
  <si>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</si>
  <si>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</si>
  <si>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</si>
  <si>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</si>
  <si>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</si>
  <si>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</si>
  <si>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</si>
  <si>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</si>
  <si>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</si>
  <si>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</si>
  <si>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</si>
  <si>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</si>
  <si>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</si>
  <si>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</si>
  <si>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</si>
  <si>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</si>
  <si>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</si>
  <si>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</si>
  <si>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</si>
  <si>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</si>
  <si>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</si>
  <si>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</si>
  <si>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</si>
  <si>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</si>
  <si>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</si>
  <si>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</si>
  <si>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</si>
  <si>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</si>
  <si>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</si>
  <si>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</si>
  <si>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</si>
  <si>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</si>
  <si>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</si>
  <si>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</si>
  <si>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</si>
  <si>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</si>
  <si>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</si>
  <si>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</si>
  <si>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</si>
  <si>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</si>
  <si>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</si>
  <si>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</si>
  <si>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</si>
  <si>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</si>
  <si>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</si>
  <si>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</si>
  <si>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</si>
  <si>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</si>
  <si>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</si>
  <si>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</si>
  <si>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</si>
  <si>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</si>
  <si>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</si>
  <si>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</si>
  <si>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</si>
  <si>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</si>
  <si>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</si>
  <si>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</si>
  <si>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</si>
  <si>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</si>
  <si>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</si>
  <si>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</si>
  <si>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</si>
  <si>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</si>
  <si>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</si>
  <si>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</si>
  <si>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</si>
  <si>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</si>
  <si>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</si>
  <si>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</si>
  <si>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</si>
  <si>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</si>
  <si>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</si>
  <si>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</si>
  <si>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</si>
  <si>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</si>
  <si>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</si>
  <si>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</si>
  <si>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</si>
  <si>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</si>
  <si>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</si>
  <si>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</si>
  <si>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</si>
  <si>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</si>
  <si>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</si>
  <si>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</si>
  <si>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</si>
  <si>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</si>
  <si>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</si>
  <si>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</si>
  <si>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</si>
  <si>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</si>
  <si>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</si>
  <si>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</si>
  <si>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</si>
  <si>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</si>
  <si>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</si>
  <si>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</si>
  <si>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</si>
  <si>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</si>
  <si>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</si>
  <si>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</si>
  <si>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</si>
  <si>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</si>
  <si>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</si>
  <si>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</si>
  <si>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</si>
  <si>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</si>
  <si>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</si>
  <si>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</si>
  <si>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</si>
  <si>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</si>
  <si>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</si>
  <si>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</si>
  <si>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</si>
  <si>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</si>
  <si>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</si>
  <si>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</si>
  <si>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</si>
  <si>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</si>
  <si>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</si>
  <si>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</si>
  <si>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</si>
  <si>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</si>
  <si>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</si>
  <si>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</si>
  <si>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</si>
  <si>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</si>
  <si>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</si>
  <si>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</si>
  <si>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</si>
  <si>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</si>
  <si>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</si>
  <si>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</si>
  <si>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</si>
  <si>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</si>
  <si>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</si>
  <si>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</si>
  <si>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</si>
  <si>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</si>
  <si>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</si>
  <si>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</si>
  <si>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</si>
  <si>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</si>
  <si>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</si>
  <si>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</si>
  <si>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</si>
  <si>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</si>
  <si>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</si>
  <si>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</si>
  <si>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</si>
  <si>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</si>
  <si>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</si>
  <si>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</si>
  <si>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</si>
  <si>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</si>
  <si>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</si>
  <si>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</si>
  <si>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</si>
  <si>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</si>
  <si>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</si>
  <si>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</si>
  <si>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</si>
  <si>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</si>
  <si>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</si>
  <si>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</si>
  <si>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</si>
  <si>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</si>
  <si>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</si>
  <si>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</si>
  <si>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</si>
  <si>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</si>
  <si>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</si>
  <si>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</si>
  <si>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</si>
  <si>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</si>
  <si>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</si>
  <si>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</si>
  <si>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</si>
  <si>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</si>
  <si>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</si>
  <si>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</si>
  <si>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</si>
  <si>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</si>
  <si>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</si>
  <si>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</si>
  <si>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</si>
  <si>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</si>
  <si>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</si>
  <si>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</si>
  <si>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</si>
  <si>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</si>
  <si>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</si>
  <si>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</si>
  <si>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</si>
  <si>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</si>
  <si>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</si>
  <si>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</si>
  <si>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</si>
  <si>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</si>
  <si>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</si>
  <si>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</si>
  <si>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</si>
  <si>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</si>
  <si>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</si>
  <si>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</si>
  <si>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</si>
  <si>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</si>
  <si>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</si>
  <si>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</si>
  <si>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</si>
  <si>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</si>
  <si>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</si>
  <si>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</si>
  <si>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</si>
  <si>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</si>
  <si>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</si>
  <si>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</si>
  <si>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</si>
  <si>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</si>
  <si>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</si>
  <si>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</si>
  <si>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</si>
  <si>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</si>
  <si>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</si>
  <si>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</si>
  <si>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</si>
  <si>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</si>
  <si>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</si>
  <si>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</si>
  <si>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</si>
  <si>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</si>
  <si>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</si>
  <si>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</si>
  <si>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</si>
  <si>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</si>
  <si>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</si>
  <si>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</si>
  <si>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</si>
  <si>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</si>
  <si>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</si>
  <si>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</si>
  <si>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</si>
  <si>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</si>
  <si>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</si>
  <si>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</si>
  <si>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</si>
  <si>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</si>
  <si>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</si>
  <si>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</si>
  <si>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</si>
  <si>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</si>
  <si>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</si>
  <si>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</si>
  <si>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</si>
  <si>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</si>
  <si>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</si>
  <si>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</si>
  <si>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</si>
  <si>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</si>
  <si>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</si>
  <si>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</si>
  <si>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</si>
  <si>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</si>
  <si>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</si>
  <si>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</si>
  <si>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</si>
  <si>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</si>
  <si>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</si>
  <si>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</si>
  <si>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</si>
  <si>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</si>
  <si>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</si>
  <si>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</si>
  <si>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</si>
  <si>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</si>
  <si>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</si>
  <si>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</si>
  <si>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</si>
  <si>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</si>
  <si>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</si>
  <si>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</si>
  <si>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</si>
  <si>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</si>
  <si>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</si>
  <si>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</si>
  <si>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</si>
  <si>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</si>
  <si>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</si>
  <si>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</si>
  <si>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</si>
  <si>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</si>
  <si>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</si>
  <si>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</si>
  <si>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</si>
  <si>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</si>
  <si>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</si>
  <si>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</si>
  <si>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</si>
  <si>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</si>
  <si>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</si>
  <si>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</si>
  <si>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</si>
  <si>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</si>
  <si>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</si>
  <si>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</si>
  <si>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</si>
  <si>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</si>
  <si>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</si>
  <si>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</si>
  <si>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</si>
  <si>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</si>
  <si>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</si>
  <si>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</si>
  <si>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</si>
  <si>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</si>
  <si>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</si>
  <si>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</si>
  <si>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</si>
  <si>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</si>
  <si>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</si>
  <si>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</si>
  <si>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</si>
  <si>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</si>
  <si>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</si>
  <si>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</si>
  <si>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</si>
  <si>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</si>
  <si>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</si>
  <si>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</si>
  <si>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</si>
  <si>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</si>
  <si>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</si>
  <si>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</si>
  <si>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</si>
  <si>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</si>
  <si>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</si>
  <si>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</si>
  <si>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</si>
  <si>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</si>
  <si>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</si>
  <si>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</si>
  <si>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</si>
  <si>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</si>
  <si>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</si>
  <si>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</si>
  <si>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</si>
  <si>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</si>
  <si>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</si>
  <si>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</si>
  <si>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</si>
  <si>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</si>
  <si>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</si>
  <si>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</si>
  <si>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</si>
  <si>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</si>
  <si>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</si>
  <si>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</si>
  <si>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</si>
  <si>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</si>
  <si>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</si>
  <si>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</si>
  <si>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</si>
  <si>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</si>
  <si>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</si>
  <si>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</si>
  <si>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</si>
  <si>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</si>
  <si>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</si>
  <si>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</si>
  <si>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</si>
  <si>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</si>
  <si>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</si>
  <si>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</si>
  <si>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</si>
  <si>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</si>
  <si>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</si>
  <si>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</si>
  <si>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</si>
  <si>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</si>
  <si>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</si>
  <si>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</si>
  <si>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</si>
  <si>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</si>
  <si>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</si>
  <si>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</si>
  <si>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</si>
  <si>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</si>
  <si>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</si>
  <si>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</si>
  <si>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</si>
  <si>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</si>
  <si>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</si>
  <si>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</si>
  <si>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</si>
  <si>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</si>
  <si>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</si>
  <si>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</si>
  <si>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</si>
  <si>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</si>
  <si>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</si>
  <si>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</si>
  <si>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</si>
  <si>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</si>
  <si>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</si>
  <si>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</si>
  <si>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</si>
  <si>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</si>
  <si>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</si>
  <si>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</si>
  <si>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</si>
  <si>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</si>
  <si>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</si>
  <si>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</si>
  <si>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</si>
  <si>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</si>
  <si>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</si>
  <si>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</si>
  <si>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</si>
  <si>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</si>
  <si>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</si>
  <si>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</si>
  <si>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</si>
  <si>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</si>
  <si>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</si>
  <si>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</si>
  <si>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</si>
  <si>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</si>
  <si>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</si>
  <si>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</si>
  <si>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</si>
  <si>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</si>
  <si>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</si>
  <si>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</si>
  <si>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</si>
  <si>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</si>
  <si>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</si>
  <si>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</si>
  <si>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</si>
  <si>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</si>
  <si>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</si>
  <si>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</si>
  <si>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</si>
  <si>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</si>
  <si>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</si>
  <si>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</si>
  <si>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</si>
  <si>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</si>
  <si>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</si>
  <si>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</si>
  <si>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</si>
  <si>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</si>
  <si>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</si>
  <si>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</si>
  <si>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</si>
  <si>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</si>
  <si>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</si>
  <si>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</si>
  <si>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</si>
  <si>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</si>
  <si>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</si>
  <si>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</si>
  <si>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</si>
  <si>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</si>
  <si>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</si>
  <si>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</si>
  <si>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</si>
  <si>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</si>
  <si>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</si>
  <si>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</si>
  <si>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</si>
  <si>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</si>
  <si>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</si>
  <si>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</si>
  <si>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</si>
  <si>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</si>
  <si>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</si>
  <si>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</si>
  <si>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</si>
  <si>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</si>
  <si>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</si>
  <si>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</si>
  <si>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</si>
  <si>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</si>
  <si>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</si>
  <si>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</si>
  <si>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</si>
  <si>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</si>
  <si>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</si>
  <si>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</si>
  <si>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</si>
  <si>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</si>
  <si>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</si>
  <si>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</si>
  <si>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</si>
  <si>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</si>
  <si>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</si>
  <si>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</si>
  <si>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</si>
  <si>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</si>
  <si>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</si>
  <si>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</si>
  <si>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</si>
  <si>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</si>
  <si>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</si>
  <si>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</si>
  <si>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</si>
  <si>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</si>
  <si>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</si>
  <si>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</si>
  <si>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</si>
  <si>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</si>
  <si>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</si>
  <si>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</si>
  <si>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</si>
  <si>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</si>
  <si>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</si>
  <si>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</si>
  <si>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</si>
  <si>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</si>
  <si>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</si>
  <si>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</si>
  <si>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</si>
  <si>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</si>
  <si>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</si>
  <si>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</si>
  <si>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</si>
  <si>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</si>
  <si>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</si>
  <si>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</si>
  <si>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</si>
  <si>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</si>
  <si>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</si>
  <si>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</si>
  <si>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</si>
  <si>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</si>
  <si>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</si>
  <si>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</si>
  <si>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</si>
  <si>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</si>
  <si>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</si>
  <si>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</si>
  <si>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</si>
  <si>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</si>
  <si>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</si>
  <si>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</si>
  <si>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</si>
  <si>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</si>
  <si>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</si>
  <si>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</si>
  <si>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</si>
  <si>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</si>
  <si>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</si>
  <si>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</si>
  <si>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</si>
  <si>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</si>
  <si>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</si>
  <si>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</si>
  <si>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</si>
  <si>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</si>
  <si>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</si>
  <si>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</si>
  <si>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</si>
  <si>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</si>
  <si>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</si>
  <si>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</si>
  <si>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</si>
  <si>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</si>
  <si>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</si>
  <si>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</si>
  <si>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</si>
  <si>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</si>
  <si>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</si>
  <si>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</si>
  <si>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</si>
  <si>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</si>
  <si>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</si>
  <si>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</si>
  <si>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</si>
  <si>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</si>
  <si>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</si>
  <si>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</si>
  <si>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</si>
  <si>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</si>
  <si>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</si>
  <si>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</si>
  <si>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</si>
  <si>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</si>
  <si>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</si>
  <si>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</si>
  <si>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</si>
  <si>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</si>
  <si>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</si>
  <si>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</si>
  <si>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</si>
  <si>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</si>
  <si>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</si>
  <si>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</si>
  <si>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</si>
  <si>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</si>
  <si>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</si>
  <si>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</si>
  <si>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</si>
  <si>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</si>
  <si>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</si>
  <si>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</si>
  <si>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</si>
  <si>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</si>
  <si>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</si>
  <si>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</si>
  <si>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</si>
  <si>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</si>
  <si>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</si>
  <si>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</si>
  <si>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</si>
  <si>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</si>
  <si>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</si>
  <si>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</si>
  <si>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</si>
  <si>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</si>
  <si>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</si>
  <si>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</si>
  <si>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</si>
  <si>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</si>
  <si>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</si>
  <si>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</si>
  <si>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</si>
  <si>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</si>
  <si>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</si>
  <si>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</si>
  <si>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</si>
  <si>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</si>
  <si>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</si>
  <si>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</si>
  <si>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</si>
  <si>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</si>
  <si>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</si>
  <si>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</si>
  <si>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</si>
  <si>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</si>
  <si>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</si>
  <si>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</si>
  <si>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</si>
  <si>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</si>
  <si>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</si>
  <si>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</si>
  <si>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</si>
  <si>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</si>
  <si>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</si>
  <si>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</si>
  <si>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</si>
  <si>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</si>
  <si>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</si>
  <si>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</si>
  <si>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</si>
  <si>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</si>
  <si>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</si>
  <si>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</si>
  <si>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</si>
  <si>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</si>
  <si>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</si>
  <si>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</si>
  <si>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</si>
  <si>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</si>
  <si>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</si>
  <si>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</si>
  <si>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</si>
  <si>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</si>
  <si>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</si>
  <si>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</si>
  <si>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</si>
  <si>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</si>
  <si>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</si>
  <si>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</si>
  <si>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</si>
  <si>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</si>
  <si>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</si>
  <si>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</si>
  <si>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</si>
  <si>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</si>
  <si>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</si>
  <si>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</si>
  <si>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</si>
  <si>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</si>
  <si>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</si>
  <si>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</si>
  <si>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</si>
  <si>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</si>
  <si>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</si>
  <si>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</si>
  <si>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</si>
  <si>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</si>
  <si>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</si>
  <si>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</si>
  <si>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</si>
  <si>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</si>
  <si>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</si>
  <si>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</si>
  <si>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</si>
  <si>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</si>
  <si>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</si>
  <si>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</si>
  <si>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</si>
  <si>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</si>
  <si>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</si>
  <si>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</si>
  <si>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</si>
  <si>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</si>
  <si>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</si>
  <si>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</si>
  <si>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</si>
  <si>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</si>
  <si>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</si>
  <si>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</si>
  <si>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</si>
  <si>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</si>
  <si>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</si>
  <si>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</si>
  <si>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</si>
  <si>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</si>
  <si>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</si>
  <si>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</si>
  <si>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</si>
  <si>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</si>
  <si>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</si>
  <si>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</si>
  <si>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</si>
  <si>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</si>
  <si>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</si>
  <si>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</si>
  <si>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</si>
  <si>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</si>
  <si>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</si>
  <si>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</si>
  <si>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</si>
  <si>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</si>
  <si>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</si>
  <si>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</si>
  <si>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</si>
  <si>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</si>
  <si>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</si>
  <si>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</si>
  <si>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</si>
  <si>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</si>
  <si>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</si>
  <si>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</si>
  <si>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</si>
  <si>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</si>
  <si>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</si>
  <si>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</si>
  <si>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</si>
  <si>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</si>
  <si>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</si>
  <si>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</si>
  <si>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</si>
  <si>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</si>
  <si>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</si>
  <si>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</si>
  <si>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</si>
  <si>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</si>
  <si>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</si>
  <si>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</si>
  <si>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</si>
  <si>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</si>
  <si>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</si>
  <si>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</si>
  <si>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</si>
  <si>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</si>
  <si>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</si>
  <si>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</si>
  <si>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</si>
  <si>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</si>
  <si>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</si>
  <si>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</si>
  <si>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</si>
  <si>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</si>
  <si>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</si>
  <si>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</si>
  <si>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</si>
  <si>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</si>
  <si>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</si>
  <si>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</si>
  <si>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</si>
  <si>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</si>
  <si>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</si>
  <si>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</si>
  <si>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</si>
  <si>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</si>
  <si>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</si>
  <si>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</si>
  <si>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</si>
  <si>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</si>
  <si>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</si>
  <si>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</si>
  <si>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</si>
  <si>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</si>
  <si>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</si>
  <si>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</si>
  <si>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</si>
  <si>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</si>
  <si>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</si>
  <si>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</si>
  <si>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</si>
  <si>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</si>
  <si>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</si>
  <si>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</si>
  <si>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</si>
  <si>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</si>
  <si>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</si>
  <si>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</si>
  <si>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</si>
  <si>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</si>
  <si>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</si>
  <si>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</si>
  <si>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</si>
  <si>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</si>
  <si>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</si>
  <si>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</si>
  <si>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</si>
  <si>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</si>
  <si>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</si>
  <si>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</si>
  <si>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</si>
  <si>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</si>
  <si>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</si>
  <si>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</si>
  <si>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</si>
  <si>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</si>
  <si>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</si>
  <si>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</si>
  <si>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</si>
  <si>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</si>
  <si>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</si>
  <si>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</si>
  <si>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</si>
  <si>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</si>
  <si>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</si>
  <si>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</si>
  <si>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</si>
  <si>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</si>
  <si>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</si>
  <si>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</si>
  <si>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</si>
  <si>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</si>
  <si>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</si>
  <si>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</si>
  <si>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</si>
  <si>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</si>
  <si>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</si>
  <si>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</si>
  <si>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</si>
  <si>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</si>
  <si>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</si>
  <si>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</si>
  <si>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</si>
  <si>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</si>
  <si>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</si>
  <si>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</si>
  <si>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</si>
  <si>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</si>
  <si>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</si>
  <si>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</si>
  <si>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</si>
  <si>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</si>
  <si>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</si>
  <si>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</si>
  <si>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</si>
  <si>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</si>
  <si>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</si>
  <si>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</si>
  <si>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</si>
  <si>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</si>
  <si>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</si>
  <si>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</si>
  <si>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</si>
  <si>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</si>
  <si>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</si>
  <si>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</si>
  <si>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</si>
  <si>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</si>
  <si>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</si>
  <si>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</si>
  <si>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</si>
  <si>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</si>
  <si>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</si>
  <si>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</si>
  <si>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</si>
  <si>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</si>
  <si>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</si>
  <si>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</si>
  <si>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</si>
  <si>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</si>
  <si>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</si>
  <si>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</si>
  <si>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</si>
  <si>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</si>
  <si>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</si>
  <si>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</si>
  <si>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</si>
  <si>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</si>
  <si>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</si>
  <si>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</si>
  <si>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</si>
  <si>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</si>
  <si>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</si>
  <si>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</si>
  <si>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</si>
  <si>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</si>
  <si>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</si>
  <si>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</si>
  <si>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</si>
  <si>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</si>
  <si>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</si>
  <si>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</si>
  <si>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</si>
  <si>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</si>
  <si>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</si>
  <si>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</si>
  <si>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</si>
  <si>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</si>
  <si>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</si>
  <si>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</si>
  <si>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</si>
  <si>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</si>
  <si>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</si>
  <si>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</si>
  <si>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</si>
  <si>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</si>
  <si>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</si>
  <si>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</si>
  <si>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</si>
  <si>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</si>
  <si>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</si>
  <si>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</si>
  <si>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</si>
  <si>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</si>
  <si>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</si>
  <si>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</si>
  <si>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</si>
  <si>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</si>
  <si>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</si>
  <si>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</si>
  <si>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</si>
  <si>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</si>
  <si>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</si>
  <si>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</si>
  <si>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</si>
  <si>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</si>
  <si>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</si>
  <si>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</si>
  <si>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</si>
  <si>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</si>
  <si>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</si>
  <si>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</si>
  <si>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</si>
  <si>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</si>
  <si>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</si>
  <si>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</si>
  <si>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</si>
  <si>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</si>
  <si>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</si>
  <si>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</si>
  <si>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</si>
  <si>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</si>
  <si>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</si>
  <si>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</si>
  <si>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</si>
  <si>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</si>
  <si>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</si>
  <si>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</si>
  <si>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</si>
  <si>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</si>
  <si>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</si>
  <si>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</si>
  <si>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</si>
  <si>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</si>
  <si>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</si>
  <si>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</si>
  <si>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</si>
  <si>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</si>
  <si>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</si>
  <si>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</si>
  <si>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</si>
  <si>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</si>
  <si>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</si>
  <si>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</si>
  <si>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</si>
  <si>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</si>
  <si>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</si>
  <si>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</si>
  <si>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</si>
  <si>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</si>
  <si>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</si>
  <si>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</si>
  <si>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</si>
  <si>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</si>
  <si>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</si>
  <si>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</si>
  <si>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</si>
  <si>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</si>
  <si>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</si>
  <si>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</si>
  <si>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</si>
  <si>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</si>
  <si>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</si>
  <si>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</si>
  <si>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</si>
  <si>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</si>
  <si>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</si>
  <si>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</si>
  <si>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</si>
  <si>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</si>
  <si>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</si>
  <si>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</si>
  <si>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</si>
  <si>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</si>
  <si>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</si>
  <si>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</si>
  <si>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</si>
  <si>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</si>
  <si>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</si>
  <si>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</si>
  <si>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</si>
  <si>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</si>
  <si>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</si>
  <si>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</si>
  <si>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</si>
  <si>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</si>
  <si>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</si>
  <si>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</si>
  <si>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</si>
  <si>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</si>
  <si>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</si>
  <si>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</si>
  <si>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</si>
  <si>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</si>
  <si>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</si>
  <si>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</si>
  <si>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</si>
  <si>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</si>
  <si>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</si>
  <si>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</si>
  <si>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</si>
  <si>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</si>
  <si>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</si>
  <si>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</si>
  <si>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</si>
  <si>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</si>
  <si>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</si>
  <si>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</si>
  <si>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</si>
  <si>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</si>
  <si>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</si>
  <si>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</si>
  <si>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</si>
  <si>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</si>
  <si>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</si>
  <si>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</si>
  <si>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</si>
  <si>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</si>
  <si>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</si>
  <si>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</si>
  <si>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</si>
  <si>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</si>
  <si>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</si>
  <si>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</si>
  <si>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</si>
  <si>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</si>
  <si>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</si>
  <si>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</si>
  <si>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</si>
  <si>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</si>
  <si>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</si>
  <si>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</si>
  <si>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</si>
  <si>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</si>
  <si>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</si>
  <si>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</si>
  <si>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</si>
  <si>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</si>
  <si>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</si>
  <si>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</si>
  <si>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</si>
  <si>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</si>
  <si>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</si>
  <si>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</si>
  <si>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</si>
  <si>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</si>
  <si>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</si>
  <si>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</si>
  <si>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</si>
  <si>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</si>
  <si>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</si>
  <si>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</si>
  <si>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</si>
  <si>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</si>
  <si>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</si>
  <si>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</si>
  <si>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</si>
  <si>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</si>
  <si>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</si>
  <si>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</si>
  <si>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</si>
  <si>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</si>
  <si>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</si>
  <si>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</si>
  <si>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</si>
  <si>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</si>
  <si>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</si>
  <si>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</si>
  <si>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</si>
  <si>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</si>
  <si>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</si>
  <si>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</si>
  <si>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</si>
  <si>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</si>
  <si>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</si>
  <si>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</si>
  <si>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</si>
  <si>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</si>
  <si>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</si>
  <si>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</si>
  <si>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</si>
  <si>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</si>
  <si>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</si>
  <si>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</si>
  <si>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</si>
  <si>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</si>
  <si>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</si>
  <si>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</si>
  <si>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</si>
  <si>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</si>
  <si>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</si>
  <si>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</si>
  <si>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</si>
  <si>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</si>
  <si>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</si>
  <si>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</si>
  <si>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</si>
  <si>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</si>
  <si>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</si>
  <si>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</si>
  <si>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</si>
  <si>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</si>
  <si>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</si>
  <si>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</si>
  <si>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</si>
  <si>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</si>
  <si>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</si>
  <si>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</si>
  <si>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</si>
  <si>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</si>
  <si>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</si>
  <si>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</si>
  <si>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</si>
  <si>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</si>
  <si>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</si>
  <si>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</si>
  <si>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</si>
  <si>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</si>
  <si>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</si>
  <si>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</si>
  <si>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</si>
  <si>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</si>
  <si>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</si>
  <si>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</si>
  <si>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</si>
  <si>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</si>
  <si>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</si>
  <si>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</si>
  <si>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</si>
  <si>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</si>
  <si>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</si>
  <si>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</si>
  <si>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</si>
  <si>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</si>
  <si>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</si>
  <si>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</si>
  <si>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</si>
  <si>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</si>
  <si>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</si>
  <si>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</si>
  <si>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</si>
  <si>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</si>
  <si>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</si>
  <si>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</si>
  <si>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</si>
  <si>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</si>
  <si>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</si>
  <si>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</si>
  <si>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</si>
  <si>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</si>
  <si>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</si>
  <si>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</si>
  <si>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</si>
  <si>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</si>
  <si>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</si>
  <si>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</si>
  <si>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</si>
  <si>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</si>
  <si>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</si>
  <si>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</si>
  <si>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</si>
  <si>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</si>
  <si>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</si>
  <si>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</si>
  <si>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</si>
  <si>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</si>
  <si>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</si>
  <si>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</si>
  <si>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</si>
  <si>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</si>
  <si>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</si>
  <si>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</si>
  <si>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</si>
  <si>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</si>
  <si>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</si>
  <si>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</si>
  <si>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</si>
  <si>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</si>
  <si>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</si>
  <si>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</si>
  <si>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</si>
  <si>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</si>
  <si>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</si>
  <si>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</si>
  <si>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</si>
  <si>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</si>
  <si>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</si>
  <si>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</si>
  <si>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</si>
  <si>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</si>
  <si>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</si>
  <si>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</si>
  <si>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</si>
  <si>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</si>
  <si>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</si>
  <si>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</si>
  <si>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</si>
  <si>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</si>
  <si>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</si>
  <si>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</si>
  <si>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</si>
  <si>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</si>
  <si>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</si>
  <si>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</si>
  <si>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</si>
  <si>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</si>
  <si>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</si>
  <si>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</si>
  <si>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</si>
  <si>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</si>
  <si>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</si>
  <si>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</si>
  <si>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</si>
  <si>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</si>
  <si>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</si>
  <si>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</si>
  <si>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</si>
  <si>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</si>
  <si>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</si>
  <si>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</si>
  <si>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</si>
  <si>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</si>
  <si>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</si>
  <si>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</si>
  <si>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</si>
  <si>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</si>
  <si>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</si>
  <si>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</si>
  <si>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</si>
  <si>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</si>
  <si>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</si>
  <si>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</si>
  <si>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</si>
  <si>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</si>
  <si>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</si>
  <si>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</si>
  <si>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</si>
  <si>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</si>
  <si>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</si>
  <si>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</si>
  <si>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</si>
  <si>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</si>
  <si>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</si>
  <si>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</si>
  <si>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</si>
  <si>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</si>
  <si>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</si>
  <si>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</si>
  <si>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</si>
  <si>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</si>
  <si>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</si>
  <si>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</si>
  <si>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</si>
  <si>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</si>
  <si>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</si>
  <si>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</si>
  <si>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</si>
  <si>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</si>
  <si>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</si>
  <si>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</si>
  <si>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</si>
  <si>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</si>
  <si>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</si>
  <si>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</si>
  <si>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</si>
  <si>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</si>
  <si>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</si>
  <si>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</si>
  <si>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</si>
  <si>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</si>
  <si>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</si>
  <si>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</si>
  <si>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</si>
  <si>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</si>
  <si>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</si>
  <si>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</si>
  <si>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</si>
  <si>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</si>
  <si>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</si>
  <si>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</si>
  <si>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</si>
  <si>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</si>
  <si>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</si>
  <si>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</si>
  <si>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</si>
  <si>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</si>
  <si>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</si>
  <si>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</si>
  <si>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</si>
  <si>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</si>
  <si>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</si>
  <si>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</si>
  <si>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</si>
  <si>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</si>
  <si>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</si>
  <si>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</si>
  <si>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</si>
  <si>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</si>
  <si>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</si>
  <si>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</si>
  <si>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</si>
  <si>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</si>
  <si>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</si>
  <si>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</si>
  <si>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</si>
  <si>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</si>
  <si>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</si>
  <si>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</si>
  <si>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</si>
  <si>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</si>
  <si>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</si>
  <si>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</si>
  <si>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</si>
  <si>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</si>
  <si>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</si>
  <si>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</si>
  <si>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</si>
  <si>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</si>
  <si>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</si>
  <si>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</si>
  <si>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</si>
  <si>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</si>
  <si>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</si>
  <si>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</si>
  <si>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</si>
  <si>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</si>
  <si>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</si>
  <si>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</si>
  <si>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</si>
  <si>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</si>
  <si>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</si>
  <si>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</si>
  <si>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</si>
  <si>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</si>
  <si>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</si>
  <si>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</si>
  <si>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</si>
  <si>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</si>
  <si>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</si>
  <si>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</si>
  <si>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</si>
  <si>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</si>
  <si>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</si>
  <si>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</si>
  <si>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</si>
  <si>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</si>
  <si>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</si>
  <si>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</si>
  <si>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</si>
  <si>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</si>
  <si>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</si>
  <si>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</si>
  <si>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</si>
  <si>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</si>
  <si>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</si>
  <si>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</si>
  <si>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</si>
  <si>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</si>
  <si>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</si>
  <si>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</si>
  <si>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</si>
  <si>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</si>
  <si>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</si>
  <si>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</si>
  <si>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</si>
  <si>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</si>
  <si>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</si>
  <si>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</si>
  <si>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</si>
  <si>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</si>
  <si>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</si>
  <si>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</si>
  <si>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</si>
  <si>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</si>
  <si>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</si>
  <si>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</si>
  <si>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</si>
  <si>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</si>
  <si>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</si>
  <si>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</si>
  <si>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</si>
  <si>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</si>
  <si>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</si>
  <si>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</si>
  <si>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</si>
  <si>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</si>
  <si>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</si>
  <si>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</si>
  <si>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</si>
  <si>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</si>
  <si>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</si>
  <si>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</si>
  <si>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</si>
  <si>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</si>
  <si>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</si>
  <si>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</si>
  <si>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</si>
  <si>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</si>
  <si>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</si>
  <si>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</si>
  <si>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</si>
  <si>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</si>
  <si>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</si>
  <si>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</si>
  <si>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</si>
  <si>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</si>
  <si>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</si>
  <si>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</si>
  <si>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</si>
  <si>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</si>
  <si>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</si>
  <si>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</si>
  <si>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</si>
  <si>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</si>
  <si>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</si>
  <si>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</si>
  <si>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</si>
  <si>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</si>
  <si>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</si>
  <si>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</si>
  <si>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</si>
  <si>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</si>
  <si>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</si>
  <si>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</si>
  <si>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</si>
  <si>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</si>
  <si>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</si>
  <si>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</si>
  <si>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</si>
  <si>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</si>
  <si>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</si>
  <si>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</si>
  <si>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</si>
  <si>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</si>
  <si>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</si>
  <si>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</si>
  <si>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</si>
  <si>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</si>
  <si>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</si>
  <si>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</si>
  <si>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</si>
  <si>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</si>
  <si>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</si>
  <si>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</si>
  <si>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</si>
  <si>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</si>
  <si>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</si>
  <si>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</si>
  <si>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</si>
  <si>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</si>
  <si>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</si>
  <si>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</si>
  <si>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</si>
  <si>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</si>
  <si>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</si>
  <si>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</si>
  <si>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</si>
  <si>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</si>
  <si>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</si>
  <si>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</si>
  <si>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</si>
  <si>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</si>
  <si>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</si>
  <si>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</si>
  <si>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</si>
  <si>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</si>
  <si>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</si>
  <si>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</si>
  <si>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</si>
  <si>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</si>
  <si>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</si>
  <si>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</si>
  <si>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</si>
  <si>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</si>
  <si>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</si>
  <si>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</si>
  <si>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</si>
  <si>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</si>
  <si>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</si>
  <si>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</si>
  <si>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</si>
  <si>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</si>
  <si>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</si>
  <si>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</si>
  <si>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</si>
  <si>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</si>
  <si>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</si>
  <si>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</si>
  <si>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</si>
  <si>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</si>
  <si>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</si>
  <si>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</si>
  <si>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</si>
  <si>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</si>
  <si>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</si>
  <si>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</si>
  <si>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</si>
  <si>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</si>
  <si>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</si>
  <si>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</si>
  <si>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</si>
  <si>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</si>
  <si>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</si>
  <si>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</si>
  <si>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</si>
  <si>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</si>
  <si>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</si>
  <si>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</si>
  <si>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</si>
  <si>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</si>
  <si>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</si>
  <si>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</si>
  <si>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</si>
  <si>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</si>
  <si>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</si>
  <si>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</si>
  <si>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</si>
  <si>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</si>
  <si>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</si>
  <si>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</si>
  <si>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</si>
  <si>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</si>
  <si>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</si>
  <si>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</si>
  <si>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</si>
  <si>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</si>
  <si>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</si>
  <si>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</si>
  <si>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</si>
  <si>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</si>
  <si>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</si>
  <si>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</si>
  <si>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</si>
  <si>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</si>
  <si>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</si>
  <si>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</si>
  <si>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</si>
  <si>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</si>
  <si>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</si>
  <si>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</si>
  <si>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</si>
  <si>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</si>
  <si>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</si>
  <si>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</si>
  <si>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</si>
  <si>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</si>
  <si>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</si>
  <si>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</si>
  <si>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</si>
  <si>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</si>
  <si>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</si>
  <si>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</si>
  <si>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</si>
  <si>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</si>
  <si>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</si>
  <si>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</si>
  <si>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</si>
  <si>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</si>
  <si>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</si>
  <si>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</si>
  <si>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</si>
  <si>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</si>
  <si>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</si>
  <si>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</si>
  <si>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</si>
  <si>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</si>
  <si>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</si>
  <si>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</si>
  <si>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</si>
  <si>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</si>
  <si>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</si>
  <si>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</si>
  <si>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</si>
  <si>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</si>
  <si>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</si>
  <si>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</si>
  <si>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</si>
  <si>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</si>
  <si>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</si>
  <si>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</si>
  <si>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</si>
  <si>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</si>
  <si>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</si>
  <si>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</si>
  <si>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</si>
  <si>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</si>
  <si>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</si>
  <si>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</si>
  <si>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</si>
  <si>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</si>
  <si>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</si>
  <si>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</si>
  <si>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</si>
  <si>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</si>
  <si>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</si>
  <si>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</si>
  <si>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</si>
  <si>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</si>
  <si>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</si>
  <si>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</si>
  <si>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</si>
  <si>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</si>
  <si>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</si>
  <si>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</si>
  <si>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</si>
  <si>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</si>
  <si>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</si>
  <si>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</si>
  <si>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</si>
  <si>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</si>
  <si>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</si>
  <si>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</si>
  <si>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</si>
  <si>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</si>
  <si>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</si>
  <si>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</si>
  <si>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</si>
  <si>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</si>
  <si>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</si>
  <si>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</si>
  <si>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</si>
  <si>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</si>
  <si>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</si>
  <si>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</si>
  <si>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</si>
  <si>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</si>
  <si>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</si>
  <si>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</si>
  <si>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</si>
  <si>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</si>
  <si>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</si>
  <si>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</si>
  <si>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</si>
  <si>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</si>
  <si>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</si>
  <si>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</si>
  <si>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</si>
  <si>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</si>
  <si>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</si>
  <si>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</si>
  <si>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</si>
  <si>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</si>
  <si>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</si>
  <si>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</si>
  <si>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</si>
  <si>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</si>
  <si>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</si>
  <si>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</si>
  <si>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</si>
  <si>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</si>
  <si>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</si>
  <si>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</si>
  <si>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</si>
  <si>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</si>
  <si>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</si>
  <si>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</si>
  <si>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</si>
  <si>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</si>
  <si>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</si>
  <si>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</si>
  <si>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</si>
  <si>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</si>
  <si>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</si>
  <si>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</si>
  <si>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</si>
  <si>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</si>
  <si>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</si>
  <si>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</si>
  <si>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</si>
  <si>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</si>
  <si>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</si>
  <si>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</si>
  <si>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</si>
  <si>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</si>
  <si>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</si>
  <si>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</si>
  <si>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</si>
  <si>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</si>
  <si>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</si>
  <si>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</si>
  <si>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</si>
  <si>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</si>
  <si>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</si>
  <si>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</si>
  <si>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</si>
  <si>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</si>
  <si>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</si>
  <si>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</si>
  <si>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</si>
  <si>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</si>
  <si>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</si>
  <si>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</si>
  <si>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</si>
  <si>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</si>
  <si>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</si>
  <si>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</si>
  <si>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</si>
  <si>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</si>
  <si>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</si>
  <si>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</si>
  <si>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</si>
  <si>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</si>
  <si>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</si>
  <si>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</si>
  <si>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</si>
  <si>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</si>
  <si>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</si>
  <si>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</si>
  <si>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</si>
  <si>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</si>
  <si>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</si>
  <si>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</si>
  <si>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</si>
  <si>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</si>
  <si>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</si>
  <si>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</si>
  <si>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</si>
  <si>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</si>
  <si>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</si>
  <si>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</si>
  <si>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</si>
  <si>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</si>
  <si>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</si>
  <si>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</si>
  <si>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</si>
  <si>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</si>
  <si>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</si>
  <si>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</si>
  <si>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</si>
  <si>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</si>
  <si>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</si>
  <si>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</si>
  <si>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</si>
  <si>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</si>
  <si>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</si>
  <si>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</si>
  <si>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</si>
  <si>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</si>
  <si>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</si>
  <si>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</si>
  <si>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</si>
  <si>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</si>
  <si>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</si>
  <si>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</si>
  <si>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</si>
  <si>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</si>
  <si>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</si>
  <si>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</si>
  <si>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</si>
  <si>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</si>
  <si>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</si>
  <si>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</si>
  <si>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</si>
  <si>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</si>
  <si>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</si>
  <si>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</si>
  <si>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</si>
  <si>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</si>
  <si>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</si>
  <si>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</si>
  <si>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</si>
  <si>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</si>
  <si>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</si>
  <si>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</si>
  <si>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</si>
  <si>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</si>
  <si>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</si>
  <si>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</si>
  <si>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</si>
  <si>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</si>
  <si>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</si>
  <si>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</si>
  <si>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</si>
  <si>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</si>
  <si>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</si>
  <si>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</si>
  <si>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</si>
  <si>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</si>
  <si>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</si>
  <si>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</si>
  <si>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</si>
  <si>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</si>
  <si>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</si>
  <si>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</si>
  <si>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</si>
  <si>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</si>
  <si>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</si>
  <si>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</si>
  <si>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</si>
  <si>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</si>
  <si>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</si>
  <si>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</si>
  <si>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</si>
  <si>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</si>
  <si>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</si>
  <si>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</si>
  <si>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</si>
  <si>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</si>
  <si>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</si>
  <si>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</si>
  <si>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</si>
  <si>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</si>
  <si>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</si>
  <si>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</si>
  <si>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</si>
  <si>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</si>
  <si>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</si>
  <si>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</si>
  <si>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</si>
  <si>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</si>
  <si>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</si>
  <si>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</si>
  <si>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</si>
  <si>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</si>
  <si>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</si>
  <si>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</si>
  <si>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</si>
  <si>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</si>
  <si>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</si>
  <si>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</si>
  <si>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</si>
  <si>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</si>
  <si>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</si>
  <si>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</si>
  <si>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</si>
  <si>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</si>
  <si>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</si>
  <si>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</si>
  <si>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</si>
  <si>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</si>
  <si>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</si>
  <si>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</si>
  <si>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</si>
  <si>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</si>
  <si>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</si>
  <si>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</si>
  <si>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</si>
  <si>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</si>
  <si>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</si>
  <si>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</si>
  <si>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</si>
  <si>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</si>
  <si>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</si>
  <si>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</si>
  <si>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</si>
  <si>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</si>
  <si>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</si>
  <si>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</si>
  <si>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</si>
  <si>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</si>
  <si>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</si>
  <si>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</si>
  <si>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</si>
  <si>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</si>
  <si>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</si>
  <si>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</si>
  <si>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</si>
  <si>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</si>
  <si>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</si>
  <si>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</si>
  <si>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</si>
  <si>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</si>
  <si>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</si>
  <si>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</si>
  <si>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</si>
  <si>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</si>
  <si>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</si>
  <si>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</si>
  <si>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</si>
  <si>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</si>
  <si>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</si>
  <si>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</si>
  <si>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</si>
  <si>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</si>
  <si>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</si>
  <si>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</si>
  <si>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</si>
  <si>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</si>
  <si>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</si>
  <si>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</si>
  <si>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</si>
  <si>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</si>
  <si>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</si>
  <si>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</si>
  <si>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</si>
  <si>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</si>
  <si>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</si>
  <si>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</si>
  <si>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</si>
  <si>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</si>
  <si>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</si>
  <si>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</si>
  <si>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</si>
  <si>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</si>
  <si>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</si>
  <si>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</si>
  <si>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</si>
  <si>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</si>
  <si>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</si>
  <si>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</si>
  <si>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</si>
  <si>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</si>
  <si>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</si>
  <si>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</si>
  <si>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</si>
  <si>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</si>
  <si>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</si>
  <si>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</si>
  <si>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</si>
  <si>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</si>
  <si>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</si>
  <si>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</si>
  <si>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</si>
  <si>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</si>
  <si>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</si>
  <si>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</si>
  <si>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</si>
  <si>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</si>
  <si>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</si>
  <si>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</si>
  <si>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</si>
  <si>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</si>
  <si>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</si>
  <si>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</si>
  <si>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</si>
  <si>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</si>
  <si>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</si>
  <si>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</si>
  <si>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</si>
  <si>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</si>
  <si>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</si>
  <si>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</si>
  <si>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</si>
  <si>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</si>
  <si>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</si>
  <si>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</si>
  <si>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</si>
  <si>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</si>
  <si>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</si>
  <si>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</si>
  <si>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</si>
  <si>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</si>
  <si>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</si>
  <si>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</si>
  <si>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</si>
  <si>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</si>
  <si>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</si>
  <si>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</si>
  <si>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</si>
  <si>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</si>
  <si>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</si>
  <si>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</si>
  <si>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</si>
  <si>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</si>
  <si>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</si>
  <si>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</si>
  <si>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</si>
  <si>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</si>
  <si>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</si>
  <si>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</si>
  <si>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</si>
  <si>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</si>
  <si>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</si>
  <si>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</si>
  <si>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</si>
  <si>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</si>
  <si>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</si>
  <si>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</si>
  <si>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</si>
  <si>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</si>
  <si>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</si>
  <si>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</si>
  <si>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</si>
  <si>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</si>
  <si>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</si>
  <si>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</si>
  <si>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</si>
  <si>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</si>
  <si>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</si>
  <si>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</si>
  <si>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</si>
  <si>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</si>
  <si>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</si>
  <si>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</si>
  <si>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</si>
  <si>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</si>
  <si>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</si>
  <si>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</si>
  <si>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</si>
  <si>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</si>
  <si>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</si>
  <si>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</si>
  <si>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</si>
  <si>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</si>
  <si>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</si>
  <si>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</si>
  <si>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</si>
  <si>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</si>
  <si>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</si>
  <si>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</si>
  <si>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</si>
  <si>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</si>
  <si>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</si>
  <si>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</si>
  <si>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</si>
  <si>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</si>
  <si>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</si>
  <si>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</si>
  <si>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</si>
  <si>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</si>
  <si>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</si>
  <si>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</si>
  <si>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</si>
  <si>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</si>
  <si>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</si>
  <si>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</si>
  <si>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</si>
  <si>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</si>
  <si>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</si>
  <si>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</si>
  <si>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</si>
  <si>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</si>
  <si>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</si>
  <si>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</si>
  <si>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</si>
  <si>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</si>
  <si>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</si>
  <si>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</si>
  <si>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</si>
  <si>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</si>
  <si>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</si>
  <si>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</si>
  <si>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</si>
  <si>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</si>
  <si>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</si>
  <si>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</si>
  <si>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</si>
  <si>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</si>
  <si>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</si>
  <si>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</si>
  <si>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</si>
  <si>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</si>
  <si>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</si>
  <si>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</si>
  <si>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</si>
  <si>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</si>
  <si>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</si>
  <si>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</si>
  <si>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</si>
  <si>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</si>
  <si>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</si>
  <si>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</si>
  <si>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</si>
  <si>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</si>
  <si>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</si>
  <si>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</si>
  <si>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</si>
  <si>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</si>
  <si>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</si>
  <si>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</si>
  <si>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</si>
  <si>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</si>
  <si>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</si>
  <si>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</si>
  <si>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</si>
  <si>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</si>
  <si>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</si>
  <si>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</si>
  <si>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</si>
  <si>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</si>
  <si>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</si>
  <si>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</si>
  <si>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</si>
  <si>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</si>
  <si>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</si>
  <si>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</si>
  <si>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</si>
  <si>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</si>
  <si>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</si>
  <si>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</si>
  <si>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</si>
  <si>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</si>
  <si>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</si>
  <si>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</si>
  <si>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</si>
  <si>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</si>
  <si>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</si>
  <si>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</si>
  <si>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</si>
  <si>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</si>
  <si>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</si>
  <si>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</si>
  <si>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</si>
  <si>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</si>
  <si>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</si>
  <si>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</si>
  <si>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</si>
  <si>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</si>
  <si>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</si>
  <si>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</si>
  <si>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</si>
  <si>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</si>
  <si>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</si>
  <si>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</si>
  <si>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</si>
  <si>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</si>
  <si>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</si>
  <si>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</si>
  <si>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</si>
  <si>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</si>
  <si>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</si>
  <si>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</si>
  <si>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</si>
  <si>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</si>
  <si>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</si>
  <si>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</si>
  <si>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</si>
  <si>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</si>
  <si>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</si>
  <si>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</si>
  <si>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</si>
  <si>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</si>
  <si>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</si>
  <si>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</si>
  <si>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</si>
  <si>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</si>
  <si>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</si>
  <si>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</si>
  <si>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</si>
  <si>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</si>
  <si>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</si>
  <si>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</si>
  <si>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</si>
  <si>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</si>
  <si>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</si>
  <si>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</si>
  <si>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</si>
  <si>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</si>
  <si>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</si>
  <si>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</si>
  <si>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</si>
  <si>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</si>
  <si>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</si>
  <si>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</si>
  <si>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</si>
  <si>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</si>
  <si>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</si>
  <si>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</si>
  <si>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</si>
  <si>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</si>
  <si>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</si>
  <si>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</si>
  <si>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</si>
  <si>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</si>
  <si>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</si>
  <si>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</si>
  <si>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</si>
  <si>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</si>
  <si>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</si>
  <si>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</si>
  <si>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</si>
  <si>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</si>
  <si>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</si>
  <si>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</si>
  <si>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</si>
  <si>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</si>
  <si>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</si>
  <si>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</si>
  <si>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</si>
  <si>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</si>
  <si>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</si>
  <si>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</si>
  <si>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</si>
  <si>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</si>
  <si>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</si>
  <si>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</si>
  <si>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</si>
  <si>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</si>
  <si>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</si>
  <si>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</si>
  <si>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</si>
  <si>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</si>
  <si>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</si>
  <si>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</si>
  <si>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</si>
  <si>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</si>
  <si>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</si>
  <si>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</si>
  <si>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</si>
  <si>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</si>
  <si>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</si>
  <si>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</si>
  <si>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</si>
  <si>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</si>
  <si>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</si>
  <si>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</si>
  <si>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</si>
  <si>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</si>
  <si>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</si>
  <si>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</si>
  <si>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</si>
  <si>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</si>
  <si>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</si>
  <si>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</si>
  <si>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</si>
  <si>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</si>
  <si>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</si>
  <si>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</si>
  <si>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</si>
  <si>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</si>
  <si>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</si>
  <si>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</si>
  <si>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</si>
  <si>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</si>
  <si>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</si>
  <si>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</si>
  <si>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</si>
  <si>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</si>
  <si>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</si>
  <si>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</si>
  <si>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</si>
  <si>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</si>
  <si>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</si>
  <si>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</si>
  <si>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</si>
  <si>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</si>
  <si>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</si>
  <si>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</si>
  <si>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</si>
  <si>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</si>
  <si>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</si>
  <si>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</si>
  <si>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</si>
  <si>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</si>
  <si>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</si>
  <si>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</si>
  <si>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</si>
  <si>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</si>
  <si>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</si>
  <si>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</si>
  <si>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</si>
  <si>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</si>
  <si>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</si>
  <si>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</si>
  <si>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</si>
  <si>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</si>
  <si>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</si>
  <si>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</si>
  <si>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</si>
  <si>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</si>
  <si>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</si>
  <si>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</si>
  <si>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</si>
  <si>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</si>
  <si>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</si>
  <si>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</si>
  <si>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</si>
  <si>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</si>
  <si>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</si>
  <si>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</si>
  <si>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</si>
  <si>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</si>
  <si>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</si>
  <si>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</si>
  <si>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</si>
  <si>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</si>
  <si>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</si>
  <si>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</si>
  <si>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</si>
  <si>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</si>
  <si>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</si>
  <si>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</si>
  <si>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</si>
  <si>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</si>
  <si>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</si>
  <si>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</si>
  <si>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</si>
  <si>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</si>
  <si>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</si>
  <si>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</si>
  <si>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</si>
  <si>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</si>
  <si>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</si>
  <si>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</si>
  <si>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</si>
  <si>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</si>
  <si>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</si>
  <si>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</si>
  <si>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</si>
  <si>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</si>
  <si>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</si>
  <si>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</si>
  <si>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</si>
  <si>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</si>
  <si>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</si>
  <si>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</si>
  <si>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</si>
  <si>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</si>
  <si>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</si>
  <si>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</si>
  <si>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</si>
  <si>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</si>
  <si>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</si>
  <si>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</si>
  <si>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</si>
  <si>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</si>
  <si>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</si>
  <si>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</si>
  <si>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</si>
  <si>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</si>
  <si>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</si>
  <si>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</si>
  <si>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</si>
  <si>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</si>
  <si>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</si>
  <si>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</si>
  <si>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</si>
  <si>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</si>
  <si>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</si>
  <si>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</si>
  <si>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</si>
  <si>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</si>
  <si>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</si>
  <si>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</si>
  <si>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</si>
  <si>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</si>
  <si>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</si>
  <si>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</si>
  <si>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</si>
  <si>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</si>
  <si>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</si>
  <si>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</si>
  <si>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</si>
  <si>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</si>
  <si>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</si>
  <si>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</si>
  <si>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</si>
  <si>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</si>
  <si>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</si>
  <si>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</si>
  <si>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</si>
  <si>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</si>
  <si>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</si>
  <si>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</si>
  <si>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</si>
  <si>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</si>
  <si>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</si>
  <si>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</si>
  <si>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</si>
  <si>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</si>
  <si>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</si>
  <si>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</si>
  <si>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</si>
  <si>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</si>
  <si>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</si>
  <si>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</si>
  <si>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</si>
  <si>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</si>
  <si>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</si>
  <si>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</si>
  <si>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</si>
  <si>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</si>
  <si>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</si>
  <si>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</si>
  <si>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</si>
  <si>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</si>
  <si>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</si>
  <si>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</si>
  <si>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</si>
  <si>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</si>
  <si>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</si>
  <si>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</si>
  <si>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</si>
  <si>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</si>
  <si>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</si>
  <si>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</si>
  <si>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</si>
  <si>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</si>
  <si>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</si>
  <si>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</si>
  <si>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</si>
  <si>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</si>
  <si>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</si>
  <si>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</si>
  <si>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</si>
  <si>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</si>
  <si>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</si>
  <si>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</si>
  <si>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</si>
  <si>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</si>
  <si>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</si>
  <si>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</si>
  <si>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</si>
  <si>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</si>
  <si>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</si>
  <si>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</si>
  <si>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</si>
  <si>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</si>
  <si>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</si>
  <si>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</si>
  <si>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</si>
  <si>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</si>
  <si>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</si>
  <si>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</si>
  <si>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</si>
  <si>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</si>
  <si>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</si>
  <si>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</si>
  <si>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</si>
  <si>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</si>
  <si>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</si>
  <si>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</si>
  <si>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</si>
  <si>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</si>
  <si>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</si>
  <si>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</si>
  <si>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</si>
  <si>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</si>
  <si>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</si>
  <si>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</si>
  <si>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</si>
  <si>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</si>
  <si>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</si>
  <si>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</si>
  <si>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</si>
  <si>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</si>
  <si>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</si>
  <si>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</si>
  <si>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</si>
  <si>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</si>
  <si>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</si>
  <si>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</si>
  <si>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</si>
  <si>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</si>
  <si>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</si>
  <si>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</si>
  <si>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</si>
  <si>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</si>
  <si>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</si>
  <si>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</si>
  <si>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</si>
  <si>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</si>
  <si>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</si>
  <si>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</si>
  <si>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</si>
  <si>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</si>
  <si>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</si>
  <si>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</si>
  <si>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</si>
  <si>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</si>
  <si>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</si>
  <si>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</si>
  <si>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</si>
  <si>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</si>
  <si>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</si>
  <si>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</si>
  <si>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</si>
  <si>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</si>
  <si>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</si>
  <si>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</si>
  <si>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</si>
  <si>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</si>
  <si>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</si>
  <si>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</si>
  <si>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</si>
  <si>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</si>
  <si>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</si>
  <si>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</si>
  <si>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</si>
  <si>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</si>
  <si>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</si>
  <si>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</si>
  <si>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</si>
  <si>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</si>
  <si>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</si>
  <si>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</si>
  <si>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</si>
  <si>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</si>
  <si>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</si>
  <si>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</si>
  <si>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</si>
  <si>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</si>
  <si>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</si>
  <si>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</si>
  <si>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</si>
  <si>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</si>
  <si>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</si>
  <si>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</si>
  <si>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</si>
  <si>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</si>
  <si>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</si>
  <si>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</si>
  <si>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</si>
  <si>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</si>
  <si>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</si>
  <si>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</si>
  <si>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</si>
  <si>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</si>
  <si>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</si>
  <si>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</si>
  <si>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</si>
  <si>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</si>
  <si>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</si>
  <si>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</si>
  <si>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</si>
  <si>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</si>
  <si>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</si>
  <si>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</si>
  <si>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</si>
  <si>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</si>
  <si>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</si>
  <si>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</si>
  <si>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</si>
  <si>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</si>
  <si>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</si>
  <si>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</si>
  <si>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</si>
  <si>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</si>
  <si>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</si>
  <si>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</si>
  <si>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</si>
  <si>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</si>
  <si>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</si>
  <si>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</si>
  <si>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</si>
  <si>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</si>
  <si>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</si>
  <si>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</si>
  <si>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</si>
  <si>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</si>
  <si>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</si>
  <si>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</si>
  <si>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</si>
  <si>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</si>
  <si>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</si>
  <si>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</si>
  <si>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</si>
  <si>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</si>
  <si>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</si>
  <si>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</si>
  <si>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</si>
  <si>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</si>
  <si>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</si>
  <si>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</si>
  <si>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</si>
  <si>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</si>
  <si>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</si>
  <si>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</si>
  <si>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</si>
  <si>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</si>
  <si>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</si>
  <si>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</si>
  <si>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</si>
  <si>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</si>
  <si>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</si>
  <si>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</si>
  <si>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</si>
  <si>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</si>
  <si>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</si>
  <si>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</si>
  <si>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</si>
  <si>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</si>
  <si>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</si>
  <si>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</si>
  <si>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</si>
  <si>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</si>
  <si>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</si>
  <si>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</si>
  <si>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</si>
  <si>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</si>
  <si>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</si>
  <si>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</si>
  <si>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</si>
  <si>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</si>
  <si>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</si>
  <si>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</si>
  <si>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</si>
  <si>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</si>
  <si>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</si>
  <si>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</si>
  <si>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</si>
  <si>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</si>
  <si>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</si>
  <si>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</si>
  <si>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</si>
  <si>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</si>
  <si>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</si>
  <si>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</si>
  <si>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</si>
  <si>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</si>
  <si>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</si>
  <si>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</si>
  <si>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</si>
  <si>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</si>
  <si>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</si>
  <si>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</si>
  <si>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</si>
  <si>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</si>
  <si>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</si>
  <si>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</si>
  <si>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</si>
  <si>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</si>
  <si>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</si>
  <si>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</si>
  <si>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</si>
  <si>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</si>
  <si>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</si>
  <si>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</si>
  <si>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</si>
  <si>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</si>
  <si>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</si>
  <si>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</si>
  <si>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</si>
  <si>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</si>
  <si>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</si>
  <si>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</si>
  <si>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</si>
  <si>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</si>
  <si>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</si>
  <si>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</si>
  <si>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</si>
  <si>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</si>
  <si>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</si>
  <si>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</si>
  <si>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</si>
  <si>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</si>
  <si>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</si>
  <si>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</si>
  <si>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</si>
  <si>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</si>
  <si>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</si>
  <si>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</si>
  <si>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</si>
  <si>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</si>
  <si>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</si>
  <si>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</si>
  <si>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</si>
  <si>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</si>
  <si>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</si>
  <si>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</si>
  <si>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</si>
  <si>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</si>
  <si>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</si>
  <si>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</si>
  <si>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</si>
  <si>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</si>
  <si>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</si>
  <si>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</si>
  <si>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</si>
  <si>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</si>
  <si>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</si>
  <si>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</si>
  <si>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</si>
  <si>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</si>
  <si>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</si>
  <si>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</si>
  <si>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</si>
  <si>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</si>
  <si>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</si>
  <si>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</si>
  <si>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</si>
  <si>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</si>
  <si>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</si>
  <si>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</si>
  <si>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</si>
  <si>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</si>
  <si>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</si>
  <si>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</si>
  <si>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</si>
  <si>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</si>
  <si>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</si>
  <si>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</si>
  <si>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</si>
  <si>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</si>
  <si>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</si>
  <si>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</si>
  <si>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</si>
  <si>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</si>
  <si>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</si>
  <si>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</si>
  <si>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</si>
  <si>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</si>
  <si>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</si>
  <si>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</si>
  <si>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</si>
  <si>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</si>
  <si>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</si>
  <si>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</si>
  <si>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</si>
  <si>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</si>
  <si>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</si>
  <si>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</si>
  <si>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</si>
  <si>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</si>
  <si>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</si>
  <si>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</si>
  <si>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</si>
  <si>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</si>
  <si>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</si>
  <si>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</si>
  <si>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</si>
  <si>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</si>
  <si>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</si>
  <si>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</si>
  <si>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</si>
  <si>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</si>
  <si>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</si>
  <si>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</si>
  <si>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</si>
  <si>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</si>
  <si>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</si>
  <si>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</si>
  <si>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</si>
  <si>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</si>
  <si>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</si>
  <si>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</si>
  <si>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</si>
  <si>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</si>
  <si>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</si>
  <si>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</si>
  <si>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</si>
  <si>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</si>
  <si>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</si>
  <si>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</si>
  <si>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</si>
  <si>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</si>
  <si>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</si>
  <si>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</si>
  <si>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</si>
  <si>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</si>
  <si>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</si>
  <si>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</si>
  <si>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</si>
  <si>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</si>
  <si>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</si>
  <si>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</si>
  <si>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</si>
  <si>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</si>
  <si>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</si>
  <si>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</si>
  <si>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</si>
  <si>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</si>
  <si>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</si>
  <si>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</si>
  <si>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</si>
  <si>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</si>
  <si>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</si>
  <si>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</si>
  <si>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</si>
  <si>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</si>
  <si>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</si>
  <si>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</si>
  <si>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</si>
  <si>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</si>
  <si>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</si>
  <si>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</si>
  <si>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</si>
  <si>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</si>
  <si>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</si>
  <si>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</si>
  <si>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</si>
  <si>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</si>
  <si>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</si>
  <si>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</si>
  <si>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</si>
  <si>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</si>
  <si>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</si>
  <si>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</si>
  <si>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</si>
  <si>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</si>
  <si>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</si>
  <si>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</si>
  <si>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</si>
  <si>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</si>
  <si>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</si>
  <si>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</si>
  <si>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</si>
  <si>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</si>
  <si>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</si>
  <si>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</si>
  <si>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</si>
  <si>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</si>
  <si>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</si>
  <si>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</si>
  <si>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</si>
  <si>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</si>
  <si>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</si>
  <si>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</si>
  <si>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</si>
  <si>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</si>
  <si>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</si>
  <si>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</si>
  <si>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</si>
  <si>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</si>
  <si>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</si>
  <si>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</si>
  <si>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</si>
  <si>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</si>
  <si>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</si>
  <si>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</si>
  <si>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</si>
  <si>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</si>
  <si>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</si>
  <si>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</si>
  <si>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</si>
  <si>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</si>
  <si>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</si>
  <si>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</si>
  <si>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</si>
  <si>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</si>
  <si>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</si>
  <si>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</si>
  <si>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</si>
  <si>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</si>
  <si>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</si>
  <si>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</si>
  <si>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</si>
  <si>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</si>
  <si>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</si>
  <si>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</si>
  <si>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</si>
  <si>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</si>
  <si>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</si>
  <si>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</si>
  <si>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</si>
  <si>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</si>
  <si>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</si>
  <si>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</si>
  <si>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</si>
  <si>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</si>
  <si>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</si>
  <si>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</si>
  <si>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</si>
  <si>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</si>
  <si>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</si>
  <si>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</si>
  <si>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</si>
  <si>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</si>
  <si>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</si>
  <si>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</si>
  <si>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</si>
  <si>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</si>
  <si>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</si>
  <si>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</si>
  <si>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</si>
  <si>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</si>
  <si>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</si>
  <si>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</si>
  <si>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</si>
  <si>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</si>
  <si>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</si>
  <si>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</si>
  <si>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</si>
  <si>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</si>
  <si>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</si>
  <si>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</si>
  <si>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</si>
  <si>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</si>
  <si>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</si>
  <si>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</si>
  <si>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</si>
  <si>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</si>
  <si>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</si>
  <si>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</si>
  <si>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</si>
  <si>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</si>
  <si>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</si>
  <si>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</si>
  <si>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</si>
  <si>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</si>
  <si>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</si>
  <si>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</si>
  <si>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</si>
  <si>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</si>
  <si>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</si>
  <si>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</si>
  <si>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</si>
  <si>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</si>
  <si>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</si>
  <si>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</si>
  <si>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</si>
  <si>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</si>
  <si>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</si>
  <si>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</si>
  <si>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</si>
  <si>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</si>
  <si>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</si>
  <si>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</si>
  <si>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</si>
  <si>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</si>
  <si>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</si>
  <si>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</si>
  <si>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</si>
  <si>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</si>
  <si>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</si>
  <si>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</si>
  <si>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</si>
  <si>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</si>
  <si>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</si>
  <si>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</si>
  <si>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</si>
  <si>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</si>
  <si>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</si>
  <si>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</si>
  <si>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</si>
  <si>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</si>
  <si>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</si>
  <si>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</si>
  <si>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</si>
  <si>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</si>
  <si>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</si>
  <si>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</si>
  <si>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</si>
  <si>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</si>
  <si>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</si>
  <si>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</si>
  <si>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</si>
  <si>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</si>
  <si>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</si>
  <si>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</si>
  <si>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</si>
  <si>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</si>
  <si>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</si>
  <si>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</si>
  <si>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</si>
  <si>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</si>
  <si>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</si>
  <si>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</si>
  <si>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</si>
  <si>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</si>
  <si>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</si>
  <si>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</si>
  <si>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</si>
  <si>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</si>
  <si>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</si>
  <si>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</si>
  <si>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</si>
  <si>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</si>
  <si>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</si>
  <si>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</si>
  <si>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</si>
  <si>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</si>
  <si>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</si>
  <si>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</si>
  <si>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</si>
  <si>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</si>
  <si>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</si>
  <si>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</si>
  <si>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</si>
  <si>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</si>
  <si>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</si>
  <si>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</si>
  <si>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</si>
  <si>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</si>
  <si>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</si>
  <si>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</si>
  <si>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</si>
  <si>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</si>
  <si>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</si>
  <si>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</si>
  <si>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</si>
  <si>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</si>
  <si>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</si>
  <si>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</si>
  <si>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</si>
  <si>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</si>
  <si>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</si>
  <si>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</si>
  <si>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</si>
  <si>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</si>
  <si>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</si>
  <si>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</si>
  <si>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</si>
  <si>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</si>
  <si>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</si>
  <si>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</si>
  <si>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</si>
  <si>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</si>
  <si>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</si>
  <si>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</si>
  <si>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</si>
  <si>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</si>
  <si>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</si>
  <si>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</si>
  <si>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</si>
  <si>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</si>
  <si>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</si>
  <si>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</si>
  <si>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</si>
  <si>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</si>
  <si>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</si>
  <si>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</si>
  <si>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</si>
  <si>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</si>
  <si>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</si>
  <si>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</si>
  <si>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</si>
  <si>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</si>
  <si>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</si>
  <si>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</si>
  <si>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</si>
  <si>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</si>
  <si>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</si>
  <si>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</si>
  <si>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</si>
  <si>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</si>
  <si>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</si>
  <si>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</si>
  <si>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</si>
  <si>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</si>
  <si>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</si>
  <si>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</si>
  <si>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</si>
  <si>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</si>
  <si>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</si>
  <si>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</si>
  <si>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</si>
  <si>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</si>
  <si>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</si>
  <si>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</si>
  <si>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</si>
  <si>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</si>
  <si>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</si>
  <si>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</si>
  <si>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</si>
  <si>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</si>
  <si>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</si>
  <si>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</si>
  <si>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</si>
  <si>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</si>
  <si>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</si>
  <si>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</si>
  <si>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</si>
  <si>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</si>
  <si>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</si>
  <si>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</si>
  <si>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</si>
  <si>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</si>
  <si>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</si>
  <si>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</si>
  <si>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</si>
  <si>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</si>
  <si>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</si>
  <si>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</si>
  <si>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</si>
  <si>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</si>
  <si>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</si>
  <si>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</si>
  <si>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</si>
  <si>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</si>
  <si>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</si>
  <si>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</si>
  <si>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</si>
  <si>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</si>
  <si>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</si>
  <si>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</si>
  <si>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</si>
  <si>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</si>
  <si>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</si>
  <si>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</si>
  <si>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</si>
  <si>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</si>
  <si>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</si>
  <si>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</si>
  <si>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</si>
  <si>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</si>
  <si>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</si>
  <si>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</si>
  <si>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</si>
  <si>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</si>
  <si>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</si>
  <si>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</si>
  <si>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</si>
  <si>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</si>
  <si>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</si>
  <si>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</si>
  <si>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</si>
  <si>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</si>
  <si>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</si>
  <si>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</si>
  <si>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</si>
  <si>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</si>
  <si>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</si>
  <si>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</si>
  <si>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</si>
  <si>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</si>
  <si>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</si>
  <si>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</si>
  <si>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</si>
  <si>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</si>
  <si>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</si>
  <si>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</si>
  <si>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</si>
  <si>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</si>
  <si>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</si>
  <si>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</si>
  <si>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</si>
  <si>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</si>
  <si>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</si>
  <si>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</si>
  <si>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</si>
  <si>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</si>
  <si>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</si>
  <si>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</si>
  <si>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</si>
  <si>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</si>
  <si>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</si>
  <si>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</si>
  <si>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</si>
  <si>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</si>
  <si>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</si>
  <si>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</si>
  <si>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</si>
  <si>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</si>
  <si>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</si>
  <si>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</si>
  <si>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</si>
  <si>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</si>
  <si>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</si>
  <si>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</si>
  <si>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</si>
  <si>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</si>
  <si>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</si>
  <si>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</si>
  <si>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</si>
  <si>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</si>
  <si>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</si>
  <si>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</si>
  <si>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</si>
  <si>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</si>
  <si>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</si>
  <si>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</si>
  <si>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</si>
  <si>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</si>
  <si>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</si>
  <si>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</si>
  <si>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</si>
  <si>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</si>
  <si>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</si>
  <si>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</si>
  <si>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</si>
  <si>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</si>
  <si>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</si>
  <si>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</si>
  <si>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</si>
  <si>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</si>
  <si>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</si>
  <si>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</si>
  <si>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</si>
  <si>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</si>
  <si>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</si>
  <si>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</si>
  <si>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</si>
  <si>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</si>
  <si>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</si>
  <si>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</si>
  <si>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</si>
  <si>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</si>
  <si>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</si>
  <si>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</si>
  <si>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</si>
  <si>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</si>
  <si>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</si>
  <si>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</si>
  <si>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</si>
  <si>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</si>
  <si>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</si>
  <si>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</si>
  <si>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</si>
  <si>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</si>
  <si>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</si>
  <si>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</si>
  <si>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</si>
  <si>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</si>
  <si>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</si>
  <si>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</si>
  <si>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</si>
  <si>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</si>
  <si>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</si>
  <si>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</si>
  <si>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</si>
  <si>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</si>
  <si>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</si>
  <si>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</si>
  <si>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</si>
  <si>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</si>
  <si>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</si>
  <si>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</si>
  <si>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</si>
  <si>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</si>
  <si>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</si>
  <si>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</si>
  <si>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</si>
  <si>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</si>
  <si>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</si>
  <si>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</si>
  <si>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</si>
  <si>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</si>
  <si>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</si>
  <si>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</si>
  <si>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</si>
  <si>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</si>
  <si>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</si>
  <si>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</si>
  <si>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</si>
  <si>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</si>
  <si>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</si>
  <si>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</si>
  <si>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</si>
  <si>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</si>
  <si>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</si>
  <si>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</si>
  <si>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</si>
  <si>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</si>
  <si>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</si>
  <si>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</si>
  <si>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</si>
  <si>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</si>
  <si>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</si>
  <si>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</si>
  <si>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</si>
  <si>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</si>
  <si>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</si>
  <si>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</si>
  <si>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</si>
  <si>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</si>
  <si>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</si>
  <si>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</si>
  <si>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</si>
  <si>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</si>
  <si>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</si>
  <si>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</si>
  <si>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</si>
  <si>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</si>
  <si>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</si>
  <si>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</si>
  <si>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</si>
  <si>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</si>
  <si>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</si>
  <si>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</si>
  <si>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</si>
  <si>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</si>
  <si>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</si>
  <si>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</si>
  <si>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</si>
  <si>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</si>
  <si>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</si>
  <si>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</si>
  <si>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</si>
  <si>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</si>
  <si>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</si>
  <si>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</si>
  <si>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</si>
  <si>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</si>
  <si>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</si>
  <si>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</si>
  <si>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</si>
  <si>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</si>
  <si>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</si>
  <si>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</si>
  <si>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</si>
  <si>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</si>
  <si>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</si>
  <si>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</si>
  <si>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</si>
  <si>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</si>
  <si>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</si>
  <si>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</si>
  <si>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</si>
  <si>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</si>
  <si>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</si>
  <si>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</si>
  <si>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</si>
  <si>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</si>
  <si>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</si>
  <si>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</si>
  <si>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</si>
  <si>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</si>
  <si>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</si>
  <si>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</si>
  <si>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</si>
  <si>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</si>
  <si>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</si>
  <si>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</si>
  <si>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</si>
  <si>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</si>
  <si>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</si>
  <si>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</si>
  <si>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</si>
  <si>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</si>
  <si>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</si>
  <si>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</si>
  <si>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</si>
  <si>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</si>
  <si>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</si>
  <si>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</si>
  <si>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</si>
  <si>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</si>
  <si>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</si>
  <si>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</si>
  <si>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</si>
  <si>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</si>
  <si>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</si>
  <si>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</si>
  <si>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</si>
  <si>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</si>
  <si>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</si>
  <si>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</si>
  <si>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</si>
  <si>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</si>
  <si>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</si>
  <si>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</si>
  <si>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</si>
  <si>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</si>
  <si>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</si>
  <si>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</si>
  <si>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</si>
  <si>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</si>
  <si>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</si>
  <si>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</si>
  <si>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</si>
  <si>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</si>
  <si>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</si>
  <si>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</si>
  <si>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</si>
  <si>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</si>
  <si>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</si>
  <si>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</si>
  <si>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</si>
  <si>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</si>
  <si>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</si>
  <si>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</si>
  <si>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</si>
  <si>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</si>
  <si>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</si>
  <si>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</si>
  <si>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</si>
  <si>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</si>
  <si>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</si>
  <si>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</si>
  <si>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</si>
  <si>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</si>
  <si>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</si>
  <si>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</si>
  <si>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</si>
  <si>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</si>
  <si>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</si>
  <si>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</si>
  <si>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</si>
  <si>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</si>
  <si>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</si>
  <si>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</si>
  <si>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</si>
  <si>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</si>
  <si>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</si>
  <si>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</si>
  <si>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</si>
  <si>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</si>
  <si>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</si>
  <si>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</si>
  <si>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</si>
  <si>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</si>
  <si>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</si>
  <si>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</si>
  <si>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</si>
  <si>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</si>
  <si>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</si>
  <si>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</si>
  <si>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</si>
  <si>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</si>
  <si>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</si>
  <si>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</si>
  <si>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</si>
  <si>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</si>
  <si>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</si>
  <si>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</si>
  <si>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</si>
  <si>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</si>
  <si>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</si>
  <si>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</si>
  <si>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</si>
  <si>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</si>
  <si>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</si>
  <si>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</si>
  <si>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</si>
  <si>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</si>
  <si>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</si>
  <si>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</si>
  <si>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</si>
  <si>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</si>
  <si>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</si>
  <si>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</si>
  <si>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</si>
  <si>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</si>
  <si>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</si>
  <si>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</si>
  <si>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</si>
  <si>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</si>
  <si>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</si>
  <si>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</si>
  <si>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</si>
  <si>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</si>
  <si>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</si>
  <si>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</si>
  <si>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</si>
  <si>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</si>
  <si>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</si>
  <si>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</si>
  <si>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</si>
  <si>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</si>
  <si>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</si>
  <si>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</si>
  <si>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</si>
  <si>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</si>
  <si>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</si>
  <si>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</si>
  <si>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</si>
  <si>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</si>
  <si>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</si>
  <si>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</si>
  <si>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</si>
  <si>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</si>
  <si>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</si>
  <si>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</si>
  <si>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</si>
  <si>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</si>
  <si>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</si>
  <si>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</si>
  <si>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</si>
  <si>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</si>
  <si>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</si>
  <si>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</si>
  <si>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</si>
  <si>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</si>
  <si>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</si>
  <si>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</si>
  <si>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</si>
  <si>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</si>
  <si>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</si>
  <si>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</si>
  <si>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</si>
  <si>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</si>
  <si>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</si>
  <si>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</si>
  <si>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</si>
  <si>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</si>
  <si>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</si>
  <si>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</si>
  <si>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</si>
  <si>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</si>
  <si>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</si>
  <si>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</si>
  <si>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</si>
  <si>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</si>
  <si>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</si>
  <si>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</si>
  <si>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</si>
  <si>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</si>
  <si>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</si>
  <si>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</si>
  <si>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</si>
  <si>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</si>
  <si>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</si>
  <si>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</si>
  <si>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</si>
  <si>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</si>
  <si>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</si>
  <si>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</si>
  <si>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</si>
  <si>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</si>
  <si>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</si>
  <si>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</si>
  <si>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</si>
  <si>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</si>
  <si>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</si>
  <si>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</si>
  <si>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</si>
  <si>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</si>
  <si>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</si>
  <si>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</si>
  <si>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</si>
  <si>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</si>
  <si>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</si>
  <si>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</si>
  <si>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</si>
  <si>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</si>
  <si>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</si>
  <si>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</si>
  <si>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</si>
  <si>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</si>
  <si>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</si>
  <si>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</si>
  <si>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</si>
  <si>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</si>
  <si>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</si>
  <si>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</si>
  <si>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</si>
  <si>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</si>
  <si>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</si>
  <si>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</si>
  <si>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</si>
  <si>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</si>
  <si>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</si>
  <si>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</si>
  <si>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</si>
  <si>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</si>
  <si>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</si>
  <si>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</si>
  <si>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</si>
  <si>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</si>
  <si>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</si>
  <si>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</si>
  <si>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</si>
  <si>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</si>
  <si>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</si>
  <si>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</si>
  <si>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</si>
  <si>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</si>
  <si>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</si>
  <si>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</si>
  <si>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</si>
  <si>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</si>
  <si>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</si>
  <si>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</si>
  <si>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</si>
  <si>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</si>
  <si>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</si>
  <si>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</si>
  <si>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</si>
  <si>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</si>
  <si>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</si>
  <si>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</si>
  <si>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</si>
  <si>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</si>
  <si>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</si>
  <si>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</si>
  <si>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</si>
  <si>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</si>
  <si>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</si>
  <si>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</si>
  <si>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</si>
  <si>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</si>
  <si>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</si>
  <si>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</si>
  <si>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</si>
  <si>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</si>
  <si>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</si>
  <si>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</si>
  <si>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</si>
  <si>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</si>
  <si>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</si>
  <si>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</si>
  <si>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</si>
  <si>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</si>
  <si>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</si>
  <si>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</si>
  <si>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</si>
  <si>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</si>
  <si>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</si>
  <si>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</si>
  <si>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</si>
  <si>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</si>
  <si>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</si>
  <si>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</si>
  <si>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</si>
  <si>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</si>
  <si>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</si>
  <si>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</si>
  <si>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</si>
  <si>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</si>
  <si>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</si>
  <si>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</si>
  <si>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</si>
  <si>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</si>
  <si>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</si>
  <si>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</si>
  <si>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</si>
  <si>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</si>
  <si>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</si>
  <si>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</si>
  <si>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</si>
  <si>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</si>
  <si>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</si>
  <si>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</si>
  <si>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</si>
  <si>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</si>
  <si>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</si>
  <si>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</si>
  <si>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</si>
  <si>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</si>
  <si>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</si>
  <si>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</si>
  <si>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</si>
  <si>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</si>
  <si>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</si>
  <si>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</si>
  <si>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</si>
  <si>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</si>
  <si>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</si>
  <si>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</si>
  <si>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</si>
  <si>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</si>
  <si>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</si>
  <si>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</si>
  <si>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</si>
  <si>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</si>
  <si>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</si>
  <si>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</si>
  <si>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</si>
  <si>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</si>
  <si>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</si>
  <si>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</si>
  <si>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</si>
  <si>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</si>
  <si>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</si>
  <si>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</si>
  <si>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</si>
  <si>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</si>
  <si>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</si>
  <si>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</si>
  <si>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</si>
  <si>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</si>
  <si>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</si>
  <si>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</si>
  <si>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</si>
  <si>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</si>
  <si>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</si>
  <si>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</si>
  <si>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</si>
  <si>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</si>
  <si>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</si>
  <si>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</si>
  <si>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</si>
  <si>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</si>
  <si>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</si>
  <si>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</si>
  <si>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</si>
  <si>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</si>
  <si>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</si>
  <si>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</si>
  <si>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</si>
  <si>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</si>
  <si>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</si>
  <si>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</si>
  <si>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</si>
  <si>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</si>
  <si>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</si>
  <si>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</si>
  <si>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</si>
  <si>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</si>
  <si>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</si>
  <si>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</si>
  <si>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</si>
  <si>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</si>
  <si>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</si>
  <si>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</si>
  <si>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</si>
  <si>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</si>
  <si>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</si>
  <si>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</si>
  <si>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</si>
  <si>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</si>
  <si>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</si>
  <si>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</si>
  <si>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</si>
  <si>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</si>
  <si>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</si>
  <si>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</si>
  <si>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</si>
  <si>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</si>
  <si>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</si>
  <si>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</si>
  <si>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</si>
  <si>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</si>
  <si>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</si>
  <si>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</si>
  <si>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</si>
  <si>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</si>
  <si>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</si>
  <si>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</si>
  <si>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</si>
  <si>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</si>
  <si>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</si>
  <si>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</si>
  <si>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</si>
  <si>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</si>
  <si>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</si>
  <si>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</si>
  <si>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</si>
  <si>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</si>
  <si>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</si>
  <si>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</si>
  <si>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</si>
  <si>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</si>
  <si>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</si>
  <si>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</si>
  <si>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</si>
  <si>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</si>
  <si>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</si>
  <si>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</si>
  <si>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</si>
  <si>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</si>
  <si>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</si>
  <si>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</si>
  <si>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</si>
  <si>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</si>
  <si>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</si>
  <si>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</si>
  <si>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</si>
  <si>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</si>
  <si>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</si>
  <si>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</si>
  <si>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</si>
  <si>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</si>
  <si>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</si>
  <si>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</si>
  <si>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</si>
  <si>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</si>
  <si>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</si>
  <si>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</si>
  <si>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</si>
  <si>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</si>
  <si>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</si>
  <si>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</si>
  <si>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</si>
  <si>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</si>
  <si>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</si>
  <si>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</si>
  <si>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</si>
  <si>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</si>
  <si>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</si>
  <si>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</si>
  <si>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</si>
  <si>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</si>
  <si>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</si>
  <si>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</si>
  <si>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</si>
  <si>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</si>
  <si>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</si>
  <si>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</si>
  <si>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</si>
  <si>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</si>
  <si>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</si>
  <si>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</si>
  <si>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</si>
  <si>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</si>
  <si>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</si>
  <si>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</si>
  <si>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</si>
  <si>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</si>
  <si>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</si>
  <si>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</si>
  <si>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</si>
  <si>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</si>
  <si>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</si>
  <si>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</si>
  <si>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</si>
  <si>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</si>
  <si>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</si>
  <si>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</si>
  <si>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</si>
  <si>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</si>
  <si>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</si>
  <si>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</si>
  <si>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</si>
  <si>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</si>
  <si>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</si>
  <si>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</si>
  <si>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</si>
  <si>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</si>
  <si>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</si>
  <si>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</si>
  <si>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</si>
  <si>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</si>
  <si>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</si>
  <si>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</si>
  <si>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</si>
  <si>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</si>
  <si>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</si>
  <si>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</si>
  <si>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</si>
  <si>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</si>
  <si>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</si>
  <si>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</si>
  <si>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</si>
  <si>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</si>
  <si>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</si>
  <si>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</si>
  <si>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</si>
  <si>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</si>
  <si>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</si>
  <si>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</si>
  <si>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</si>
  <si>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</si>
  <si>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</si>
  <si>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</si>
  <si>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</si>
  <si>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</si>
  <si>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</si>
  <si>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</si>
  <si>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</si>
  <si>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</si>
  <si>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</si>
  <si>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</si>
  <si>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</si>
  <si>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</si>
  <si>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</si>
  <si>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</si>
  <si>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</si>
  <si>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</si>
  <si>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</si>
  <si>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</si>
  <si>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</si>
  <si>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</si>
  <si>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</si>
  <si>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</si>
  <si>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</si>
  <si>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</si>
  <si>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</si>
  <si>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</si>
  <si>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</si>
  <si>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</si>
  <si>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</si>
  <si>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</si>
  <si>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</si>
  <si>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</si>
  <si>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</si>
  <si>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</si>
  <si>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</si>
  <si>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</si>
  <si>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</si>
  <si>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</si>
  <si>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</si>
  <si>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</si>
  <si>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</si>
  <si>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</si>
  <si>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</si>
  <si>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</si>
  <si>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</si>
  <si>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</si>
  <si>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</si>
  <si>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</si>
  <si>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</si>
  <si>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</si>
  <si>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</si>
  <si>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</si>
  <si>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</si>
  <si>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</si>
  <si>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</si>
  <si>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</si>
  <si>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</si>
  <si>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</si>
  <si>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</si>
  <si>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</si>
  <si>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</si>
  <si>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</si>
  <si>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</si>
  <si>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</si>
  <si>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</si>
  <si>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</si>
  <si>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</si>
  <si>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</si>
  <si>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</si>
  <si>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</si>
  <si>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</si>
  <si>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</si>
  <si>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</si>
  <si>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</si>
  <si>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</si>
  <si>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</si>
  <si>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</si>
  <si>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</si>
  <si>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</si>
  <si>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</si>
  <si>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</si>
  <si>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</si>
  <si>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</si>
  <si>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</si>
  <si>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</si>
  <si>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</si>
  <si>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</si>
  <si>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</si>
  <si>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</si>
  <si>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</si>
  <si>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</si>
  <si>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</si>
  <si>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</si>
  <si>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</si>
  <si>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</si>
  <si>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</si>
  <si>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</si>
  <si>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</si>
  <si>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</si>
  <si>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</si>
  <si>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</si>
  <si>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</si>
  <si>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</si>
  <si>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</si>
  <si>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</si>
  <si>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</si>
  <si>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</si>
  <si>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</si>
  <si>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</si>
  <si>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</si>
  <si>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</si>
  <si>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</si>
  <si>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</si>
  <si>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</si>
  <si>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</si>
  <si>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</si>
  <si>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</si>
  <si>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</si>
  <si>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</si>
  <si>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</si>
  <si>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</si>
  <si>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</si>
  <si>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</si>
  <si>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</si>
  <si>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</si>
  <si>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</si>
  <si>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</si>
  <si>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</si>
  <si>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</si>
  <si>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</si>
  <si>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</si>
  <si>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</si>
  <si>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</si>
  <si>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</si>
  <si>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</si>
  <si>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</si>
  <si>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</si>
  <si>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</si>
  <si>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</si>
  <si>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</si>
  <si>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</si>
  <si>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</si>
  <si>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</si>
  <si>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</si>
  <si>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</si>
  <si>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</si>
  <si>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</si>
  <si>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</si>
  <si>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</si>
  <si>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</si>
  <si>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</si>
  <si>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</si>
  <si>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</si>
  <si>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</si>
  <si>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</si>
  <si>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</si>
  <si>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</si>
  <si>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</si>
  <si>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</si>
  <si>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</si>
  <si>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</si>
  <si>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</si>
  <si>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</si>
  <si>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</si>
  <si>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</si>
  <si>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</si>
  <si>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</si>
  <si>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</si>
  <si>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</si>
  <si>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</si>
  <si>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</si>
  <si>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</si>
  <si>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</si>
  <si>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</si>
  <si>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</si>
  <si>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</si>
  <si>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</si>
  <si>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</si>
  <si>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</si>
  <si>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</si>
  <si>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</si>
  <si>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</si>
  <si>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</si>
  <si>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</si>
  <si>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</si>
  <si>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</si>
  <si>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</si>
  <si>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</si>
  <si>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</si>
  <si>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</si>
  <si>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</si>
  <si>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</si>
  <si>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</si>
  <si>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</si>
  <si>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</si>
  <si>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</si>
  <si>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</si>
  <si>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</si>
  <si>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</si>
  <si>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</si>
  <si>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</si>
  <si>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</si>
  <si>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</si>
  <si>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</si>
  <si>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</si>
  <si>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</si>
  <si>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</si>
  <si>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</si>
  <si>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</si>
  <si>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</si>
  <si>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</si>
  <si>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</si>
  <si>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</si>
  <si>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</si>
  <si>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</si>
  <si>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</si>
  <si>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</si>
  <si>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</si>
  <si>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</si>
  <si>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</si>
  <si>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</si>
  <si>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</si>
  <si>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</si>
  <si>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</si>
  <si>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</si>
  <si>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</si>
  <si>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</si>
  <si>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</si>
  <si>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</si>
  <si>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</si>
  <si>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</si>
  <si>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</si>
  <si>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</si>
  <si>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</si>
  <si>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</si>
  <si>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</si>
  <si>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</si>
  <si>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</si>
  <si>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</si>
  <si>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</si>
  <si>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</si>
  <si>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</si>
  <si>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</si>
  <si>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</si>
  <si>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</si>
  <si>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</si>
  <si>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</si>
  <si>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</si>
  <si>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</si>
  <si>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</si>
  <si>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</si>
  <si>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</si>
  <si>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</si>
  <si>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</si>
  <si>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</si>
  <si>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</si>
  <si>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</si>
  <si>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</si>
  <si>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</si>
  <si>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</si>
  <si>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</si>
  <si>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</si>
  <si>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</si>
  <si>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</si>
  <si>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</si>
  <si>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</si>
  <si>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</si>
  <si>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</si>
  <si>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</si>
  <si>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</si>
  <si>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</si>
  <si>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</si>
  <si>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</si>
  <si>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</si>
  <si>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</si>
  <si>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</si>
  <si>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</si>
  <si>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</si>
  <si>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</si>
  <si>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</si>
  <si>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</si>
  <si>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</si>
  <si>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</si>
  <si>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</si>
  <si>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</si>
  <si>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</si>
  <si>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</si>
  <si>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</si>
  <si>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</si>
  <si>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</si>
  <si>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</si>
  <si>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</si>
  <si>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</si>
  <si>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</si>
  <si>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</si>
  <si>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</si>
  <si>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</si>
  <si>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</si>
  <si>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</si>
  <si>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</si>
  <si>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</si>
  <si>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</si>
  <si>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</si>
  <si>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</si>
  <si>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</si>
  <si>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</si>
  <si>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</si>
  <si>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</si>
  <si>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</si>
  <si>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</si>
  <si>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</si>
  <si>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</si>
  <si>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</si>
  <si>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</si>
  <si>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</si>
  <si>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</si>
  <si>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</si>
  <si>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</si>
  <si>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</si>
  <si>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</si>
  <si>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</si>
  <si>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</si>
  <si>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</si>
  <si>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</si>
  <si>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</si>
  <si>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</si>
  <si>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</si>
  <si>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</si>
  <si>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</si>
  <si>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</si>
  <si>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</si>
  <si>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</si>
  <si>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</si>
  <si>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</si>
  <si>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</si>
  <si>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</si>
  <si>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</si>
  <si>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</si>
  <si>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</si>
  <si>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</si>
  <si>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</si>
  <si>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</si>
  <si>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</si>
  <si>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</si>
  <si>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</si>
  <si>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</si>
  <si>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</si>
  <si>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</si>
  <si>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</si>
  <si>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</si>
  <si>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</si>
  <si>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</si>
  <si>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</si>
  <si>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</si>
  <si>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</si>
  <si>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</si>
  <si>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</si>
  <si>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</si>
  <si>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</si>
  <si>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</si>
  <si>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</si>
  <si>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</si>
  <si>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</si>
  <si>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</si>
  <si>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</si>
  <si>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</si>
  <si>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</si>
  <si>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</si>
  <si>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</si>
  <si>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</si>
  <si>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</si>
  <si>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</si>
  <si>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</si>
  <si>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</si>
  <si>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</si>
  <si>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</si>
  <si>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</si>
  <si>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</si>
  <si>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</si>
  <si>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</si>
  <si>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</si>
  <si>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</si>
  <si>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</si>
  <si>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</si>
  <si>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</si>
  <si>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</si>
  <si>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</si>
  <si>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</si>
  <si>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</si>
  <si>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</si>
  <si>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</si>
  <si>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</si>
  <si>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</si>
  <si>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</si>
  <si>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</si>
  <si>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</si>
  <si>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</si>
  <si>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</si>
  <si>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</si>
  <si>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</si>
  <si>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</si>
  <si>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</si>
  <si>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</si>
  <si>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</si>
  <si>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</si>
  <si>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</si>
  <si>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</si>
  <si>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</si>
  <si>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</si>
  <si>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</si>
  <si>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</si>
  <si>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</si>
  <si>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</si>
  <si>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</si>
  <si>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</si>
  <si>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</si>
  <si>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</si>
  <si>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</si>
  <si>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</si>
  <si>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</si>
  <si>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</si>
  <si>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</si>
  <si>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</si>
  <si>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</si>
  <si>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</si>
  <si>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</si>
  <si>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</si>
  <si>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</si>
  <si>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</si>
  <si>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</si>
  <si>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</si>
  <si>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</si>
  <si>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</si>
  <si>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</si>
  <si>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</si>
  <si>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</si>
  <si>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</si>
  <si>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</si>
  <si>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</si>
  <si>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</si>
  <si>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</si>
  <si>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</si>
  <si>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</si>
  <si>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</si>
  <si>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</si>
  <si>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</si>
  <si>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</si>
  <si>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</si>
  <si>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</si>
  <si>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</si>
  <si>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</si>
  <si>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</si>
  <si>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</si>
  <si>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</si>
  <si>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</si>
  <si>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</si>
  <si>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</si>
  <si>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</si>
  <si>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</si>
  <si>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</si>
  <si>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</si>
  <si>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</si>
  <si>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</si>
  <si>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</si>
  <si>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</si>
  <si>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</si>
  <si>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</si>
  <si>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</si>
  <si>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</si>
  <si>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</si>
  <si>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</si>
  <si>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</si>
  <si>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</si>
  <si>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</si>
  <si>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</si>
  <si>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</si>
  <si>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</si>
  <si>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</si>
  <si>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</si>
  <si>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</si>
  <si>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</si>
  <si>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</si>
  <si>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</si>
  <si>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</si>
  <si>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</si>
  <si>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</si>
  <si>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</si>
  <si>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</si>
  <si>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</si>
  <si>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</si>
  <si>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</si>
  <si>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</si>
  <si>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</si>
  <si>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</si>
  <si>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</si>
  <si>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</si>
  <si>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</si>
  <si>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</si>
  <si>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</si>
  <si>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</si>
  <si>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</si>
  <si>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</si>
  <si>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</si>
  <si>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</si>
  <si>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</si>
  <si>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</si>
  <si>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</si>
  <si>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</si>
  <si>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</si>
  <si>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</si>
  <si>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</si>
  <si>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</si>
  <si>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</si>
  <si>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</si>
  <si>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</si>
  <si>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</si>
  <si>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</si>
  <si>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</si>
  <si>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</si>
  <si>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</si>
  <si>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</si>
  <si>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</si>
  <si>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</si>
  <si>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</si>
  <si>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</si>
  <si>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</si>
  <si>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</si>
  <si>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</si>
  <si>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</si>
  <si>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</si>
  <si>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</si>
  <si>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</si>
  <si>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</si>
  <si>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</si>
  <si>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</si>
  <si>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</si>
  <si>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</si>
  <si>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</si>
  <si>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</si>
  <si>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</si>
  <si>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</si>
  <si>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</si>
  <si>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</si>
  <si>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</si>
  <si>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</si>
  <si>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</si>
  <si>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</si>
  <si>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</si>
  <si>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</si>
  <si>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</si>
  <si>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</si>
  <si>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</si>
  <si>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</si>
  <si>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</si>
  <si>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</si>
  <si>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</si>
  <si>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</si>
  <si>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</si>
  <si>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</si>
  <si>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</si>
  <si>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</si>
  <si>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</si>
  <si>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</si>
  <si>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</si>
  <si>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</si>
  <si>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Category</t>
  </si>
  <si>
    <t>Sub-Category</t>
  </si>
  <si>
    <t>Average Donation (see currency column for  units)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</si>
  <si>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</si>
  <si>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</si>
  <si>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</si>
  <si>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</si>
  <si>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</si>
  <si>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</si>
  <si>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</si>
  <si>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</si>
  <si>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</si>
  <si>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</si>
  <si>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</si>
  <si>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</si>
  <si>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</si>
  <si>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</si>
  <si>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</si>
  <si>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</si>
  <si>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</si>
  <si>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</si>
  <si>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</si>
  <si>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</si>
  <si>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</si>
  <si>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</si>
  <si>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</si>
  <si>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</si>
  <si>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</si>
  <si>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</si>
  <si>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</si>
  <si>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</si>
  <si>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</si>
  <si>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</si>
  <si>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</si>
  <si>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</si>
  <si>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</si>
  <si>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</si>
  <si>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</si>
  <si>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</si>
  <si>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</si>
  <si>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</si>
  <si>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</si>
  <si>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</si>
  <si>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</si>
  <si>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</si>
  <si>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</si>
  <si>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</si>
  <si>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</si>
  <si>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</si>
  <si>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</si>
  <si>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</si>
  <si>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</si>
  <si>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</si>
  <si>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</si>
  <si>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</si>
  <si>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</si>
  <si>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</si>
  <si>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</si>
  <si>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</si>
  <si>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</si>
  <si>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</si>
  <si>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</si>
  <si>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</si>
  <si>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</si>
  <si>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</si>
  <si>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</si>
  <si>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</si>
  <si>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</si>
  <si>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</si>
  <si>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</si>
  <si>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</si>
  <si>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</si>
  <si>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</si>
  <si>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</si>
  <si>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</si>
  <si>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</si>
  <si>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</si>
  <si>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</si>
  <si>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</si>
  <si>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</si>
  <si>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</si>
  <si>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</si>
  <si>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</si>
  <si>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</si>
  <si>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</si>
  <si>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</si>
  <si>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</si>
  <si>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</si>
  <si>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</si>
  <si>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</si>
  <si>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</si>
  <si>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</si>
  <si>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</si>
  <si>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backers_count - successful</t>
  </si>
  <si>
    <t>Outcome  - successful</t>
  </si>
  <si>
    <t>Outcome - failed</t>
  </si>
  <si>
    <t>backers_count - failed</t>
  </si>
  <si>
    <t>Mean</t>
  </si>
  <si>
    <t>Median</t>
  </si>
  <si>
    <t>Minimum</t>
  </si>
  <si>
    <t>Maximim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</si>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</sst>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" fontId="0" fillId="0" borderId="1" xfId="0" applyNumberFormat="1" applyBorder="1"/>
    <xf numFmtId="1" fontId="0" fillId="0" borderId="8" xfId="0" applyNumberFormat="1" applyBorder="1"/>
    <xf numFmtId="1" fontId="0" fillId="0" borderId="6" xfId="0" applyNumberFormat="1" applyBorder="1"/>
    <xf numFmtId="1" fontId="0" fillId="0" borderId="9" xfId="0" applyNumberFormat="1" applyBorder="1"/>
  </cellXfs>
  <cellStyles count="2">
    <cellStyle name="Normal" xfId="0" builtinId="0"/>
    <cellStyle name="Percent" xfId="1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7030A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rgb="FF7030A0"/>
      </font>
      <fill>
        <patternFill>
          <bgColor rgb="FF00B0F0"/>
        </patternFill>
      </fill>
    </dxf>
    <dxf>
      <font>
        <b/>
        <i val="0"/>
        <color rgb="FF7030A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7030A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7030A0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[Homework1_Workbook1_MBF.xlsx]Pivot_Table_1!PivotTable1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9-4147-A360-564F66F6D62D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E9-4147-A360-564F66F6D62D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9E9-4147-A360-564F66F6D62D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9E9-4147-A360-564F66F6D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003696"/>
        <c:axId val="335382784"/>
      </c:barChart>
      <c:catAx>
        <c:axId val="36200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82784"/>
        <c:crosses val="autoZero"/>
        <c:auto val="1"/>
        <c:lblAlgn val="ctr"/>
        <c:lblOffset val="100"/>
        <c:noMultiLvlLbl val="0"/>
      </c:catAx>
      <c:valAx>
        <c:axId val="3353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0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[Homework1_Workbook1_MBF.xlsx]Pivot_Table_2!PivotTable2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C-EF4F-8530-27AAB18000FF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A-3C48-8B7D-BFA41554425F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3A-3C48-8B7D-BFA41554425F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3A-3C48-8B7D-BFA415544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9783824"/>
        <c:axId val="359785472"/>
      </c:barChart>
      <c:catAx>
        <c:axId val="35978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785472"/>
        <c:crosses val="autoZero"/>
        <c:auto val="1"/>
        <c:lblAlgn val="ctr"/>
        <c:lblOffset val="100"/>
        <c:noMultiLvlLbl val="0"/>
      </c:catAx>
      <c:valAx>
        <c:axId val="35978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78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[Homework1_Workbook1_MBF.xlsx]Pivot_Table_3!PivotTable3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1-7846-A806-598BB602FB04}"/>
            </c:ext>
          </c:extLst>
        </c:ser>
        <c:ser>
          <c:idx val="1"/>
          <c:order val="1"/>
          <c:tx>
            <c:strRef>
              <c:f>Pivot_Table_3!$C$5:$C$6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42-9947-8B33-C3B20C8BC751}"/>
            </c:ext>
          </c:extLst>
        </c:ser>
        <c:ser>
          <c:idx val="2"/>
          <c:order val="2"/>
          <c:tx>
            <c:strRef>
              <c:f>Pivot_Table_3!$D$5:$D$6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42-9947-8B33-C3B20C8BC751}"/>
            </c:ext>
          </c:extLst>
        </c:ser>
        <c:ser>
          <c:idx val="3"/>
          <c:order val="3"/>
          <c:tx>
            <c:strRef>
              <c:f>Pivot_Table_3!$E$5:$E$6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42-9947-8B33-C3B20C8BC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633728"/>
        <c:axId val="379787968"/>
      </c:lineChart>
      <c:catAx>
        <c:axId val="37963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87968"/>
        <c:crosses val="autoZero"/>
        <c:auto val="1"/>
        <c:lblAlgn val="ctr"/>
        <c:lblOffset val="100"/>
        <c:noMultiLvlLbl val="0"/>
      </c:catAx>
      <c:valAx>
        <c:axId val="3797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3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F-D34C-A3BF-F71AF806ADB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F-D34C-A3BF-F71AF806ADB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F-D34C-A3BF-F71AF806A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909072"/>
        <c:axId val="401911168"/>
      </c:lineChart>
      <c:catAx>
        <c:axId val="40190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11168"/>
        <c:crosses val="autoZero"/>
        <c:auto val="1"/>
        <c:lblAlgn val="ctr"/>
        <c:lblOffset val="100"/>
        <c:noMultiLvlLbl val="0"/>
      </c:catAx>
      <c:valAx>
        <c:axId val="4019111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9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127000</xdr:rowOff>
    </xdr:from>
    <xdr:to>
      <xdr:col>13</xdr:col>
      <xdr:colOff>254000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9B8D8-9896-E843-BE5B-87860CBBC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3</xdr:row>
      <xdr:rowOff>63500</xdr:rowOff>
    </xdr:from>
    <xdr:to>
      <xdr:col>20</xdr:col>
      <xdr:colOff>88900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EB59E-8DDA-9842-827F-452A525C0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0</xdr:rowOff>
    </xdr:from>
    <xdr:to>
      <xdr:col>12</xdr:col>
      <xdr:colOff>622300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EB803-DDD2-2B40-8763-798EEA1FE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158750</xdr:colOff>
      <xdr:row>0</xdr:row>
      <xdr:rowOff>190500</xdr:rowOff>
    </xdr:from>
    <xdr:to>
      <xdr:col>18</xdr:col>
      <xdr:colOff>355600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724C4-9350-2F41-B965-8C0297A47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son Fisher" refreshedDate="44257.736424768518" createdVersion="6" refreshedVersion="6" minRefreshableVersion="3" recordCount="4114" xr:uid="{03696F8D-98A6-5847-B217-B757522DF3F5}">
  <cacheSource type="worksheet">
    <worksheetSource ref="A1:R4115" sheet="Formattin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 (see currency column for  units)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son Fisher" refreshedDate="44257.744885879627" createdVersion="6" refreshedVersion="6" minRefreshableVersion="3" recordCount="4114" xr:uid="{E0F06D2F-DBF0-9345-8656-2540CD216A47}">
  <cacheSource type="worksheet">
    <worksheetSource ref="A1:T4115" sheet="Formatt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 (see currency column for  units)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x v="1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x v="1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x v="1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x v="1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x v="1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x v="1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x v="1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x v="1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x v="1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7AC1B-6DC7-664E-A50B-34249CDE4A4F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829C9-6BA9-3E4A-8AE7-49C7E07C05F5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7E510-6C60-8641-B6EE-DC4CD703F0E1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customWidth="1"/>
    <col min="16" max="16" width="15.1640625" customWidth="1"/>
    <col min="17" max="17" width="14" customWidth="1"/>
    <col min="18" max="18" width="12.83203125" customWidth="1"/>
    <col min="19" max="19" width="11.83203125" style="11" customWidth="1"/>
    <col min="20" max="20" width="11.6640625" customWidth="1"/>
  </cols>
  <sheetData>
    <row r="1" spans="1:20" ht="4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2" t="s">
        <v>8309</v>
      </c>
      <c r="Q1" s="1" t="s">
        <v>8307</v>
      </c>
      <c r="R1" s="1" t="s">
        <v>8308</v>
      </c>
      <c r="S1" s="10" t="s">
        <v>8365</v>
      </c>
      <c r="T1" s="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tr">
        <f>LEFT(N2, 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e">
        <f t="shared" ref="P4099:P4115" si="385">E4099/L4099</f>
        <v>#DIV/0!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4885333E-19C1-F74B-9FA6-B88258B2D2B1}"/>
  <conditionalFormatting sqref="F2:F4115">
    <cfRule type="containsText" dxfId="19" priority="5" operator="containsText" text="successful">
      <formula>NOT(ISERROR(SEARCH("successful",F2)))</formula>
    </cfRule>
    <cfRule type="containsText" dxfId="18" priority="4" operator="containsText" text="failed">
      <formula>NOT(ISERROR(SEARCH("failed",F2)))</formula>
    </cfRule>
    <cfRule type="containsText" dxfId="17" priority="3" operator="containsText" text="canceled">
      <formula>NOT(ISERROR(SEARCH("canceled",F2)))</formula>
    </cfRule>
    <cfRule type="containsText" dxfId="16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129FD-D1D2-EC43-82EB-067FE431B298}">
  <sheetPr codeName="Sheet2"/>
  <dimension ref="A1:F14"/>
  <sheetViews>
    <sheetView workbookViewId="0">
      <selection activeCell="O23" sqref="O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7DE17-5F02-FB4D-8A61-5C5E1ED49AE6}">
  <sheetPr codeName="Sheet3"/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8307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C3A5-60E9-D14C-98F0-C1D217FD83A2}">
  <sheetPr codeName="Sheet4"/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8307</v>
      </c>
      <c r="B2" t="s">
        <v>8323</v>
      </c>
    </row>
    <row r="3" spans="1:6" x14ac:dyDescent="0.2">
      <c r="A3" s="7" t="s">
        <v>8379</v>
      </c>
      <c r="B3" t="s">
        <v>8323</v>
      </c>
    </row>
    <row r="5" spans="1:6" x14ac:dyDescent="0.2">
      <c r="A5" s="7" t="s">
        <v>8322</v>
      </c>
      <c r="B5" s="7" t="s">
        <v>8321</v>
      </c>
    </row>
    <row r="6" spans="1:6" x14ac:dyDescent="0.2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2" t="s">
        <v>8373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2" t="s">
        <v>8374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2" t="s">
        <v>8375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2" t="s">
        <v>8376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2" t="s">
        <v>8367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2" t="s">
        <v>8377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2" t="s">
        <v>8368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2" t="s">
        <v>8369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2" t="s">
        <v>8370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2" t="s">
        <v>8371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 x14ac:dyDescent="0.2">
      <c r="A17" s="12" t="s">
        <v>8372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 x14ac:dyDescent="0.2">
      <c r="A18" s="12" t="s">
        <v>8378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 x14ac:dyDescent="0.2">
      <c r="A19" s="12" t="s">
        <v>8320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A187-4B7A-E644-BB31-510740916794}">
  <sheetPr codeName="Sheet5"/>
  <dimension ref="A1:H13"/>
  <sheetViews>
    <sheetView workbookViewId="0">
      <selection activeCell="D19" sqref="D19"/>
    </sheetView>
  </sheetViews>
  <sheetFormatPr baseColWidth="10" defaultRowHeight="15" x14ac:dyDescent="0.2"/>
  <cols>
    <col min="1" max="1" width="14.6640625" customWidth="1"/>
  </cols>
  <sheetData>
    <row r="1" spans="1:8" ht="32" x14ac:dyDescent="0.2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2">
      <c r="A2" t="s">
        <v>8388</v>
      </c>
      <c r="B2">
        <f>COUNTIFS(Formatting!$D$2:D4115, "&lt;1000", Formatting!$F$2:$F$4115,"successful")</f>
        <v>322</v>
      </c>
      <c r="C2">
        <f>COUNTIFS(Formatting!$D$2:D4115, "&lt;1000", Formatting!$F$2:$F$4115,"canceled")</f>
        <v>18</v>
      </c>
      <c r="D2">
        <f>COUNTIFS(Formatting!$D$2:D4115, "&lt;1000", Formatting!$F$2:$F$4115,"failed")</f>
        <v>113</v>
      </c>
      <c r="E2">
        <f>SUM(B2:D2)</f>
        <v>453</v>
      </c>
      <c r="F2" s="13">
        <f>B2/E2</f>
        <v>0.71081677704194257</v>
      </c>
      <c r="G2" s="13">
        <f>C2/E2</f>
        <v>3.9735099337748346E-2</v>
      </c>
      <c r="H2" s="13">
        <f>D2/E2</f>
        <v>0.24944812362030905</v>
      </c>
    </row>
    <row r="3" spans="1:8" x14ac:dyDescent="0.2">
      <c r="A3" t="s">
        <v>8389</v>
      </c>
      <c r="B3">
        <f>COUNTIFS(Formatting!$D$2:D4115, "&lt;5000", Formatting!$D$2:D4115, "&gt;=1000", Formatting!$F$2:$F$4115,"successful")</f>
        <v>932</v>
      </c>
      <c r="C3">
        <f>COUNTIFS(Formatting!$D$2:D4115, "&lt;5000", Formatting!$D$2:D4115, "&gt;=1000", Formatting!$F$2:$F$4115,"canceled")</f>
        <v>60</v>
      </c>
      <c r="D3">
        <f>COUNTIFS(Formatting!$D$2:D4115, "&lt;5000", Formatting!$D$2:D4115, "&gt;=1000", Formatting!$F$2:$F$4115,"failed")</f>
        <v>420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4.2492917847025496E-2</v>
      </c>
      <c r="H3" s="13">
        <f t="shared" ref="H3:H13" si="3">D3/E3</f>
        <v>0.29745042492917845</v>
      </c>
    </row>
    <row r="4" spans="1:8" x14ac:dyDescent="0.2">
      <c r="A4" t="s">
        <v>8390</v>
      </c>
      <c r="B4">
        <f>COUNTIFS(Formatting!$D$2:D4115, "&lt;10000", Formatting!$D$2:D4115, "&gt;=5000", Formatting!$F$2:$F$4115,"successful")</f>
        <v>381</v>
      </c>
      <c r="C4">
        <f>COUNTIFS(Formatting!$D$2:D4115, "&lt;10000", Formatting!$D$2:D4115, "&gt;=5000", Formatting!$F$2:$F$4115,"canceled")</f>
        <v>52</v>
      </c>
      <c r="D4">
        <f>COUNTIFS(Formatting!$D$2:D4115, "&lt;10000", Formatting!$D$2:D4115, "&gt;=5000", Formatting!$F$2:$F$4115,"failed")</f>
        <v>283</v>
      </c>
      <c r="E4">
        <f t="shared" si="0"/>
        <v>716</v>
      </c>
      <c r="F4" s="13">
        <f t="shared" si="1"/>
        <v>0.53212290502793291</v>
      </c>
      <c r="G4" s="13">
        <f t="shared" si="2"/>
        <v>7.2625698324022353E-2</v>
      </c>
      <c r="H4" s="13">
        <f t="shared" si="3"/>
        <v>0.39525139664804471</v>
      </c>
    </row>
    <row r="5" spans="1:8" x14ac:dyDescent="0.2">
      <c r="A5" t="s">
        <v>8391</v>
      </c>
      <c r="B5">
        <f>COUNTIFS(Formatting!$D$2:D4115, "&lt;15000", Formatting!$D$2:D4115, "&gt;=10000", Formatting!$F$2:$F$4115,"successful")</f>
        <v>168</v>
      </c>
      <c r="C5">
        <f>COUNTIFS(Formatting!$D$2:D4115, "&lt;15000", Formatting!$D$2:D4115, "&gt;=10000", Formatting!$F$2:$F$4115,"canceled")</f>
        <v>40</v>
      </c>
      <c r="D5">
        <f>COUNTIFS(Formatting!$D$2:D4115, "&lt;15000", Formatting!$D$2:D4115, "&gt;=10000", Formatting!$F$2:$F$4115,"failed")</f>
        <v>144</v>
      </c>
      <c r="E5">
        <f t="shared" si="0"/>
        <v>352</v>
      </c>
      <c r="F5" s="13">
        <f t="shared" si="1"/>
        <v>0.47727272727272729</v>
      </c>
      <c r="G5" s="13">
        <f t="shared" si="2"/>
        <v>0.11363636363636363</v>
      </c>
      <c r="H5" s="13">
        <f t="shared" si="3"/>
        <v>0.40909090909090912</v>
      </c>
    </row>
    <row r="6" spans="1:8" x14ac:dyDescent="0.2">
      <c r="A6" t="s">
        <v>8392</v>
      </c>
      <c r="B6">
        <f>COUNTIFS(Formatting!$D$2:D4115, "&lt;20000", Formatting!$D$2:D4115, "&gt;=15000", Formatting!$F$2:$F$4115,"successful")</f>
        <v>94</v>
      </c>
      <c r="C6">
        <f>COUNTIFS(Formatting!$D$2:D4115, "&lt;20000", Formatting!$D$2:D4115, "&gt;=15000", Formatting!$F$2:$F$4115,"canceled")</f>
        <v>17</v>
      </c>
      <c r="D6">
        <f>COUNTIFS(Formatting!$D$2:D4115, "&lt;20000", Formatting!$D$2:D4115, "&gt;=15000", Formatting!$F$2:$F$4115,"failed")</f>
        <v>90</v>
      </c>
      <c r="E6">
        <f t="shared" si="0"/>
        <v>201</v>
      </c>
      <c r="F6" s="13">
        <f t="shared" si="1"/>
        <v>0.46766169154228854</v>
      </c>
      <c r="G6" s="13">
        <f t="shared" si="2"/>
        <v>8.45771144278607E-2</v>
      </c>
      <c r="H6" s="13">
        <f t="shared" si="3"/>
        <v>0.44776119402985076</v>
      </c>
    </row>
    <row r="7" spans="1:8" x14ac:dyDescent="0.2">
      <c r="A7" t="s">
        <v>8393</v>
      </c>
      <c r="B7">
        <f>COUNTIFS(Formatting!$D$2:D4115, "&lt;25000", Formatting!$D$2:D4115, "&gt;=20000", Formatting!$F$2:$F$4115,"successful")</f>
        <v>62</v>
      </c>
      <c r="C7">
        <f>COUNTIFS(Formatting!$D$2:D4115, "&lt;25000", Formatting!$D$2:D4115, "&gt;=20000", Formatting!$F$2:$F$4115,"canceled")</f>
        <v>14</v>
      </c>
      <c r="D7">
        <f>COUNTIFS(Formatting!$D$2:D4115, "&lt;25000", Formatting!$D$2:D4115, "&gt;=20000", Formatting!$F$2:$F$4115,"failed")</f>
        <v>72</v>
      </c>
      <c r="E7">
        <f t="shared" si="0"/>
        <v>148</v>
      </c>
      <c r="F7" s="13">
        <f t="shared" si="1"/>
        <v>0.41891891891891891</v>
      </c>
      <c r="G7" s="13">
        <f t="shared" si="2"/>
        <v>9.45945945945946E-2</v>
      </c>
      <c r="H7" s="13">
        <f t="shared" si="3"/>
        <v>0.48648648648648651</v>
      </c>
    </row>
    <row r="8" spans="1:8" x14ac:dyDescent="0.2">
      <c r="A8" t="s">
        <v>8394</v>
      </c>
      <c r="B8">
        <f>COUNTIFS(Formatting!$D$2:D4115, "&lt;30000", Formatting!$D$2:D4115, "&gt;=25000", Formatting!$F$2:$F$4115,"successful")</f>
        <v>55</v>
      </c>
      <c r="C8">
        <f>COUNTIFS(Formatting!$D$2:D4115, "&lt;30000", Formatting!$D$2:D4115, "&gt;=25000", Formatting!$F$2:$F$4115,"canceled")</f>
        <v>18</v>
      </c>
      <c r="D8">
        <f>COUNTIFS(Formatting!$D$2:D4115, "&lt;30000", Formatting!$D$2:D4115, "&gt;=25000", Formatting!$F$2:$F$4115,"failed")</f>
        <v>64</v>
      </c>
      <c r="E8">
        <f t="shared" si="0"/>
        <v>137</v>
      </c>
      <c r="F8" s="13">
        <f t="shared" si="1"/>
        <v>0.40145985401459855</v>
      </c>
      <c r="G8" s="13">
        <f t="shared" si="2"/>
        <v>0.13138686131386862</v>
      </c>
      <c r="H8" s="13">
        <f t="shared" si="3"/>
        <v>0.46715328467153283</v>
      </c>
    </row>
    <row r="9" spans="1:8" x14ac:dyDescent="0.2">
      <c r="A9" t="s">
        <v>8395</v>
      </c>
      <c r="B9">
        <f>COUNTIFS(Formatting!$D$2:D4115, "&lt;35000", Formatting!$D$2:D4115, "&gt;=30000", Formatting!$F$2:$F$4115,"successful")</f>
        <v>32</v>
      </c>
      <c r="C9">
        <f>COUNTIFS(Formatting!$D$2:D4115, "&lt;35000", Formatting!$D$2:D4115, "&gt;=30000", Formatting!$F$2:$F$4115,"canceled")</f>
        <v>13</v>
      </c>
      <c r="D9">
        <f>COUNTIFS(Formatting!$D$2:D4115, "&lt;35000", Formatting!$D$2:D4115, "&gt;=30000", Formatting!$F$2:$F$4115,"failed")</f>
        <v>37</v>
      </c>
      <c r="E9">
        <f t="shared" si="0"/>
        <v>82</v>
      </c>
      <c r="F9" s="13">
        <f t="shared" si="1"/>
        <v>0.3902439024390244</v>
      </c>
      <c r="G9" s="13">
        <f t="shared" si="2"/>
        <v>0.15853658536585366</v>
      </c>
      <c r="H9" s="13">
        <f t="shared" si="3"/>
        <v>0.45121951219512196</v>
      </c>
    </row>
    <row r="10" spans="1:8" x14ac:dyDescent="0.2">
      <c r="A10" t="s">
        <v>8396</v>
      </c>
      <c r="B10">
        <f>COUNTIFS(Formatting!$D$2:D4115, "&lt;40000", Formatting!$D$2:D4115, "&gt;=35000", Formatting!$F$2:$F$4115,"successful")</f>
        <v>26</v>
      </c>
      <c r="C10">
        <f>COUNTIFS(Formatting!$D$2:D4115, "&lt;40000", Formatting!$D$2:D4115, "&gt;=35000", Formatting!$F$2:$F$4115,"canceled")</f>
        <v>7</v>
      </c>
      <c r="D10">
        <f>COUNTIFS(Formatting!$D$2:D4115, "&lt;40000", Formatting!$D$2:D4115, "&gt;=35000", Formatting!$F$2:$F$4115,"failed")</f>
        <v>22</v>
      </c>
      <c r="E10">
        <f t="shared" si="0"/>
        <v>55</v>
      </c>
      <c r="F10" s="13">
        <f t="shared" si="1"/>
        <v>0.47272727272727272</v>
      </c>
      <c r="G10" s="13">
        <f t="shared" si="2"/>
        <v>0.12727272727272726</v>
      </c>
      <c r="H10" s="13">
        <f t="shared" si="3"/>
        <v>0.4</v>
      </c>
    </row>
    <row r="11" spans="1:8" x14ac:dyDescent="0.2">
      <c r="A11" t="s">
        <v>8397</v>
      </c>
      <c r="B11">
        <f>COUNTIFS(Formatting!$D$2:D4115, "&lt;45000", Formatting!$D$2:D4115, "&gt;=40000", Formatting!$F$2:$F$4115,"successful")</f>
        <v>21</v>
      </c>
      <c r="C11">
        <f>COUNTIFS(Formatting!$D$2:D4115, "&lt;45000", Formatting!$D$2:D4115, "&gt;=40000", Formatting!$F$2:$F$4115,"canceled")</f>
        <v>6</v>
      </c>
      <c r="D11">
        <f>COUNTIFS(Formatting!$D$2:D4115, "&lt;45000", Formatting!$D$2:D4115, "&gt;=40000", Formatting!$F$2:$F$4115,"failed")</f>
        <v>16</v>
      </c>
      <c r="E11">
        <f t="shared" si="0"/>
        <v>43</v>
      </c>
      <c r="F11" s="13">
        <f t="shared" si="1"/>
        <v>0.48837209302325579</v>
      </c>
      <c r="G11" s="13">
        <f t="shared" si="2"/>
        <v>0.13953488372093023</v>
      </c>
      <c r="H11" s="13">
        <f t="shared" si="3"/>
        <v>0.37209302325581395</v>
      </c>
    </row>
    <row r="12" spans="1:8" x14ac:dyDescent="0.2">
      <c r="A12" t="s">
        <v>8398</v>
      </c>
      <c r="B12">
        <f>COUNTIFS(Formatting!$D$2:D4115, "&lt;50000", Formatting!$D$2:D4115, "&gt;=45000", Formatting!$F$2:$F$4115,"successful")</f>
        <v>6</v>
      </c>
      <c r="C12">
        <f>COUNTIFS(Formatting!$D$2:D4115, "&lt;50000", Formatting!$D$2:D4115, "&gt;=45000", Formatting!$F$2:$F$4115,"canceled")</f>
        <v>4</v>
      </c>
      <c r="D12">
        <f>COUNTIFS(Formatting!$D$2:D4115, "&lt;50000", Formatting!$D$2:D4115, "&gt;=45000", Formatting!$F$2:$F$4115,"failed")</f>
        <v>11</v>
      </c>
      <c r="E12">
        <f t="shared" si="0"/>
        <v>21</v>
      </c>
      <c r="F12" s="13">
        <f t="shared" si="1"/>
        <v>0.2857142857142857</v>
      </c>
      <c r="G12" s="13">
        <f t="shared" si="2"/>
        <v>0.19047619047619047</v>
      </c>
      <c r="H12" s="13">
        <f t="shared" si="3"/>
        <v>0.52380952380952384</v>
      </c>
    </row>
    <row r="13" spans="1:8" ht="32" x14ac:dyDescent="0.2">
      <c r="A13" s="3" t="s">
        <v>8399</v>
      </c>
      <c r="B13">
        <f>COUNTIFS(Formatting!$D$2:D4115, "&gt;=50000", Formatting!$F$2:$F$4115,"successful")</f>
        <v>86</v>
      </c>
      <c r="C13">
        <f>COUNTIFS(Formatting!$D$2:D4115, "&gt;=50000", Formatting!$F$2:$F$4115,"canceled")</f>
        <v>100</v>
      </c>
      <c r="D13">
        <f>COUNTIFS(Formatting!$D$2:D4115, "&gt;=50000", Formatting!$F$2:$F$4115,"failed")</f>
        <v>258</v>
      </c>
      <c r="E13">
        <f t="shared" si="0"/>
        <v>444</v>
      </c>
      <c r="F13" s="13">
        <f t="shared" si="1"/>
        <v>0.19369369369369369</v>
      </c>
      <c r="G13" s="13">
        <f t="shared" si="2"/>
        <v>0.22522522522522523</v>
      </c>
      <c r="H13" s="13">
        <f t="shared" si="3"/>
        <v>0.58108108108108103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CACA1-356F-E44B-81EC-F5CE630AD66F}">
  <sheetPr codeName="Sheet6"/>
  <dimension ref="A1:I2186"/>
  <sheetViews>
    <sheetView workbookViewId="0">
      <selection activeCell="P13" sqref="P13"/>
    </sheetView>
  </sheetViews>
  <sheetFormatPr baseColWidth="10" defaultRowHeight="15" x14ac:dyDescent="0.2"/>
  <cols>
    <col min="1" max="1" width="13.33203125" customWidth="1"/>
    <col min="2" max="2" width="16.5" customWidth="1"/>
    <col min="4" max="4" width="15.83203125" customWidth="1"/>
    <col min="7" max="7" width="15.33203125" customWidth="1"/>
  </cols>
  <sheetData>
    <row r="1" spans="1:9" ht="32" x14ac:dyDescent="0.2">
      <c r="A1" s="14" t="s">
        <v>8401</v>
      </c>
      <c r="B1" s="14" t="s">
        <v>8400</v>
      </c>
      <c r="C1" s="14" t="s">
        <v>8402</v>
      </c>
      <c r="D1" s="14" t="s">
        <v>8403</v>
      </c>
      <c r="G1" s="16"/>
      <c r="H1" s="17" t="s">
        <v>8219</v>
      </c>
      <c r="I1" s="18" t="s">
        <v>8221</v>
      </c>
    </row>
    <row r="2" spans="1:9" x14ac:dyDescent="0.2">
      <c r="A2" t="s">
        <v>8219</v>
      </c>
      <c r="B2">
        <v>182</v>
      </c>
      <c r="C2" t="s">
        <v>8221</v>
      </c>
      <c r="D2">
        <v>0</v>
      </c>
      <c r="G2" s="19" t="s">
        <v>8404</v>
      </c>
      <c r="H2" s="22">
        <f>AVERAGE(successful)</f>
        <v>194.42517162471395</v>
      </c>
      <c r="I2" s="24">
        <f>AVERAGE(failed)</f>
        <v>17.709803921568628</v>
      </c>
    </row>
    <row r="3" spans="1:9" x14ac:dyDescent="0.2">
      <c r="A3" t="s">
        <v>8219</v>
      </c>
      <c r="B3">
        <v>79</v>
      </c>
      <c r="C3" t="s">
        <v>8221</v>
      </c>
      <c r="D3">
        <v>1</v>
      </c>
      <c r="G3" s="19" t="s">
        <v>8405</v>
      </c>
      <c r="H3" s="15">
        <f>MEDIAN(successful)</f>
        <v>62</v>
      </c>
      <c r="I3" s="20">
        <f>MEDIAN(failed)</f>
        <v>4</v>
      </c>
    </row>
    <row r="4" spans="1:9" x14ac:dyDescent="0.2">
      <c r="A4" t="s">
        <v>8219</v>
      </c>
      <c r="B4">
        <v>35</v>
      </c>
      <c r="C4" t="s">
        <v>8221</v>
      </c>
      <c r="D4">
        <v>10</v>
      </c>
      <c r="G4" s="19" t="s">
        <v>8406</v>
      </c>
      <c r="H4" s="15">
        <f>MIN(successful)</f>
        <v>1</v>
      </c>
      <c r="I4" s="20">
        <f>MIN(failed)</f>
        <v>0</v>
      </c>
    </row>
    <row r="5" spans="1:9" x14ac:dyDescent="0.2">
      <c r="A5" t="s">
        <v>8219</v>
      </c>
      <c r="B5">
        <v>150</v>
      </c>
      <c r="C5" t="s">
        <v>8221</v>
      </c>
      <c r="D5">
        <v>0</v>
      </c>
      <c r="G5" s="19" t="s">
        <v>8407</v>
      </c>
      <c r="H5" s="15">
        <f>MAX(successful)</f>
        <v>26457</v>
      </c>
      <c r="I5" s="20">
        <f>MAX(failed)</f>
        <v>1293</v>
      </c>
    </row>
    <row r="6" spans="1:9" x14ac:dyDescent="0.2">
      <c r="A6" t="s">
        <v>8219</v>
      </c>
      <c r="B6">
        <v>284</v>
      </c>
      <c r="C6" t="s">
        <v>8221</v>
      </c>
      <c r="D6">
        <v>7</v>
      </c>
      <c r="G6" s="19" t="s">
        <v>8408</v>
      </c>
      <c r="H6" s="22">
        <f>_xlfn.VAR.P(successful)</f>
        <v>712840.9867348104</v>
      </c>
      <c r="I6" s="24">
        <f>_xlfn.VAR.P(failed)</f>
        <v>3773.2216685890044</v>
      </c>
    </row>
    <row r="7" spans="1:9" ht="16" thickBot="1" x14ac:dyDescent="0.25">
      <c r="A7" t="s">
        <v>8219</v>
      </c>
      <c r="B7">
        <v>47</v>
      </c>
      <c r="C7" t="s">
        <v>8221</v>
      </c>
      <c r="D7">
        <v>0</v>
      </c>
      <c r="G7" s="21" t="s">
        <v>8409</v>
      </c>
      <c r="H7" s="23">
        <f>_xlfn.STDEV.P(successful)</f>
        <v>844.29910975602149</v>
      </c>
      <c r="I7" s="25">
        <f>_xlfn.STDEV.P(failed)</f>
        <v>61.426555076684906</v>
      </c>
    </row>
    <row r="8" spans="1:9" x14ac:dyDescent="0.2">
      <c r="A8" t="s">
        <v>8219</v>
      </c>
      <c r="B8">
        <v>58</v>
      </c>
      <c r="C8" t="s">
        <v>8221</v>
      </c>
      <c r="D8">
        <v>1</v>
      </c>
    </row>
    <row r="9" spans="1:9" x14ac:dyDescent="0.2">
      <c r="A9" t="s">
        <v>8219</v>
      </c>
      <c r="B9">
        <v>57</v>
      </c>
      <c r="C9" t="s">
        <v>8221</v>
      </c>
      <c r="D9">
        <v>2</v>
      </c>
    </row>
    <row r="10" spans="1:9" x14ac:dyDescent="0.2">
      <c r="A10" t="s">
        <v>8219</v>
      </c>
      <c r="B10">
        <v>12</v>
      </c>
      <c r="C10" t="s">
        <v>8221</v>
      </c>
      <c r="D10">
        <v>3</v>
      </c>
    </row>
    <row r="11" spans="1:9" x14ac:dyDescent="0.2">
      <c r="A11" t="s">
        <v>8219</v>
      </c>
      <c r="B11">
        <v>20</v>
      </c>
      <c r="C11" t="s">
        <v>8221</v>
      </c>
      <c r="D11">
        <v>10</v>
      </c>
    </row>
    <row r="12" spans="1:9" x14ac:dyDescent="0.2">
      <c r="A12" t="s">
        <v>8219</v>
      </c>
      <c r="B12">
        <v>19</v>
      </c>
      <c r="C12" t="s">
        <v>8221</v>
      </c>
      <c r="D12">
        <v>10</v>
      </c>
    </row>
    <row r="13" spans="1:9" x14ac:dyDescent="0.2">
      <c r="A13" t="s">
        <v>8219</v>
      </c>
      <c r="B13">
        <v>75</v>
      </c>
      <c r="C13" t="s">
        <v>8221</v>
      </c>
      <c r="D13">
        <v>1</v>
      </c>
    </row>
    <row r="14" spans="1:9" x14ac:dyDescent="0.2">
      <c r="A14" t="s">
        <v>8219</v>
      </c>
      <c r="B14">
        <v>827</v>
      </c>
      <c r="C14" t="s">
        <v>8221</v>
      </c>
      <c r="D14">
        <v>0</v>
      </c>
    </row>
    <row r="15" spans="1:9" x14ac:dyDescent="0.2">
      <c r="A15" t="s">
        <v>8219</v>
      </c>
      <c r="B15">
        <v>51</v>
      </c>
      <c r="C15" t="s">
        <v>8221</v>
      </c>
      <c r="D15">
        <v>0</v>
      </c>
    </row>
    <row r="16" spans="1:9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2" priority="13" operator="containsText" text="live">
      <formula>NOT(ISERROR(SEARCH("live",A2)))</formula>
    </cfRule>
    <cfRule type="containsText" dxfId="13" priority="14" operator="containsText" text="canceled">
      <formula>NOT(ISERROR(SEARCH("canceled",A2)))</formula>
    </cfRule>
    <cfRule type="containsText" dxfId="14" priority="15" operator="containsText" text="failed">
      <formula>NOT(ISERROR(SEARCH("failed",A2)))</formula>
    </cfRule>
    <cfRule type="containsText" dxfId="15" priority="16" operator="containsText" text="successful">
      <formula>NOT(ISERROR(SEARCH("successful",A2)))</formula>
    </cfRule>
  </conditionalFormatting>
  <conditionalFormatting sqref="C2:C1531">
    <cfRule type="containsText" dxfId="8" priority="9" operator="containsText" text="live">
      <formula>NOT(ISERROR(SEARCH("live",C2)))</formula>
    </cfRule>
    <cfRule type="containsText" dxfId="9" priority="10" operator="containsText" text="canceled">
      <formula>NOT(ISERROR(SEARCH("canceled",C2)))</formula>
    </cfRule>
    <cfRule type="containsText" dxfId="10" priority="11" operator="containsText" text="failed">
      <formula>NOT(ISERROR(SEARCH("failed",C2)))</formula>
    </cfRule>
    <cfRule type="containsText" dxfId="11" priority="12" operator="containsText" text="successful">
      <formula>NOT(ISERROR(SEARCH("successful",C2)))</formula>
    </cfRule>
  </conditionalFormatting>
  <conditionalFormatting sqref="H1">
    <cfRule type="containsText" dxfId="7" priority="5" operator="containsText" text="live">
      <formula>NOT(ISERROR(SEARCH("live",H1)))</formula>
    </cfRule>
    <cfRule type="containsText" dxfId="6" priority="6" operator="containsText" text="canceled">
      <formula>NOT(ISERROR(SEARCH("canceled",H1)))</formula>
    </cfRule>
    <cfRule type="containsText" dxfId="5" priority="7" operator="containsText" text="failed">
      <formula>NOT(ISERROR(SEARCH("failed",H1)))</formula>
    </cfRule>
    <cfRule type="containsText" dxfId="4" priority="8" operator="containsText" text="successful">
      <formula>NOT(ISERROR(SEARCH("successful",H1)))</formula>
    </cfRule>
  </conditionalFormatting>
  <conditionalFormatting sqref="I1">
    <cfRule type="containsText" dxfId="3" priority="1" operator="containsText" text="live">
      <formula>NOT(ISERROR(SEARCH("live",I1)))</formula>
    </cfRule>
    <cfRule type="containsText" dxfId="2" priority="2" operator="containsText" text="canceled">
      <formula>NOT(ISERROR(SEARCH("canceled",I1)))</formula>
    </cfRule>
    <cfRule type="containsText" dxfId="1" priority="3" operator="containsText" text="failed">
      <formula>NOT(ISERROR(SEARCH("failed",I1)))</formula>
    </cfRule>
    <cfRule type="containsText" dxfId="0" priority="4" operator="containsText" text="successful">
      <formula>NOT(ISERROR(SEARCH("successful",I1)))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Formatting</vt:lpstr>
      <vt:lpstr>Pivot_Table_1</vt:lpstr>
      <vt:lpstr>Pivot_Table_2</vt:lpstr>
      <vt:lpstr>Pivot_Table_3</vt:lpstr>
      <vt:lpstr>Bonus</vt:lpstr>
      <vt:lpstr>Bonus Stats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Madison Fisher</cp:lastModifiedBy>
  <dcterms:created xsi:type="dcterms:W3CDTF">2017-04-20T15:17:24Z</dcterms:created>
  <dcterms:modified xsi:type="dcterms:W3CDTF">2021-03-06T15:38:56Z</dcterms:modified>
</cp:coreProperties>
</file>