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445"/>
  </bookViews>
  <sheets>
    <sheet name="PV+WKK" sheetId="2" r:id="rId1"/>
    <sheet name="PV+Houtkachel" sheetId="4" r:id="rId2"/>
    <sheet name="Verbruiks- en productieprofiel" sheetId="1" r:id="rId3"/>
  </sheets>
  <calcPr calcId="145621"/>
</workbook>
</file>

<file path=xl/calcChain.xml><?xml version="1.0" encoding="utf-8"?>
<calcChain xmlns="http://schemas.openxmlformats.org/spreadsheetml/2006/main">
  <c r="F11" i="2" l="1"/>
  <c r="H3" i="2" l="1"/>
  <c r="J2" i="1" l="1"/>
  <c r="H4" i="4"/>
  <c r="B14" i="4" l="1"/>
  <c r="C14" i="4" s="1"/>
  <c r="B17" i="4"/>
  <c r="C17" i="4" s="1"/>
  <c r="B18" i="4"/>
  <c r="C18" i="4" s="1"/>
  <c r="B19" i="4"/>
  <c r="B22" i="4"/>
  <c r="C22" i="4" s="1"/>
  <c r="B11" i="4"/>
  <c r="B14" i="2"/>
  <c r="B17" i="2"/>
  <c r="B18" i="2"/>
  <c r="B19" i="2"/>
  <c r="B22" i="2"/>
  <c r="B11" i="2"/>
  <c r="I12" i="1"/>
  <c r="B21" i="4" s="1"/>
  <c r="C21" i="4" s="1"/>
  <c r="I11" i="1"/>
  <c r="B20" i="4" s="1"/>
  <c r="C20" i="4" s="1"/>
  <c r="I6" i="1"/>
  <c r="B15" i="4" s="1"/>
  <c r="C15" i="4" s="1"/>
  <c r="I3" i="1"/>
  <c r="B12" i="4" s="1"/>
  <c r="C12" i="4" s="1"/>
  <c r="I4" i="1"/>
  <c r="B13" i="4" s="1"/>
  <c r="C13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C34" i="4"/>
  <c r="B34" i="4"/>
  <c r="B33" i="4"/>
  <c r="C33" i="4" s="1"/>
  <c r="B32" i="4"/>
  <c r="C32" i="4" s="1"/>
  <c r="B31" i="4"/>
  <c r="C31" i="4" s="1"/>
  <c r="B30" i="4"/>
  <c r="C30" i="4" s="1"/>
  <c r="B29" i="4"/>
  <c r="C29" i="4" s="1"/>
  <c r="C19" i="4"/>
  <c r="C11" i="4"/>
  <c r="F5" i="4"/>
  <c r="H3" i="4"/>
  <c r="B21" i="2" l="1"/>
  <c r="B15" i="2"/>
  <c r="B13" i="2"/>
  <c r="B20" i="2"/>
  <c r="B12" i="2"/>
  <c r="C42" i="4"/>
  <c r="B42" i="4"/>
  <c r="F5" i="2"/>
  <c r="H4" i="2"/>
  <c r="B30" i="2"/>
  <c r="C30" i="2" s="1"/>
  <c r="B31" i="2"/>
  <c r="B32" i="2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29" i="2"/>
  <c r="C29" i="2" s="1"/>
  <c r="D53" i="1"/>
  <c r="C31" i="2"/>
  <c r="C32" i="2"/>
  <c r="F53" i="1"/>
  <c r="G44" i="1" s="1"/>
  <c r="B53" i="1"/>
  <c r="C40" i="1" s="1"/>
  <c r="C48" i="1" l="1"/>
  <c r="C46" i="1"/>
  <c r="C44" i="1"/>
  <c r="C42" i="1"/>
  <c r="D33" i="2"/>
  <c r="E33" i="2" s="1"/>
  <c r="H33" i="2" s="1"/>
  <c r="D33" i="4"/>
  <c r="E33" i="4" s="1"/>
  <c r="G46" i="1"/>
  <c r="C50" i="1"/>
  <c r="C51" i="1"/>
  <c r="C49" i="1"/>
  <c r="C47" i="1"/>
  <c r="C45" i="1"/>
  <c r="C43" i="1"/>
  <c r="C41" i="1"/>
  <c r="C53" i="1" s="1"/>
  <c r="G50" i="1"/>
  <c r="G42" i="1"/>
  <c r="F33" i="2"/>
  <c r="F15" i="2" s="1"/>
  <c r="G49" i="1"/>
  <c r="G51" i="1"/>
  <c r="G47" i="1"/>
  <c r="G43" i="1"/>
  <c r="C42" i="2"/>
  <c r="G45" i="1"/>
  <c r="G41" i="1"/>
  <c r="G40" i="1"/>
  <c r="D29" i="4" s="1"/>
  <c r="G48" i="1"/>
  <c r="B42" i="2"/>
  <c r="C12" i="2"/>
  <c r="C13" i="2"/>
  <c r="C14" i="2"/>
  <c r="C15" i="2"/>
  <c r="C17" i="2"/>
  <c r="C18" i="2"/>
  <c r="C19" i="2"/>
  <c r="C20" i="2"/>
  <c r="C21" i="2"/>
  <c r="C22" i="2"/>
  <c r="C11" i="2"/>
  <c r="E29" i="4" l="1"/>
  <c r="D34" i="2"/>
  <c r="E34" i="2" s="1"/>
  <c r="D34" i="4"/>
  <c r="E34" i="4" s="1"/>
  <c r="D32" i="2"/>
  <c r="E32" i="2" s="1"/>
  <c r="D32" i="4"/>
  <c r="E32" i="4" s="1"/>
  <c r="D40" i="2"/>
  <c r="E40" i="2" s="1"/>
  <c r="D40" i="4"/>
  <c r="E40" i="4" s="1"/>
  <c r="D31" i="2"/>
  <c r="E31" i="2" s="1"/>
  <c r="D31" i="4"/>
  <c r="E31" i="4" s="1"/>
  <c r="D35" i="2"/>
  <c r="E35" i="2" s="1"/>
  <c r="D35" i="4"/>
  <c r="E35" i="4" s="1"/>
  <c r="D37" i="2"/>
  <c r="E37" i="2" s="1"/>
  <c r="D37" i="4"/>
  <c r="E37" i="4" s="1"/>
  <c r="D30" i="2"/>
  <c r="E30" i="2" s="1"/>
  <c r="D30" i="4"/>
  <c r="E30" i="4" s="1"/>
  <c r="D36" i="2"/>
  <c r="E36" i="2" s="1"/>
  <c r="D36" i="4"/>
  <c r="E36" i="4" s="1"/>
  <c r="D38" i="2"/>
  <c r="E38" i="2" s="1"/>
  <c r="D38" i="4"/>
  <c r="E38" i="4" s="1"/>
  <c r="D39" i="2"/>
  <c r="E39" i="2" s="1"/>
  <c r="D39" i="4"/>
  <c r="E39" i="4" s="1"/>
  <c r="H33" i="4"/>
  <c r="F33" i="4"/>
  <c r="G33" i="4" s="1"/>
  <c r="G33" i="2"/>
  <c r="F38" i="2"/>
  <c r="F20" i="2" s="1"/>
  <c r="H38" i="2"/>
  <c r="F32" i="2"/>
  <c r="F14" i="2" s="1"/>
  <c r="H32" i="2"/>
  <c r="F30" i="2"/>
  <c r="F12" i="2" s="1"/>
  <c r="H30" i="2"/>
  <c r="F36" i="2"/>
  <c r="F18" i="2" s="1"/>
  <c r="H36" i="2"/>
  <c r="F34" i="2"/>
  <c r="F16" i="2" s="1"/>
  <c r="H34" i="2"/>
  <c r="F40" i="2"/>
  <c r="F22" i="2" s="1"/>
  <c r="H40" i="2"/>
  <c r="H37" i="2"/>
  <c r="F37" i="2"/>
  <c r="F19" i="2" s="1"/>
  <c r="G53" i="1"/>
  <c r="D29" i="2"/>
  <c r="E29" i="2" s="1"/>
  <c r="J3" i="1"/>
  <c r="J4" i="1"/>
  <c r="J5" i="1"/>
  <c r="J6" i="1"/>
  <c r="J8" i="1"/>
  <c r="J9" i="1"/>
  <c r="J10" i="1"/>
  <c r="J11" i="1"/>
  <c r="J12" i="1"/>
  <c r="J13" i="1"/>
  <c r="F39" i="4" l="1"/>
  <c r="G39" i="4" s="1"/>
  <c r="H39" i="4"/>
  <c r="F38" i="4"/>
  <c r="G38" i="4"/>
  <c r="H38" i="4"/>
  <c r="H36" i="4"/>
  <c r="F36" i="4"/>
  <c r="G36" i="4" s="1"/>
  <c r="H30" i="4"/>
  <c r="F30" i="4"/>
  <c r="G30" i="4" s="1"/>
  <c r="F37" i="4"/>
  <c r="H37" i="4"/>
  <c r="G37" i="4"/>
  <c r="H35" i="4"/>
  <c r="F35" i="4"/>
  <c r="G35" i="4" s="1"/>
  <c r="F31" i="4"/>
  <c r="G31" i="4" s="1"/>
  <c r="H31" i="4"/>
  <c r="F40" i="4"/>
  <c r="G40" i="4" s="1"/>
  <c r="H40" i="4"/>
  <c r="F32" i="4"/>
  <c r="G32" i="4" s="1"/>
  <c r="H32" i="4"/>
  <c r="H34" i="4"/>
  <c r="F34" i="4"/>
  <c r="G34" i="4" s="1"/>
  <c r="D42" i="4"/>
  <c r="F39" i="2"/>
  <c r="H39" i="2"/>
  <c r="F35" i="2"/>
  <c r="H35" i="2"/>
  <c r="H31" i="2"/>
  <c r="F31" i="2"/>
  <c r="E42" i="4"/>
  <c r="F29" i="4"/>
  <c r="H29" i="4"/>
  <c r="H42" i="4" s="1"/>
  <c r="C48" i="4" s="1"/>
  <c r="G34" i="2"/>
  <c r="G30" i="2"/>
  <c r="G40" i="2"/>
  <c r="G38" i="2"/>
  <c r="G36" i="2"/>
  <c r="G37" i="2"/>
  <c r="G32" i="2"/>
  <c r="D42" i="2"/>
  <c r="I7" i="1"/>
  <c r="H15" i="1"/>
  <c r="B15" i="1"/>
  <c r="F17" i="2" l="1"/>
  <c r="G35" i="2"/>
  <c r="F21" i="2"/>
  <c r="G39" i="2"/>
  <c r="C2" i="1"/>
  <c r="C3" i="1"/>
  <c r="C5" i="1"/>
  <c r="C7" i="1"/>
  <c r="C9" i="1"/>
  <c r="C11" i="1"/>
  <c r="C13" i="1"/>
  <c r="C4" i="1"/>
  <c r="C6" i="1"/>
  <c r="C8" i="1"/>
  <c r="C10" i="1"/>
  <c r="C12" i="1"/>
  <c r="B16" i="4"/>
  <c r="C16" i="4" s="1"/>
  <c r="B16" i="2"/>
  <c r="C16" i="2" s="1"/>
  <c r="J7" i="1"/>
  <c r="J15" i="1" s="1"/>
  <c r="G29" i="4"/>
  <c r="G42" i="4" s="1"/>
  <c r="F42" i="4"/>
  <c r="C51" i="4" s="1"/>
  <c r="F13" i="2"/>
  <c r="G31" i="2"/>
  <c r="E42" i="2"/>
  <c r="H29" i="2"/>
  <c r="H42" i="2" s="1"/>
  <c r="C48" i="2" s="1"/>
  <c r="F29" i="2"/>
  <c r="G29" i="2" s="1"/>
  <c r="G42" i="2" s="1"/>
  <c r="I15" i="1"/>
  <c r="C15" i="1"/>
  <c r="C24" i="2" l="1"/>
  <c r="D21" i="4"/>
  <c r="E21" i="4" s="1"/>
  <c r="D21" i="2"/>
  <c r="E21" i="2" s="1"/>
  <c r="F12" i="1"/>
  <c r="P12" i="1" s="1"/>
  <c r="L12" i="1"/>
  <c r="M12" i="1" s="1"/>
  <c r="E12" i="1"/>
  <c r="O12" i="1" s="1"/>
  <c r="D12" i="1"/>
  <c r="N12" i="1" s="1"/>
  <c r="D17" i="4"/>
  <c r="E17" i="4" s="1"/>
  <c r="D17" i="2"/>
  <c r="E17" i="2" s="1"/>
  <c r="F8" i="1"/>
  <c r="P8" i="1" s="1"/>
  <c r="L8" i="1"/>
  <c r="M8" i="1" s="1"/>
  <c r="E8" i="1"/>
  <c r="O8" i="1" s="1"/>
  <c r="D8" i="1"/>
  <c r="N8" i="1" s="1"/>
  <c r="D13" i="4"/>
  <c r="E13" i="4" s="1"/>
  <c r="D13" i="2"/>
  <c r="E13" i="2" s="1"/>
  <c r="H13" i="2" s="1"/>
  <c r="F4" i="1"/>
  <c r="P4" i="1" s="1"/>
  <c r="L4" i="1"/>
  <c r="M4" i="1" s="1"/>
  <c r="E4" i="1"/>
  <c r="O4" i="1" s="1"/>
  <c r="D4" i="1"/>
  <c r="N4" i="1" s="1"/>
  <c r="D20" i="4"/>
  <c r="E20" i="4" s="1"/>
  <c r="D20" i="2"/>
  <c r="E20" i="2" s="1"/>
  <c r="F11" i="1"/>
  <c r="P11" i="1" s="1"/>
  <c r="L11" i="1"/>
  <c r="M11" i="1" s="1"/>
  <c r="E11" i="1"/>
  <c r="O11" i="1" s="1"/>
  <c r="D11" i="1"/>
  <c r="N11" i="1" s="1"/>
  <c r="D16" i="4"/>
  <c r="E16" i="4" s="1"/>
  <c r="H16" i="4" s="1"/>
  <c r="D16" i="2"/>
  <c r="E16" i="2" s="1"/>
  <c r="F7" i="1"/>
  <c r="P7" i="1" s="1"/>
  <c r="L7" i="1"/>
  <c r="M7" i="1" s="1"/>
  <c r="E7" i="1"/>
  <c r="O7" i="1" s="1"/>
  <c r="D7" i="1"/>
  <c r="N7" i="1" s="1"/>
  <c r="D12" i="4"/>
  <c r="E12" i="4" s="1"/>
  <c r="D12" i="2"/>
  <c r="E12" i="2" s="1"/>
  <c r="F3" i="1"/>
  <c r="P3" i="1" s="1"/>
  <c r="L3" i="1"/>
  <c r="M3" i="1" s="1"/>
  <c r="E3" i="1"/>
  <c r="O3" i="1" s="1"/>
  <c r="D3" i="1"/>
  <c r="N3" i="1" s="1"/>
  <c r="C53" i="4"/>
  <c r="C52" i="4"/>
  <c r="C24" i="4"/>
  <c r="G16" i="4"/>
  <c r="D19" i="4"/>
  <c r="E19" i="4" s="1"/>
  <c r="D19" i="2"/>
  <c r="E19" i="2" s="1"/>
  <c r="F10" i="1"/>
  <c r="P10" i="1" s="1"/>
  <c r="L10" i="1"/>
  <c r="M10" i="1" s="1"/>
  <c r="E10" i="1"/>
  <c r="O10" i="1" s="1"/>
  <c r="D10" i="1"/>
  <c r="N10" i="1" s="1"/>
  <c r="D15" i="4"/>
  <c r="E15" i="4" s="1"/>
  <c r="D15" i="2"/>
  <c r="E15" i="2" s="1"/>
  <c r="F6" i="1"/>
  <c r="P6" i="1" s="1"/>
  <c r="L6" i="1"/>
  <c r="M6" i="1" s="1"/>
  <c r="E6" i="1"/>
  <c r="O6" i="1" s="1"/>
  <c r="D6" i="1"/>
  <c r="N6" i="1" s="1"/>
  <c r="D22" i="4"/>
  <c r="E22" i="4" s="1"/>
  <c r="D22" i="2"/>
  <c r="E22" i="2" s="1"/>
  <c r="F13" i="1"/>
  <c r="P13" i="1" s="1"/>
  <c r="L13" i="1"/>
  <c r="M13" i="1" s="1"/>
  <c r="E13" i="1"/>
  <c r="O13" i="1" s="1"/>
  <c r="D13" i="1"/>
  <c r="N13" i="1" s="1"/>
  <c r="D18" i="4"/>
  <c r="E18" i="4" s="1"/>
  <c r="D18" i="2"/>
  <c r="E18" i="2" s="1"/>
  <c r="F9" i="1"/>
  <c r="P9" i="1" s="1"/>
  <c r="L9" i="1"/>
  <c r="M9" i="1" s="1"/>
  <c r="E9" i="1"/>
  <c r="O9" i="1" s="1"/>
  <c r="D9" i="1"/>
  <c r="N9" i="1" s="1"/>
  <c r="D14" i="4"/>
  <c r="E14" i="4" s="1"/>
  <c r="D14" i="2"/>
  <c r="E14" i="2" s="1"/>
  <c r="F5" i="1"/>
  <c r="P5" i="1" s="1"/>
  <c r="L5" i="1"/>
  <c r="M5" i="1" s="1"/>
  <c r="E5" i="1"/>
  <c r="O5" i="1" s="1"/>
  <c r="D5" i="1"/>
  <c r="N5" i="1" s="1"/>
  <c r="D11" i="4"/>
  <c r="D11" i="2"/>
  <c r="F2" i="1"/>
  <c r="L2" i="1"/>
  <c r="M2" i="1" s="1"/>
  <c r="E2" i="1"/>
  <c r="D2" i="1"/>
  <c r="I17" i="2"/>
  <c r="F42" i="2"/>
  <c r="C50" i="2" s="1"/>
  <c r="N2" i="1" l="1"/>
  <c r="D15" i="1"/>
  <c r="E11" i="2"/>
  <c r="E24" i="2" s="1"/>
  <c r="D24" i="2"/>
  <c r="I14" i="2"/>
  <c r="G14" i="2"/>
  <c r="H14" i="2"/>
  <c r="I18" i="2"/>
  <c r="G18" i="2"/>
  <c r="H18" i="2"/>
  <c r="H22" i="2"/>
  <c r="G22" i="2"/>
  <c r="I22" i="2"/>
  <c r="H15" i="2"/>
  <c r="I15" i="2"/>
  <c r="G15" i="2"/>
  <c r="H19" i="2"/>
  <c r="G19" i="2"/>
  <c r="I19" i="2"/>
  <c r="G12" i="2"/>
  <c r="I12" i="2"/>
  <c r="H12" i="2"/>
  <c r="I16" i="2"/>
  <c r="G16" i="2"/>
  <c r="I20" i="2"/>
  <c r="G20" i="2"/>
  <c r="H20" i="2"/>
  <c r="G17" i="2"/>
  <c r="H17" i="2"/>
  <c r="G21" i="2"/>
  <c r="H21" i="2"/>
  <c r="H16" i="2"/>
  <c r="I13" i="2"/>
  <c r="I21" i="2"/>
  <c r="O2" i="1"/>
  <c r="E15" i="1"/>
  <c r="P2" i="1"/>
  <c r="F15" i="1"/>
  <c r="D24" i="4"/>
  <c r="E11" i="4"/>
  <c r="H14" i="4"/>
  <c r="G14" i="4"/>
  <c r="H18" i="4"/>
  <c r="G18" i="4"/>
  <c r="H22" i="4"/>
  <c r="G22" i="4"/>
  <c r="H15" i="4"/>
  <c r="G15" i="4"/>
  <c r="H19" i="4"/>
  <c r="G19" i="4"/>
  <c r="G12" i="4"/>
  <c r="H12" i="4"/>
  <c r="H20" i="4"/>
  <c r="G20" i="4"/>
  <c r="H13" i="4"/>
  <c r="G13" i="4"/>
  <c r="G17" i="4"/>
  <c r="H17" i="4"/>
  <c r="H21" i="4"/>
  <c r="G21" i="4"/>
  <c r="G13" i="2"/>
  <c r="F24" i="2"/>
  <c r="I11" i="2"/>
  <c r="I24" i="2" s="1"/>
  <c r="C47" i="2" s="1"/>
  <c r="E47" i="2" s="1"/>
  <c r="H11" i="2"/>
  <c r="H24" i="2" s="1"/>
  <c r="C49" i="2" s="1"/>
  <c r="H11" i="4" l="1"/>
  <c r="H24" i="4" s="1"/>
  <c r="C47" i="4" s="1"/>
  <c r="E47" i="4" s="1"/>
  <c r="G11" i="4"/>
  <c r="G24" i="4" s="1"/>
  <c r="C49" i="4" s="1"/>
  <c r="C50" i="4" s="1"/>
  <c r="E50" i="4" s="1"/>
  <c r="E24" i="4"/>
  <c r="G11" i="2"/>
  <c r="G24" i="2" s="1"/>
  <c r="C51" i="2"/>
  <c r="E51" i="2" s="1"/>
</calcChain>
</file>

<file path=xl/sharedStrings.xml><?xml version="1.0" encoding="utf-8"?>
<sst xmlns="http://schemas.openxmlformats.org/spreadsheetml/2006/main" count="186" uniqueCount="69">
  <si>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</si>
  <si>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</si>
  <si>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</si>
  <si>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</si>
  <si>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</si>
  <si>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</si>
  <si>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</si>
  <si>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</si>
  <si>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</si>
  <si>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</si>
  <si>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</si>
  <si>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</si>
  <si>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Gem. Opbrengst</t>
  </si>
  <si>
    <t>Verbruik residentieel</t>
  </si>
  <si>
    <t>Verbruik kotstudent</t>
  </si>
  <si>
    <t>Opbrengst - Verbruik</t>
  </si>
  <si>
    <t>kWh</t>
  </si>
  <si>
    <t>Verbruik (kWh)</t>
  </si>
  <si>
    <t>Opbrengst x2</t>
  </si>
  <si>
    <t>Gem opbrengst</t>
  </si>
  <si>
    <t>Opbrengst x3</t>
  </si>
  <si>
    <t>Overschot</t>
  </si>
  <si>
    <t>O-V (2x)</t>
  </si>
  <si>
    <t>O-V (3x)</t>
  </si>
  <si>
    <t>Opbrengst x4</t>
  </si>
  <si>
    <t>O-V (4x)</t>
  </si>
  <si>
    <t>Samenstelling:</t>
  </si>
  <si>
    <t>Elektriciteit</t>
  </si>
  <si>
    <t>Verwarming</t>
  </si>
  <si>
    <t>Relatief verbruik</t>
  </si>
  <si>
    <t>Productie zonnecollector</t>
  </si>
  <si>
    <t>m²</t>
  </si>
  <si>
    <t>Rel verbruik student</t>
  </si>
  <si>
    <t>Oppervlakte zonnecollector per student:</t>
  </si>
  <si>
    <t>Oppervlakte PV per student:</t>
  </si>
  <si>
    <t>Totaal oppervlakte</t>
  </si>
  <si>
    <t>Wkk</t>
  </si>
  <si>
    <t>El rendement</t>
  </si>
  <si>
    <t>Therm rendement</t>
  </si>
  <si>
    <t>PV en zonneboiler</t>
  </si>
  <si>
    <t>Rel opbrengst PV</t>
  </si>
  <si>
    <t>PV (kWh)</t>
  </si>
  <si>
    <t>WKK (kWh)</t>
  </si>
  <si>
    <t>Totaal (kWh)</t>
  </si>
  <si>
    <t>Tekort (kWh)</t>
  </si>
  <si>
    <t>Overschot (kWh)</t>
  </si>
  <si>
    <t>Rel opbrengst zon</t>
  </si>
  <si>
    <t>zonnecollector (kWh)</t>
  </si>
  <si>
    <t>Overschot kWh)</t>
  </si>
  <si>
    <t>Elektriciteit (kWh)</t>
  </si>
  <si>
    <t>Warmte (kWh)</t>
  </si>
  <si>
    <t>Resultaten:</t>
  </si>
  <si>
    <t>Overproductie elektriciteit</t>
  </si>
  <si>
    <t>Tekort (op te vullen met agregaat)</t>
  </si>
  <si>
    <t>kg</t>
  </si>
  <si>
    <t>Overproductie warmte</t>
  </si>
  <si>
    <t>Benodigde hoeveelheid pellets</t>
  </si>
  <si>
    <t>Parameters/aannames</t>
  </si>
  <si>
    <t>Houtkachel</t>
  </si>
  <si>
    <t>Houtkachel (kWh)</t>
  </si>
  <si>
    <t>Benodigde hoeveelheid koolzaadolie</t>
  </si>
  <si>
    <t>liter</t>
  </si>
  <si>
    <t>Agregaat</t>
  </si>
  <si>
    <t>Elek rendement</t>
  </si>
  <si>
    <t>Benodigde hoeveelheid brandhout</t>
  </si>
  <si>
    <t>Tekort</t>
  </si>
  <si>
    <t>euro</t>
  </si>
  <si>
    <t>(Dan zal de wkk moeten draaien om enkel elektriciteit te produceren, beperken dus!)</t>
  </si>
  <si>
    <t>stère (1m³ gestapeld)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</si>
</sst>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9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0" xfId="0" applyFont="1" applyProtection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5" xfId="0" applyBorder="1"/>
    <xf numFmtId="9" fontId="0" fillId="0" borderId="6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1" xfId="0" applyBorder="1"/>
    <xf numFmtId="0" fontId="0" fillId="0" borderId="4" xfId="0" applyBorder="1"/>
    <xf numFmtId="0" fontId="2" fillId="0" borderId="0" xfId="0" applyFont="1" applyBorder="1"/>
    <xf numFmtId="0" fontId="0" fillId="0" borderId="7" xfId="0" applyBorder="1"/>
    <xf numFmtId="0" fontId="4" fillId="0" borderId="7" xfId="0" applyFont="1" applyBorder="1"/>
    <xf numFmtId="0" fontId="0" fillId="0" borderId="0" xfId="0" applyBorder="1"/>
    <xf numFmtId="0" fontId="2" fillId="0" borderId="6" xfId="0" applyFont="1" applyBorder="1"/>
    <xf numFmtId="0" fontId="0" fillId="0" borderId="8" xfId="0" applyBorder="1"/>
    <xf numFmtId="0" fontId="4" fillId="0" borderId="0" xfId="0" applyFont="1" applyBorder="1"/>
    <xf numFmtId="0" fontId="0" fillId="0" borderId="9" xfId="0" applyBorder="1"/>
    <xf numFmtId="1" fontId="0" fillId="0" borderId="10" xfId="0" applyNumberFormat="1" applyBorder="1"/>
    <xf numFmtId="0" fontId="0" fillId="0" borderId="10" xfId="0" applyBorder="1"/>
    <xf numFmtId="1" fontId="0" fillId="0" borderId="11" xfId="0" applyNumberFormat="1" applyBorder="1"/>
    <xf numFmtId="0" fontId="0" fillId="0" borderId="12" xfId="0" applyBorder="1"/>
    <xf numFmtId="0" fontId="0" fillId="0" borderId="13" xfId="0" applyBorder="1"/>
    <xf numFmtId="1" fontId="0" fillId="0" borderId="14" xfId="0" applyNumberFormat="1" applyBorder="1"/>
    <xf numFmtId="1" fontId="0" fillId="0" borderId="15" xfId="0" applyNumberFormat="1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0" xfId="0" applyNumberFormat="1" applyBorder="1"/>
    <xf numFmtId="0" fontId="2" fillId="0" borderId="0" xfId="0" applyFont="1"/>
    <xf numFmtId="2" fontId="0" fillId="0" borderId="0" xfId="0" applyNumberFormat="1"/>
    <xf numFmtId="1" fontId="2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Elektriciteit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41580792333846"/>
          <c:y val="0.19412945354149086"/>
          <c:w val="0.66036674945833118"/>
          <c:h val="0.59246019853054666"/>
        </c:manualLayout>
      </c:layout>
      <c:scatterChart>
        <c:scatterStyle val="smoothMarker"/>
        <c:varyColors val="0"/>
        <c:ser>
          <c:idx val="0"/>
          <c:order val="0"/>
          <c:tx>
            <c:v>Verbruik</c:v>
          </c:tx>
          <c:xVal>
            <c:strRef>
              <c:f>'PV+WKK'!$A$11:$A$22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'PV+WKK'!$C$11:$C$22</c:f>
              <c:numCache>
                <c:formatCode>0</c:formatCode>
                <c:ptCount val="12"/>
                <c:pt idx="0">
                  <c:v>36</c:v>
                </c:pt>
                <c:pt idx="1">
                  <c:v>34.514362500000004</c:v>
                </c:pt>
                <c:pt idx="2">
                  <c:v>33.804000000000002</c:v>
                </c:pt>
                <c:pt idx="3">
                  <c:v>21.000000000000004</c:v>
                </c:pt>
                <c:pt idx="4">
                  <c:v>27.913499999999999</c:v>
                </c:pt>
                <c:pt idx="5">
                  <c:v>27.590451000000002</c:v>
                </c:pt>
                <c:pt idx="6">
                  <c:v>6</c:v>
                </c:pt>
                <c:pt idx="7">
                  <c:v>9</c:v>
                </c:pt>
                <c:pt idx="8">
                  <c:v>15</c:v>
                </c:pt>
                <c:pt idx="9">
                  <c:v>31.205249999999999</c:v>
                </c:pt>
                <c:pt idx="10">
                  <c:v>34.707750000000004</c:v>
                </c:pt>
                <c:pt idx="11">
                  <c:v>24</c:v>
                </c:pt>
              </c:numCache>
            </c:numRef>
          </c:yVal>
          <c:smooth val="1"/>
        </c:ser>
        <c:ser>
          <c:idx val="1"/>
          <c:order val="1"/>
          <c:tx>
            <c:v>PV</c:v>
          </c:tx>
          <c:xVal>
            <c:strRef>
              <c:f>'PV+WKK'!$A$11:$A$22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'PV+WKK'!$E$11:$E$22</c:f>
              <c:numCache>
                <c:formatCode>0</c:formatCode>
                <c:ptCount val="12"/>
                <c:pt idx="0">
                  <c:v>8.0386240193120102</c:v>
                </c:pt>
                <c:pt idx="1">
                  <c:v>10.428485214242606</c:v>
                </c:pt>
                <c:pt idx="2">
                  <c:v>27.592033796016899</c:v>
                </c:pt>
                <c:pt idx="3">
                  <c:v>46.710923355461681</c:v>
                </c:pt>
                <c:pt idx="4">
                  <c:v>50.4043452021726</c:v>
                </c:pt>
                <c:pt idx="5">
                  <c:v>49.318044659022334</c:v>
                </c:pt>
                <c:pt idx="6">
                  <c:v>50.4043452021726</c:v>
                </c:pt>
                <c:pt idx="7">
                  <c:v>49.318044659022334</c:v>
                </c:pt>
                <c:pt idx="8">
                  <c:v>34.761617380808687</c:v>
                </c:pt>
                <c:pt idx="9">
                  <c:v>23.898611949305973</c:v>
                </c:pt>
                <c:pt idx="10">
                  <c:v>6.9523234761617383</c:v>
                </c:pt>
                <c:pt idx="11">
                  <c:v>2.1726010863005429</c:v>
                </c:pt>
              </c:numCache>
            </c:numRef>
          </c:yVal>
          <c:smooth val="1"/>
        </c:ser>
        <c:ser>
          <c:idx val="2"/>
          <c:order val="2"/>
          <c:tx>
            <c:v>PV + WKK</c:v>
          </c:tx>
          <c:xVal>
            <c:strRef>
              <c:f>'PV+WKK'!$A$11:$A$22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'PV+WKK'!$G$11:$G$22</c:f>
              <c:numCache>
                <c:formatCode>0</c:formatCode>
                <c:ptCount val="12"/>
                <c:pt idx="0">
                  <c:v>29.747435123717562</c:v>
                </c:pt>
                <c:pt idx="1">
                  <c:v>31.307483403741706</c:v>
                </c:pt>
                <c:pt idx="2">
                  <c:v>37.261466505733253</c:v>
                </c:pt>
                <c:pt idx="3">
                  <c:v>46.710923355461681</c:v>
                </c:pt>
                <c:pt idx="4">
                  <c:v>50.4043452021726</c:v>
                </c:pt>
                <c:pt idx="5">
                  <c:v>49.318044659022334</c:v>
                </c:pt>
                <c:pt idx="6">
                  <c:v>50.4043452021726</c:v>
                </c:pt>
                <c:pt idx="7">
                  <c:v>49.318044659022334</c:v>
                </c:pt>
                <c:pt idx="8">
                  <c:v>34.761617380808687</c:v>
                </c:pt>
                <c:pt idx="9">
                  <c:v>31.350482800241398</c:v>
                </c:pt>
                <c:pt idx="10">
                  <c:v>29.038322269161139</c:v>
                </c:pt>
                <c:pt idx="11">
                  <c:v>24.168225709112853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1056"/>
        <c:axId val="77474432"/>
      </c:scatterChart>
      <c:valAx>
        <c:axId val="68541056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Maanden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7474432"/>
        <c:crosses val="autoZero"/>
        <c:crossBetween val="midCat"/>
      </c:valAx>
      <c:valAx>
        <c:axId val="7747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Verbruik/productie</a:t>
                </a:r>
                <a:r>
                  <a:rPr lang="nl-BE" baseline="0"/>
                  <a:t> (kWh)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854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1030788386946"/>
          <c:y val="0.44631192727206698"/>
          <c:w val="0.15841910546164681"/>
          <c:h val="0.250282538212135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Warmte</a:t>
            </a:r>
            <a:r>
              <a:rPr lang="nl-BE" baseline="0"/>
              <a:t> </a:t>
            </a:r>
            <a:r>
              <a:rPr lang="nl-BE" sz="1000" baseline="0"/>
              <a:t>(verwarming+SWW)</a:t>
            </a:r>
            <a:endParaRPr lang="nl-BE" sz="1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34539316414453"/>
          <c:y val="0.19480351414406533"/>
          <c:w val="0.58388744157909633"/>
          <c:h val="0.68387685914260721"/>
        </c:manualLayout>
      </c:layout>
      <c:scatterChart>
        <c:scatterStyle val="smoothMarker"/>
        <c:varyColors val="0"/>
        <c:ser>
          <c:idx val="0"/>
          <c:order val="0"/>
          <c:tx>
            <c:v>Verbruik</c:v>
          </c:tx>
          <c:xVal>
            <c:strRef>
              <c:f>'PV+WKK'!$A$29:$A$40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'PV+WKK'!$C$29:$C$40</c:f>
              <c:numCache>
                <c:formatCode>0</c:formatCode>
                <c:ptCount val="12"/>
                <c:pt idx="0">
                  <c:v>98.000000000000014</c:v>
                </c:pt>
                <c:pt idx="1">
                  <c:v>98.000000000000014</c:v>
                </c:pt>
                <c:pt idx="2">
                  <c:v>77</c:v>
                </c:pt>
                <c:pt idx="3">
                  <c:v>35</c:v>
                </c:pt>
                <c:pt idx="4">
                  <c:v>49.000000000000007</c:v>
                </c:pt>
                <c:pt idx="5">
                  <c:v>49.000000000000007</c:v>
                </c:pt>
                <c:pt idx="6">
                  <c:v>7</c:v>
                </c:pt>
                <c:pt idx="7">
                  <c:v>14</c:v>
                </c:pt>
                <c:pt idx="8">
                  <c:v>21</c:v>
                </c:pt>
                <c:pt idx="9">
                  <c:v>63</c:v>
                </c:pt>
                <c:pt idx="10">
                  <c:v>98.000000000000014</c:v>
                </c:pt>
                <c:pt idx="11">
                  <c:v>91</c:v>
                </c:pt>
              </c:numCache>
            </c:numRef>
          </c:yVal>
          <c:smooth val="1"/>
        </c:ser>
        <c:ser>
          <c:idx val="1"/>
          <c:order val="1"/>
          <c:tx>
            <c:v>Zonnecollector</c:v>
          </c:tx>
          <c:xVal>
            <c:strRef>
              <c:f>'PV+WKK'!$A$29:$A$40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'PV+WKK'!$E$29:$E$40</c:f>
              <c:numCache>
                <c:formatCode>0</c:formatCode>
                <c:ptCount val="12"/>
                <c:pt idx="0">
                  <c:v>11.164755582377792</c:v>
                </c:pt>
                <c:pt idx="1">
                  <c:v>14.484007242003621</c:v>
                </c:pt>
                <c:pt idx="2">
                  <c:v>38.322269161134585</c:v>
                </c:pt>
                <c:pt idx="3">
                  <c:v>64.876282438141232</c:v>
                </c:pt>
                <c:pt idx="4">
                  <c:v>70.006035003017502</c:v>
                </c:pt>
                <c:pt idx="5">
                  <c:v>68.497284248642131</c:v>
                </c:pt>
                <c:pt idx="6">
                  <c:v>70.006035003017502</c:v>
                </c:pt>
                <c:pt idx="7">
                  <c:v>68.497284248642131</c:v>
                </c:pt>
                <c:pt idx="8">
                  <c:v>48.280024140012067</c:v>
                </c:pt>
                <c:pt idx="9">
                  <c:v>33.192516596258301</c:v>
                </c:pt>
                <c:pt idx="10">
                  <c:v>9.6560048280024144</c:v>
                </c:pt>
                <c:pt idx="11">
                  <c:v>3.0175015087507542</c:v>
                </c:pt>
              </c:numCache>
            </c:numRef>
          </c:yVal>
          <c:smooth val="1"/>
        </c:ser>
        <c:ser>
          <c:idx val="2"/>
          <c:order val="2"/>
          <c:tx>
            <c:v>Zonnecollector + WKK</c:v>
          </c:tx>
          <c:xVal>
            <c:strRef>
              <c:f>'PV+WKK'!$A$29:$A$40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'PV+WKK'!$G$29:$G$40</c:f>
              <c:numCache>
                <c:formatCode>0</c:formatCode>
                <c:ptCount val="12"/>
                <c:pt idx="0">
                  <c:v>98.000000000000014</c:v>
                </c:pt>
                <c:pt idx="1">
                  <c:v>98.000000000000028</c:v>
                </c:pt>
                <c:pt idx="2">
                  <c:v>77</c:v>
                </c:pt>
                <c:pt idx="3">
                  <c:v>64.876282438141232</c:v>
                </c:pt>
                <c:pt idx="4">
                  <c:v>70.006035003017502</c:v>
                </c:pt>
                <c:pt idx="5">
                  <c:v>68.497284248642131</c:v>
                </c:pt>
                <c:pt idx="6">
                  <c:v>70.006035003017502</c:v>
                </c:pt>
                <c:pt idx="7">
                  <c:v>68.497284248642131</c:v>
                </c:pt>
                <c:pt idx="8">
                  <c:v>48.280024140012067</c:v>
                </c:pt>
                <c:pt idx="9">
                  <c:v>63</c:v>
                </c:pt>
                <c:pt idx="10">
                  <c:v>98.000000000000014</c:v>
                </c:pt>
                <c:pt idx="11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3664"/>
        <c:axId val="80605952"/>
      </c:scatterChart>
      <c:valAx>
        <c:axId val="8059366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Maanden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0605952"/>
        <c:crosses val="autoZero"/>
        <c:crossBetween val="midCat"/>
      </c:valAx>
      <c:valAx>
        <c:axId val="80605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Verbruik</a:t>
                </a:r>
                <a:r>
                  <a:rPr lang="nl-BE" baseline="0"/>
                  <a:t>/productie (kWh)</a:t>
                </a:r>
                <a:endParaRPr lang="nl-BE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059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10272321907745"/>
          <c:y val="0.44612569262175561"/>
          <c:w val="0.24198401779703199"/>
          <c:h val="0.3391145377661127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Elektriciteit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75808980253308"/>
          <c:y val="0.19412945354149086"/>
          <c:w val="0.66614948299247911"/>
          <c:h val="0.59246019853054666"/>
        </c:manualLayout>
      </c:layout>
      <c:scatterChart>
        <c:scatterStyle val="smoothMarker"/>
        <c:varyColors val="0"/>
        <c:ser>
          <c:idx val="0"/>
          <c:order val="0"/>
          <c:tx>
            <c:v>Verbruik</c:v>
          </c:tx>
          <c:xVal>
            <c:strRef>
              <c:f>'PV+Houtkachel'!$A$11:$A$22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'PV+Houtkachel'!$C$11:$C$22</c:f>
              <c:numCache>
                <c:formatCode>0</c:formatCode>
                <c:ptCount val="12"/>
                <c:pt idx="0">
                  <c:v>216</c:v>
                </c:pt>
                <c:pt idx="1">
                  <c:v>207.08617500000003</c:v>
                </c:pt>
                <c:pt idx="2">
                  <c:v>202.82400000000001</c:v>
                </c:pt>
                <c:pt idx="3">
                  <c:v>126.00000000000001</c:v>
                </c:pt>
                <c:pt idx="4">
                  <c:v>167.48099999999999</c:v>
                </c:pt>
                <c:pt idx="5">
                  <c:v>165.54270600000001</c:v>
                </c:pt>
                <c:pt idx="6">
                  <c:v>36</c:v>
                </c:pt>
                <c:pt idx="7">
                  <c:v>54</c:v>
                </c:pt>
                <c:pt idx="8">
                  <c:v>90</c:v>
                </c:pt>
                <c:pt idx="9">
                  <c:v>187.23150000000001</c:v>
                </c:pt>
                <c:pt idx="10">
                  <c:v>208.2465</c:v>
                </c:pt>
                <c:pt idx="11">
                  <c:v>144</c:v>
                </c:pt>
              </c:numCache>
            </c:numRef>
          </c:yVal>
          <c:smooth val="1"/>
        </c:ser>
        <c:ser>
          <c:idx val="1"/>
          <c:order val="1"/>
          <c:tx>
            <c:v>PV</c:v>
          </c:tx>
          <c:xVal>
            <c:strRef>
              <c:f>'PV+Houtkachel'!$A$11:$A$22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'PV+Houtkachel'!$E$11:$E$22</c:f>
              <c:numCache>
                <c:formatCode>0</c:formatCode>
                <c:ptCount val="12"/>
                <c:pt idx="0">
                  <c:v>32.154496077248041</c:v>
                </c:pt>
                <c:pt idx="1">
                  <c:v>41.713940856970424</c:v>
                </c:pt>
                <c:pt idx="2">
                  <c:v>110.3681351840676</c:v>
                </c:pt>
                <c:pt idx="3">
                  <c:v>186.84369342184672</c:v>
                </c:pt>
                <c:pt idx="4">
                  <c:v>201.6173808086904</c:v>
                </c:pt>
                <c:pt idx="5">
                  <c:v>197.27217863608934</c:v>
                </c:pt>
                <c:pt idx="6">
                  <c:v>201.6173808086904</c:v>
                </c:pt>
                <c:pt idx="7">
                  <c:v>197.27217863608934</c:v>
                </c:pt>
                <c:pt idx="8">
                  <c:v>139.04646952323475</c:v>
                </c:pt>
                <c:pt idx="9">
                  <c:v>95.594447797223893</c:v>
                </c:pt>
                <c:pt idx="10">
                  <c:v>27.809293904646953</c:v>
                </c:pt>
                <c:pt idx="11">
                  <c:v>8.6904043452021718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1360"/>
        <c:axId val="77953280"/>
      </c:scatterChart>
      <c:valAx>
        <c:axId val="77951360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Maanden</a:t>
                </a:r>
              </a:p>
            </c:rich>
          </c:tx>
          <c:overlay val="0"/>
        </c:title>
        <c:majorTickMark val="none"/>
        <c:minorTickMark val="none"/>
        <c:tickLblPos val="nextTo"/>
        <c:crossAx val="77953280"/>
        <c:crosses val="autoZero"/>
        <c:crossBetween val="midCat"/>
      </c:valAx>
      <c:valAx>
        <c:axId val="7795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Verbruik/productie</a:t>
                </a:r>
                <a:r>
                  <a:rPr lang="nl-BE" baseline="0"/>
                  <a:t> (kWh)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77951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1601954928045"/>
          <c:y val="0.48802586527895125"/>
          <c:w val="0.14935704588650564"/>
          <c:h val="0.1668550254747567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Warmte</a:t>
            </a:r>
            <a:r>
              <a:rPr lang="nl-BE" baseline="0"/>
              <a:t> </a:t>
            </a:r>
            <a:r>
              <a:rPr lang="nl-BE" sz="1000" baseline="0"/>
              <a:t>(verwarming+SWW)</a:t>
            </a:r>
            <a:endParaRPr lang="nl-BE" sz="10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34539316414453"/>
          <c:y val="0.19480351414406533"/>
          <c:w val="0.61297028307703161"/>
          <c:h val="0.68387685914260721"/>
        </c:manualLayout>
      </c:layout>
      <c:scatterChart>
        <c:scatterStyle val="smoothMarker"/>
        <c:varyColors val="0"/>
        <c:ser>
          <c:idx val="0"/>
          <c:order val="0"/>
          <c:tx>
            <c:v>Verbruik</c:v>
          </c:tx>
          <c:xVal>
            <c:strRef>
              <c:f>'PV+Houtkachel'!$A$29:$A$40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'PV+Houtkachel'!$C$29:$C$40</c:f>
              <c:numCache>
                <c:formatCode>0</c:formatCode>
                <c:ptCount val="12"/>
                <c:pt idx="0">
                  <c:v>98.000000000000014</c:v>
                </c:pt>
                <c:pt idx="1">
                  <c:v>98.000000000000014</c:v>
                </c:pt>
                <c:pt idx="2">
                  <c:v>77</c:v>
                </c:pt>
                <c:pt idx="3">
                  <c:v>35</c:v>
                </c:pt>
                <c:pt idx="4">
                  <c:v>49.000000000000007</c:v>
                </c:pt>
                <c:pt idx="5">
                  <c:v>49.000000000000007</c:v>
                </c:pt>
                <c:pt idx="6">
                  <c:v>7</c:v>
                </c:pt>
                <c:pt idx="7">
                  <c:v>14</c:v>
                </c:pt>
                <c:pt idx="8">
                  <c:v>21</c:v>
                </c:pt>
                <c:pt idx="9">
                  <c:v>63</c:v>
                </c:pt>
                <c:pt idx="10">
                  <c:v>98.000000000000014</c:v>
                </c:pt>
                <c:pt idx="11">
                  <c:v>91</c:v>
                </c:pt>
              </c:numCache>
            </c:numRef>
          </c:yVal>
          <c:smooth val="1"/>
        </c:ser>
        <c:ser>
          <c:idx val="1"/>
          <c:order val="1"/>
          <c:tx>
            <c:v>Zonnecollector</c:v>
          </c:tx>
          <c:xVal>
            <c:strRef>
              <c:f>'PV+Houtkachel'!$A$29:$A$40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'PV+Houtkachel'!$E$29:$E$40</c:f>
              <c:numCache>
                <c:formatCode>0</c:formatCode>
                <c:ptCount val="12"/>
                <c:pt idx="0">
                  <c:v>11.164755582377792</c:v>
                </c:pt>
                <c:pt idx="1">
                  <c:v>14.484007242003621</c:v>
                </c:pt>
                <c:pt idx="2">
                  <c:v>38.322269161134585</c:v>
                </c:pt>
                <c:pt idx="3">
                  <c:v>64.876282438141232</c:v>
                </c:pt>
                <c:pt idx="4">
                  <c:v>70.006035003017502</c:v>
                </c:pt>
                <c:pt idx="5">
                  <c:v>68.497284248642131</c:v>
                </c:pt>
                <c:pt idx="6">
                  <c:v>70.006035003017502</c:v>
                </c:pt>
                <c:pt idx="7">
                  <c:v>68.497284248642131</c:v>
                </c:pt>
                <c:pt idx="8">
                  <c:v>48.280024140012067</c:v>
                </c:pt>
                <c:pt idx="9">
                  <c:v>33.192516596258301</c:v>
                </c:pt>
                <c:pt idx="10">
                  <c:v>9.6560048280024144</c:v>
                </c:pt>
                <c:pt idx="11">
                  <c:v>3.0175015087507542</c:v>
                </c:pt>
              </c:numCache>
            </c:numRef>
          </c:yVal>
          <c:smooth val="1"/>
        </c:ser>
        <c:ser>
          <c:idx val="2"/>
          <c:order val="2"/>
          <c:tx>
            <c:v>Zonnecollector + Houtkachel</c:v>
          </c:tx>
          <c:xVal>
            <c:strRef>
              <c:f>'PV+Houtkachel'!$A$29:$A$40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'PV+Houtkachel'!$G$29:$G$40</c:f>
              <c:numCache>
                <c:formatCode>0</c:formatCode>
                <c:ptCount val="12"/>
                <c:pt idx="0">
                  <c:v>98.000000000000014</c:v>
                </c:pt>
                <c:pt idx="1">
                  <c:v>98.000000000000028</c:v>
                </c:pt>
                <c:pt idx="2">
                  <c:v>77</c:v>
                </c:pt>
                <c:pt idx="3">
                  <c:v>64.876282438141232</c:v>
                </c:pt>
                <c:pt idx="4">
                  <c:v>70.006035003017502</c:v>
                </c:pt>
                <c:pt idx="5">
                  <c:v>68.497284248642131</c:v>
                </c:pt>
                <c:pt idx="6">
                  <c:v>70.006035003017502</c:v>
                </c:pt>
                <c:pt idx="7">
                  <c:v>68.497284248642131</c:v>
                </c:pt>
                <c:pt idx="8">
                  <c:v>48.280024140012067</c:v>
                </c:pt>
                <c:pt idx="9">
                  <c:v>63</c:v>
                </c:pt>
                <c:pt idx="10">
                  <c:v>98.000000000000014</c:v>
                </c:pt>
                <c:pt idx="11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7744"/>
        <c:axId val="77969664"/>
      </c:scatterChart>
      <c:valAx>
        <c:axId val="77967744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Maanden</a:t>
                </a:r>
              </a:p>
            </c:rich>
          </c:tx>
          <c:overlay val="0"/>
        </c:title>
        <c:majorTickMark val="none"/>
        <c:minorTickMark val="none"/>
        <c:tickLblPos val="nextTo"/>
        <c:crossAx val="77969664"/>
        <c:crosses val="autoZero"/>
        <c:crossBetween val="midCat"/>
      </c:valAx>
      <c:valAx>
        <c:axId val="779696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Verbruik</a:t>
                </a:r>
                <a:r>
                  <a:rPr lang="nl-BE" baseline="0"/>
                  <a:t>/productie (kWh)</a:t>
                </a:r>
                <a:endParaRPr lang="nl-BE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77967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10272321907745"/>
          <c:y val="0.44612569262175561"/>
          <c:w val="0.24198401779703199"/>
          <c:h val="0.3391145377661127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PV productie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productieprofiel'!$C$2:$C$13</c:f>
              <c:numCache>
                <c:formatCode>0%</c:formatCode>
                <c:ptCount val="12"/>
                <c:pt idx="0">
                  <c:v>2.2329511164755584E-2</c:v>
                </c:pt>
                <c:pt idx="1">
                  <c:v>2.8968014484007241E-2</c:v>
                </c:pt>
                <c:pt idx="2">
                  <c:v>7.6644538322269168E-2</c:v>
                </c:pt>
                <c:pt idx="3">
                  <c:v>0.12975256487628245</c:v>
                </c:pt>
                <c:pt idx="4">
                  <c:v>0.14001207000603499</c:v>
                </c:pt>
                <c:pt idx="5">
                  <c:v>0.13699456849728425</c:v>
                </c:pt>
                <c:pt idx="6">
                  <c:v>0.14001207000603499</c:v>
                </c:pt>
                <c:pt idx="7">
                  <c:v>0.13699456849728425</c:v>
                </c:pt>
                <c:pt idx="8">
                  <c:v>9.6560048280024138E-2</c:v>
                </c:pt>
                <c:pt idx="9">
                  <c:v>6.6385033192516596E-2</c:v>
                </c:pt>
                <c:pt idx="10">
                  <c:v>1.9312009656004828E-2</c:v>
                </c:pt>
                <c:pt idx="11">
                  <c:v>6.0350030175015086E-3</c:v>
                </c:pt>
              </c:numCache>
            </c:numRef>
          </c:yVal>
          <c:smooth val="1"/>
        </c:ser>
        <c:ser>
          <c:idx val="1"/>
          <c:order val="1"/>
          <c:tx>
            <c:v>Verbruik particulier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productieprofiel'!$H$2:$H$13</c:f>
              <c:numCache>
                <c:formatCode>0%</c:formatCode>
                <c:ptCount val="12"/>
                <c:pt idx="0">
                  <c:v>0.102682</c:v>
                </c:pt>
                <c:pt idx="1">
                  <c:v>9.2038300000000003E-2</c:v>
                </c:pt>
                <c:pt idx="2">
                  <c:v>9.0144000000000002E-2</c:v>
                </c:pt>
                <c:pt idx="3">
                  <c:v>7.8051800000000005E-2</c:v>
                </c:pt>
                <c:pt idx="4">
                  <c:v>7.4436000000000002E-2</c:v>
                </c:pt>
                <c:pt idx="5">
                  <c:v>6.9149000000000002E-2</c:v>
                </c:pt>
                <c:pt idx="6">
                  <c:v>6.9274000000000002E-2</c:v>
                </c:pt>
                <c:pt idx="7">
                  <c:v>7.0826700000000006E-2</c:v>
                </c:pt>
                <c:pt idx="8">
                  <c:v>7.4337E-2</c:v>
                </c:pt>
                <c:pt idx="9">
                  <c:v>8.3213999999999996E-2</c:v>
                </c:pt>
                <c:pt idx="10">
                  <c:v>9.2553999999999997E-2</c:v>
                </c:pt>
                <c:pt idx="11">
                  <c:v>0.103501</c:v>
                </c:pt>
              </c:numCache>
            </c:numRef>
          </c:yVal>
          <c:smooth val="1"/>
        </c:ser>
        <c:ser>
          <c:idx val="2"/>
          <c:order val="2"/>
          <c:tx>
            <c:v>Verbruik kotstudent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productieprofiel'!$I$2:$I$13</c:f>
              <c:numCache>
                <c:formatCode>0%</c:formatCode>
                <c:ptCount val="12"/>
                <c:pt idx="0">
                  <c:v>0.12</c:v>
                </c:pt>
                <c:pt idx="1">
                  <c:v>0.11504787500000001</c:v>
                </c:pt>
                <c:pt idx="2">
                  <c:v>0.11268</c:v>
                </c:pt>
                <c:pt idx="3">
                  <c:v>7.0000000000000007E-2</c:v>
                </c:pt>
                <c:pt idx="4">
                  <c:v>9.3045000000000003E-2</c:v>
                </c:pt>
                <c:pt idx="5">
                  <c:v>9.1968170000000002E-2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0.1040175</c:v>
                </c:pt>
                <c:pt idx="10">
                  <c:v>0.1156925</c:v>
                </c:pt>
                <c:pt idx="11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7872"/>
        <c:axId val="78129408"/>
      </c:scatterChart>
      <c:valAx>
        <c:axId val="781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8129408"/>
        <c:crosses val="autoZero"/>
        <c:crossBetween val="midCat"/>
      </c:valAx>
      <c:valAx>
        <c:axId val="78129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12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PV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productieprofiel'!$C$2:$C$13</c:f>
              <c:numCache>
                <c:formatCode>0%</c:formatCode>
                <c:ptCount val="12"/>
                <c:pt idx="0">
                  <c:v>2.2329511164755584E-2</c:v>
                </c:pt>
                <c:pt idx="1">
                  <c:v>2.8968014484007241E-2</c:v>
                </c:pt>
                <c:pt idx="2">
                  <c:v>7.6644538322269168E-2</c:v>
                </c:pt>
                <c:pt idx="3">
                  <c:v>0.12975256487628245</c:v>
                </c:pt>
                <c:pt idx="4">
                  <c:v>0.14001207000603499</c:v>
                </c:pt>
                <c:pt idx="5">
                  <c:v>0.13699456849728425</c:v>
                </c:pt>
                <c:pt idx="6">
                  <c:v>0.14001207000603499</c:v>
                </c:pt>
                <c:pt idx="7">
                  <c:v>0.13699456849728425</c:v>
                </c:pt>
                <c:pt idx="8">
                  <c:v>9.6560048280024138E-2</c:v>
                </c:pt>
                <c:pt idx="9">
                  <c:v>6.6385033192516596E-2</c:v>
                </c:pt>
                <c:pt idx="10">
                  <c:v>1.9312009656004828E-2</c:v>
                </c:pt>
                <c:pt idx="11">
                  <c:v>6.0350030175015086E-3</c:v>
                </c:pt>
              </c:numCache>
            </c:numRef>
          </c:yVal>
          <c:smooth val="1"/>
        </c:ser>
        <c:ser>
          <c:idx val="1"/>
          <c:order val="1"/>
          <c:tx>
            <c:v>PV x2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productieprofiel'!$D$2:$D$13</c:f>
              <c:numCache>
                <c:formatCode>0%</c:formatCode>
                <c:ptCount val="12"/>
                <c:pt idx="0">
                  <c:v>4.4659022329511168E-2</c:v>
                </c:pt>
                <c:pt idx="1">
                  <c:v>5.7936028968014482E-2</c:v>
                </c:pt>
                <c:pt idx="2">
                  <c:v>0.15328907664453834</c:v>
                </c:pt>
                <c:pt idx="3">
                  <c:v>0.2595051297525649</c:v>
                </c:pt>
                <c:pt idx="4">
                  <c:v>0.28002414001206999</c:v>
                </c:pt>
                <c:pt idx="5">
                  <c:v>0.27398913699456851</c:v>
                </c:pt>
                <c:pt idx="6">
                  <c:v>0.28002414001206999</c:v>
                </c:pt>
                <c:pt idx="7">
                  <c:v>0.27398913699456851</c:v>
                </c:pt>
                <c:pt idx="8">
                  <c:v>0.19312009656004828</c:v>
                </c:pt>
                <c:pt idx="9">
                  <c:v>0.13277006638503319</c:v>
                </c:pt>
                <c:pt idx="10">
                  <c:v>3.8624019312009657E-2</c:v>
                </c:pt>
                <c:pt idx="11">
                  <c:v>1.2070006035003017E-2</c:v>
                </c:pt>
              </c:numCache>
            </c:numRef>
          </c:yVal>
          <c:smooth val="1"/>
        </c:ser>
        <c:ser>
          <c:idx val="2"/>
          <c:order val="2"/>
          <c:tx>
            <c:v>PV x3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productieprofiel'!$E$2:$E$13</c:f>
              <c:numCache>
                <c:formatCode>0%</c:formatCode>
                <c:ptCount val="12"/>
                <c:pt idx="0">
                  <c:v>6.6988533494266755E-2</c:v>
                </c:pt>
                <c:pt idx="1">
                  <c:v>8.6904043452021726E-2</c:v>
                </c:pt>
                <c:pt idx="2">
                  <c:v>0.2299336149668075</c:v>
                </c:pt>
                <c:pt idx="3">
                  <c:v>0.38925769462884735</c:v>
                </c:pt>
                <c:pt idx="4">
                  <c:v>0.42003621001810498</c:v>
                </c:pt>
                <c:pt idx="5">
                  <c:v>0.41098370549185276</c:v>
                </c:pt>
                <c:pt idx="6">
                  <c:v>0.42003621001810498</c:v>
                </c:pt>
                <c:pt idx="7">
                  <c:v>0.41098370549185276</c:v>
                </c:pt>
                <c:pt idx="8">
                  <c:v>0.28968014484007243</c:v>
                </c:pt>
                <c:pt idx="9">
                  <c:v>0.19915509957754979</c:v>
                </c:pt>
                <c:pt idx="10">
                  <c:v>5.7936028968014489E-2</c:v>
                </c:pt>
                <c:pt idx="11">
                  <c:v>1.8105009052504527E-2</c:v>
                </c:pt>
              </c:numCache>
            </c:numRef>
          </c:yVal>
          <c:smooth val="1"/>
        </c:ser>
        <c:ser>
          <c:idx val="3"/>
          <c:order val="3"/>
          <c:tx>
            <c:v>PV x4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productieprofiel'!$F$2:$F$13</c:f>
              <c:numCache>
                <c:formatCode>0%</c:formatCode>
                <c:ptCount val="12"/>
                <c:pt idx="0">
                  <c:v>8.9318044659022336E-2</c:v>
                </c:pt>
                <c:pt idx="1">
                  <c:v>0.11587205793602896</c:v>
                </c:pt>
                <c:pt idx="2">
                  <c:v>0.30657815328907667</c:v>
                </c:pt>
                <c:pt idx="3">
                  <c:v>0.5190102595051298</c:v>
                </c:pt>
                <c:pt idx="4">
                  <c:v>0.56004828002413998</c:v>
                </c:pt>
                <c:pt idx="5">
                  <c:v>0.54797827398913701</c:v>
                </c:pt>
                <c:pt idx="6">
                  <c:v>0.56004828002413998</c:v>
                </c:pt>
                <c:pt idx="7">
                  <c:v>0.54797827398913701</c:v>
                </c:pt>
                <c:pt idx="8">
                  <c:v>0.38624019312009655</c:v>
                </c:pt>
                <c:pt idx="9">
                  <c:v>0.26554013277006638</c:v>
                </c:pt>
                <c:pt idx="10">
                  <c:v>7.7248038624019313E-2</c:v>
                </c:pt>
                <c:pt idx="11">
                  <c:v>2.4140012070006035E-2</c:v>
                </c:pt>
              </c:numCache>
            </c:numRef>
          </c:yVal>
          <c:smooth val="1"/>
        </c:ser>
        <c:ser>
          <c:idx val="4"/>
          <c:order val="4"/>
          <c:tx>
            <c:v>Verbruik</c:v>
          </c:tx>
          <c:xVal>
            <c:strRef>
              <c:f>'Verbruiks- en productieprofiel'!$A$2:$A$13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Maart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Augustus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'Verbruiks- en productieprofiel'!$I$2:$I$13</c:f>
              <c:numCache>
                <c:formatCode>0%</c:formatCode>
                <c:ptCount val="12"/>
                <c:pt idx="0">
                  <c:v>0.12</c:v>
                </c:pt>
                <c:pt idx="1">
                  <c:v>0.11504787500000001</c:v>
                </c:pt>
                <c:pt idx="2">
                  <c:v>0.11268</c:v>
                </c:pt>
                <c:pt idx="3">
                  <c:v>7.0000000000000007E-2</c:v>
                </c:pt>
                <c:pt idx="4">
                  <c:v>9.3045000000000003E-2</c:v>
                </c:pt>
                <c:pt idx="5">
                  <c:v>9.1968170000000002E-2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0.1040175</c:v>
                </c:pt>
                <c:pt idx="10">
                  <c:v>0.1156925</c:v>
                </c:pt>
                <c:pt idx="11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4640"/>
        <c:axId val="78146176"/>
      </c:scatterChart>
      <c:valAx>
        <c:axId val="781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8146176"/>
        <c:crosses val="autoZero"/>
        <c:crossBetween val="midCat"/>
      </c:valAx>
      <c:valAx>
        <c:axId val="78146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14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161925</xdr:rowOff>
    </xdr:from>
    <xdr:to>
      <xdr:col>16</xdr:col>
      <xdr:colOff>447675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27</xdr:row>
      <xdr:rowOff>85725</xdr:rowOff>
    </xdr:from>
    <xdr:to>
      <xdr:col>16</xdr:col>
      <xdr:colOff>104775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10</xdr:row>
      <xdr:rowOff>57150</xdr:rowOff>
    </xdr:from>
    <xdr:to>
      <xdr:col>15</xdr:col>
      <xdr:colOff>476250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27</xdr:row>
      <xdr:rowOff>85725</xdr:rowOff>
    </xdr:from>
    <xdr:to>
      <xdr:col>16</xdr:col>
      <xdr:colOff>104775</xdr:colOff>
      <xdr:row>41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9524</xdr:rowOff>
    </xdr:from>
    <xdr:to>
      <xdr:col>9</xdr:col>
      <xdr:colOff>114300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17</xdr:row>
      <xdr:rowOff>180974</xdr:rowOff>
    </xdr:from>
    <xdr:to>
      <xdr:col>17</xdr:col>
      <xdr:colOff>342900</xdr:colOff>
      <xdr:row>35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workbookViewId="0">
      <selection activeCell="F40" sqref="F40"/>
    </sheetView>
  </sheetViews>
  <sheetFormatPr defaultRowHeight="15" x14ac:dyDescent="0.25"/>
  <cols>
    <col min="1" max="1" width="16.85546875" customWidth="1"/>
    <col min="2" max="2" width="19.140625" bestFit="1" customWidth="1"/>
    <col min="3" max="3" width="14.7109375" bestFit="1" customWidth="1"/>
    <col min="4" max="4" width="17.7109375" bestFit="1" customWidth="1"/>
    <col min="5" max="5" width="19.42578125" customWidth="1"/>
    <col min="6" max="6" width="15.5703125" bestFit="1" customWidth="1"/>
    <col min="7" max="7" width="14.28515625" bestFit="1" customWidth="1"/>
    <col min="8" max="8" width="12.28515625" customWidth="1"/>
    <col min="11" max="12" width="17.42578125" bestFit="1" customWidth="1"/>
  </cols>
  <sheetData>
    <row r="1" spans="1:12" x14ac:dyDescent="0.25">
      <c r="A1" s="3" t="s">
        <v>57</v>
      </c>
    </row>
    <row r="2" spans="1:12" x14ac:dyDescent="0.25">
      <c r="D2" s="6" t="s">
        <v>39</v>
      </c>
      <c r="E2" s="15"/>
      <c r="F2" s="15"/>
      <c r="G2" s="15"/>
      <c r="H2" s="16"/>
      <c r="I2" s="7"/>
      <c r="K2" s="6" t="s">
        <v>36</v>
      </c>
      <c r="L2" s="7"/>
    </row>
    <row r="3" spans="1:12" x14ac:dyDescent="0.25">
      <c r="A3" s="12" t="s">
        <v>49</v>
      </c>
      <c r="B3" s="7">
        <v>300</v>
      </c>
      <c r="D3" s="8" t="s">
        <v>33</v>
      </c>
      <c r="E3" s="17"/>
      <c r="F3" s="14">
        <v>1</v>
      </c>
      <c r="G3" s="17" t="s">
        <v>31</v>
      </c>
      <c r="H3" s="14">
        <f>500*F3</f>
        <v>500</v>
      </c>
      <c r="I3" s="18" t="s">
        <v>16</v>
      </c>
      <c r="K3" s="8" t="s">
        <v>37</v>
      </c>
      <c r="L3" s="9">
        <v>0.2</v>
      </c>
    </row>
    <row r="4" spans="1:12" x14ac:dyDescent="0.25">
      <c r="A4" s="10" t="s">
        <v>50</v>
      </c>
      <c r="B4" s="13">
        <v>700</v>
      </c>
      <c r="D4" s="8" t="s">
        <v>34</v>
      </c>
      <c r="E4" s="17"/>
      <c r="F4" s="14">
        <v>2</v>
      </c>
      <c r="G4" s="17" t="s">
        <v>31</v>
      </c>
      <c r="H4" s="14">
        <f>F4*200*0.9</f>
        <v>360</v>
      </c>
      <c r="I4" s="18" t="s">
        <v>16</v>
      </c>
      <c r="K4" s="10" t="s">
        <v>38</v>
      </c>
      <c r="L4" s="11">
        <v>0.6</v>
      </c>
    </row>
    <row r="5" spans="1:12" x14ac:dyDescent="0.25">
      <c r="D5" s="10" t="s">
        <v>35</v>
      </c>
      <c r="E5" s="19"/>
      <c r="F5" s="19">
        <f>SUM(F3:F4)</f>
        <v>3</v>
      </c>
      <c r="G5" s="19" t="s">
        <v>31</v>
      </c>
      <c r="H5" s="19"/>
      <c r="I5" s="13"/>
    </row>
    <row r="6" spans="1:12" x14ac:dyDescent="0.25">
      <c r="D6" s="17"/>
      <c r="E6" s="17"/>
      <c r="F6" s="17"/>
      <c r="G6" s="17"/>
      <c r="H6" s="17"/>
      <c r="I6" s="17"/>
    </row>
    <row r="8" spans="1:12" x14ac:dyDescent="0.25">
      <c r="A8" s="3" t="s">
        <v>27</v>
      </c>
    </row>
    <row r="9" spans="1:12" ht="15.75" thickBot="1" x14ac:dyDescent="0.3">
      <c r="E9" s="20" t="s">
        <v>26</v>
      </c>
      <c r="F9" s="17"/>
    </row>
    <row r="10" spans="1:12" x14ac:dyDescent="0.25">
      <c r="B10" t="s">
        <v>29</v>
      </c>
      <c r="C10" s="21" t="s">
        <v>17</v>
      </c>
      <c r="D10" t="s">
        <v>40</v>
      </c>
      <c r="E10" s="25" t="s">
        <v>41</v>
      </c>
      <c r="F10" s="26" t="s">
        <v>42</v>
      </c>
      <c r="G10" t="s">
        <v>43</v>
      </c>
      <c r="H10" t="s">
        <v>44</v>
      </c>
      <c r="I10" t="s">
        <v>45</v>
      </c>
    </row>
    <row r="11" spans="1:12" x14ac:dyDescent="0.25">
      <c r="A11" t="s">
        <v>0</v>
      </c>
      <c r="B11" s="1">
        <f>'Verbruiks- en productieprofiel'!I2</f>
        <v>0.12</v>
      </c>
      <c r="C11" s="22">
        <f t="shared" ref="C11:C22" si="0">B11*$B$3</f>
        <v>36</v>
      </c>
      <c r="D11" s="1">
        <f>'Verbruiks- en productieprofiel'!C2</f>
        <v>2.2329511164755584E-2</v>
      </c>
      <c r="E11" s="27">
        <f t="shared" ref="E11:E22" si="1">D11*$H$4</f>
        <v>8.0386240193120102</v>
      </c>
      <c r="F11" s="28">
        <f>F29*$L$3/($L$3+$L$4)</f>
        <v>21.708811104405552</v>
      </c>
      <c r="G11" s="2">
        <f>E11+F11</f>
        <v>29.747435123717562</v>
      </c>
      <c r="H11" s="2">
        <f t="shared" ref="H11:H22" si="2">IF(C11-E11-F11&gt;0,C11-E11-F11,0)</f>
        <v>6.2525648762824382</v>
      </c>
      <c r="I11" s="2">
        <f t="shared" ref="I11:I22" si="3">IF(F11+E11-C11&gt;0,F11+E11-C11,0)</f>
        <v>0</v>
      </c>
    </row>
    <row r="12" spans="1:12" x14ac:dyDescent="0.25">
      <c r="A12" t="s">
        <v>1</v>
      </c>
      <c r="B12" s="1">
        <f>'Verbruiks- en productieprofiel'!I3</f>
        <v>0.11504787500000001</v>
      </c>
      <c r="C12" s="22">
        <f t="shared" si="0"/>
        <v>34.514362500000004</v>
      </c>
      <c r="D12" s="1">
        <f>'Verbruiks- en productieprofiel'!C3</f>
        <v>2.8968014484007241E-2</v>
      </c>
      <c r="E12" s="27">
        <f t="shared" si="1"/>
        <v>10.428485214242606</v>
      </c>
      <c r="F12" s="28">
        <f t="shared" ref="F11:F22" si="4">F30/($L$3+$L$4)*$L$3</f>
        <v>20.8789981894991</v>
      </c>
      <c r="G12" s="2">
        <f t="shared" ref="G12:G22" si="5">E12+F12</f>
        <v>31.307483403741706</v>
      </c>
      <c r="H12" s="2">
        <f t="shared" si="2"/>
        <v>3.206879096258298</v>
      </c>
      <c r="I12" s="2">
        <f t="shared" si="3"/>
        <v>0</v>
      </c>
    </row>
    <row r="13" spans="1:12" x14ac:dyDescent="0.25">
      <c r="A13" t="s">
        <v>2</v>
      </c>
      <c r="B13" s="1">
        <f>'Verbruiks- en productieprofiel'!I4</f>
        <v>0.11268</v>
      </c>
      <c r="C13" s="22">
        <f t="shared" si="0"/>
        <v>33.804000000000002</v>
      </c>
      <c r="D13" s="1">
        <f>'Verbruiks- en productieprofiel'!C4</f>
        <v>7.6644538322269168E-2</v>
      </c>
      <c r="E13" s="27">
        <f t="shared" si="1"/>
        <v>27.592033796016899</v>
      </c>
      <c r="F13" s="28">
        <f t="shared" si="4"/>
        <v>9.6694327097163537</v>
      </c>
      <c r="G13" s="2">
        <f t="shared" si="5"/>
        <v>37.261466505733253</v>
      </c>
      <c r="H13" s="2">
        <f t="shared" si="2"/>
        <v>0</v>
      </c>
      <c r="I13" s="2">
        <f t="shared" si="3"/>
        <v>3.457466505733251</v>
      </c>
    </row>
    <row r="14" spans="1:12" x14ac:dyDescent="0.25">
      <c r="A14" t="s">
        <v>3</v>
      </c>
      <c r="B14" s="1">
        <f>'Verbruiks- en productieprofiel'!I5</f>
        <v>7.0000000000000007E-2</v>
      </c>
      <c r="C14" s="22">
        <f t="shared" si="0"/>
        <v>21.000000000000004</v>
      </c>
      <c r="D14" s="1">
        <f>'Verbruiks- en productieprofiel'!C5</f>
        <v>0.12975256487628245</v>
      </c>
      <c r="E14" s="27">
        <f t="shared" si="1"/>
        <v>46.710923355461681</v>
      </c>
      <c r="F14" s="28">
        <f t="shared" si="4"/>
        <v>0</v>
      </c>
      <c r="G14" s="2">
        <f t="shared" si="5"/>
        <v>46.710923355461681</v>
      </c>
      <c r="H14" s="2">
        <f t="shared" si="2"/>
        <v>0</v>
      </c>
      <c r="I14" s="2">
        <f t="shared" si="3"/>
        <v>25.710923355461677</v>
      </c>
    </row>
    <row r="15" spans="1:12" x14ac:dyDescent="0.25">
      <c r="A15" t="s">
        <v>4</v>
      </c>
      <c r="B15" s="1">
        <f>'Verbruiks- en productieprofiel'!I6</f>
        <v>9.3045000000000003E-2</v>
      </c>
      <c r="C15" s="22">
        <f t="shared" si="0"/>
        <v>27.913499999999999</v>
      </c>
      <c r="D15" s="1">
        <f>'Verbruiks- en productieprofiel'!C6</f>
        <v>0.14001207000603499</v>
      </c>
      <c r="E15" s="27">
        <f t="shared" si="1"/>
        <v>50.4043452021726</v>
      </c>
      <c r="F15" s="28">
        <f t="shared" si="4"/>
        <v>0</v>
      </c>
      <c r="G15" s="2">
        <f t="shared" si="5"/>
        <v>50.4043452021726</v>
      </c>
      <c r="H15" s="2">
        <f t="shared" si="2"/>
        <v>0</v>
      </c>
      <c r="I15" s="2">
        <f t="shared" si="3"/>
        <v>22.490845202172601</v>
      </c>
    </row>
    <row r="16" spans="1:12" x14ac:dyDescent="0.25">
      <c r="A16" t="s">
        <v>5</v>
      </c>
      <c r="B16" s="1">
        <f>'Verbruiks- en productieprofiel'!I7</f>
        <v>9.1968170000000002E-2</v>
      </c>
      <c r="C16" s="22">
        <f t="shared" si="0"/>
        <v>27.590451000000002</v>
      </c>
      <c r="D16" s="1">
        <f>'Verbruiks- en productieprofiel'!C7</f>
        <v>0.13699456849728425</v>
      </c>
      <c r="E16" s="27">
        <f t="shared" si="1"/>
        <v>49.318044659022334</v>
      </c>
      <c r="F16" s="28">
        <f t="shared" si="4"/>
        <v>0</v>
      </c>
      <c r="G16" s="2">
        <f t="shared" si="5"/>
        <v>49.318044659022334</v>
      </c>
      <c r="H16" s="2">
        <f t="shared" si="2"/>
        <v>0</v>
      </c>
      <c r="I16" s="2">
        <f t="shared" si="3"/>
        <v>21.727593659022332</v>
      </c>
    </row>
    <row r="17" spans="1:9" x14ac:dyDescent="0.25">
      <c r="A17" t="s">
        <v>6</v>
      </c>
      <c r="B17" s="1">
        <f>'Verbruiks- en productieprofiel'!I8</f>
        <v>0.02</v>
      </c>
      <c r="C17" s="22">
        <f t="shared" si="0"/>
        <v>6</v>
      </c>
      <c r="D17" s="1">
        <f>'Verbruiks- en productieprofiel'!C8</f>
        <v>0.14001207000603499</v>
      </c>
      <c r="E17" s="27">
        <f t="shared" si="1"/>
        <v>50.4043452021726</v>
      </c>
      <c r="F17" s="28">
        <f t="shared" si="4"/>
        <v>0</v>
      </c>
      <c r="G17" s="2">
        <f t="shared" si="5"/>
        <v>50.4043452021726</v>
      </c>
      <c r="H17" s="2">
        <f t="shared" si="2"/>
        <v>0</v>
      </c>
      <c r="I17" s="2">
        <f t="shared" si="3"/>
        <v>44.4043452021726</v>
      </c>
    </row>
    <row r="18" spans="1:9" x14ac:dyDescent="0.25">
      <c r="A18" t="s">
        <v>7</v>
      </c>
      <c r="B18" s="1">
        <f>'Verbruiks- en productieprofiel'!I9</f>
        <v>0.03</v>
      </c>
      <c r="C18" s="22">
        <f t="shared" si="0"/>
        <v>9</v>
      </c>
      <c r="D18" s="1">
        <f>'Verbruiks- en productieprofiel'!C9</f>
        <v>0.13699456849728425</v>
      </c>
      <c r="E18" s="27">
        <f t="shared" si="1"/>
        <v>49.318044659022334</v>
      </c>
      <c r="F18" s="28">
        <f t="shared" si="4"/>
        <v>0</v>
      </c>
      <c r="G18" s="2">
        <f t="shared" si="5"/>
        <v>49.318044659022334</v>
      </c>
      <c r="H18" s="2">
        <f t="shared" si="2"/>
        <v>0</v>
      </c>
      <c r="I18" s="2">
        <f t="shared" si="3"/>
        <v>40.318044659022334</v>
      </c>
    </row>
    <row r="19" spans="1:9" x14ac:dyDescent="0.25">
      <c r="A19" t="s">
        <v>8</v>
      </c>
      <c r="B19" s="1">
        <f>'Verbruiks- en productieprofiel'!I10</f>
        <v>0.05</v>
      </c>
      <c r="C19" s="22">
        <f t="shared" si="0"/>
        <v>15</v>
      </c>
      <c r="D19" s="1">
        <f>'Verbruiks- en productieprofiel'!C10</f>
        <v>9.6560048280024138E-2</v>
      </c>
      <c r="E19" s="27">
        <f t="shared" si="1"/>
        <v>34.761617380808687</v>
      </c>
      <c r="F19" s="28">
        <f t="shared" si="4"/>
        <v>0</v>
      </c>
      <c r="G19" s="2">
        <f t="shared" si="5"/>
        <v>34.761617380808687</v>
      </c>
      <c r="H19" s="2">
        <f t="shared" si="2"/>
        <v>0</v>
      </c>
      <c r="I19" s="2">
        <f t="shared" si="3"/>
        <v>19.761617380808687</v>
      </c>
    </row>
    <row r="20" spans="1:9" x14ac:dyDescent="0.25">
      <c r="A20" t="s">
        <v>9</v>
      </c>
      <c r="B20" s="1">
        <f>'Verbruiks- en productieprofiel'!I11</f>
        <v>0.1040175</v>
      </c>
      <c r="C20" s="22">
        <f t="shared" si="0"/>
        <v>31.205249999999999</v>
      </c>
      <c r="D20" s="1">
        <f>'Verbruiks- en productieprofiel'!C11</f>
        <v>6.6385033192516596E-2</v>
      </c>
      <c r="E20" s="27">
        <f t="shared" si="1"/>
        <v>23.898611949305973</v>
      </c>
      <c r="F20" s="28">
        <f t="shared" si="4"/>
        <v>7.4518708509354248</v>
      </c>
      <c r="G20" s="2">
        <f t="shared" si="5"/>
        <v>31.350482800241398</v>
      </c>
      <c r="H20" s="2">
        <f t="shared" si="2"/>
        <v>0</v>
      </c>
      <c r="I20" s="2">
        <f t="shared" si="3"/>
        <v>0.14523280024139851</v>
      </c>
    </row>
    <row r="21" spans="1:9" x14ac:dyDescent="0.25">
      <c r="A21" t="s">
        <v>10</v>
      </c>
      <c r="B21" s="1">
        <f>'Verbruiks- en productieprofiel'!I12</f>
        <v>0.1156925</v>
      </c>
      <c r="C21" s="22">
        <f t="shared" si="0"/>
        <v>34.707750000000004</v>
      </c>
      <c r="D21" s="1">
        <f>'Verbruiks- en productieprofiel'!C12</f>
        <v>1.9312009656004828E-2</v>
      </c>
      <c r="E21" s="27">
        <f t="shared" si="1"/>
        <v>6.9523234761617383</v>
      </c>
      <c r="F21" s="28">
        <f t="shared" si="4"/>
        <v>22.085998792999401</v>
      </c>
      <c r="G21" s="2">
        <f t="shared" si="5"/>
        <v>29.038322269161139</v>
      </c>
      <c r="H21" s="2">
        <f t="shared" si="2"/>
        <v>5.6694277308388656</v>
      </c>
      <c r="I21" s="2">
        <f t="shared" si="3"/>
        <v>0</v>
      </c>
    </row>
    <row r="22" spans="1:9" x14ac:dyDescent="0.25">
      <c r="A22" t="s">
        <v>11</v>
      </c>
      <c r="B22" s="1">
        <f>'Verbruiks- en productieprofiel'!I13</f>
        <v>0.08</v>
      </c>
      <c r="C22" s="22">
        <f t="shared" si="0"/>
        <v>24</v>
      </c>
      <c r="D22" s="1">
        <f>'Verbruiks- en productieprofiel'!C13</f>
        <v>6.0350030175015086E-3</v>
      </c>
      <c r="E22" s="27">
        <f t="shared" si="1"/>
        <v>2.1726010863005429</v>
      </c>
      <c r="F22" s="28">
        <f t="shared" si="4"/>
        <v>21.995624622812311</v>
      </c>
      <c r="G22" s="2">
        <f t="shared" si="5"/>
        <v>24.168225709112853</v>
      </c>
      <c r="H22" s="2">
        <f t="shared" si="2"/>
        <v>0</v>
      </c>
      <c r="I22" s="2">
        <f t="shared" si="3"/>
        <v>0.16822570911285339</v>
      </c>
    </row>
    <row r="23" spans="1:9" x14ac:dyDescent="0.25">
      <c r="C23" s="23"/>
      <c r="E23" s="29"/>
      <c r="F23" s="30"/>
      <c r="H23" s="2"/>
      <c r="I23" s="2"/>
    </row>
    <row r="24" spans="1:9" ht="15.75" thickBot="1" x14ac:dyDescent="0.3">
      <c r="B24" s="1">
        <v>1.0036090090000003</v>
      </c>
      <c r="C24" s="24">
        <f t="shared" ref="C24:I24" si="6">SUM(C11:C22)</f>
        <v>300.73531350000002</v>
      </c>
      <c r="D24" s="1">
        <f t="shared" si="6"/>
        <v>1.0000000000000002</v>
      </c>
      <c r="E24" s="31">
        <f t="shared" si="6"/>
        <v>359.99999999999994</v>
      </c>
      <c r="F24" s="32">
        <f t="shared" si="6"/>
        <v>103.79073627036816</v>
      </c>
      <c r="G24" s="2">
        <f t="shared" si="6"/>
        <v>463.79073627036814</v>
      </c>
      <c r="H24" s="2">
        <f t="shared" si="6"/>
        <v>15.128871703379602</v>
      </c>
      <c r="I24" s="2">
        <f t="shared" si="6"/>
        <v>178.18429447374768</v>
      </c>
    </row>
    <row r="26" spans="1:9" x14ac:dyDescent="0.25">
      <c r="A26" s="3" t="s">
        <v>28</v>
      </c>
    </row>
    <row r="27" spans="1:9" ht="15.75" thickBot="1" x14ac:dyDescent="0.3">
      <c r="E27" s="5" t="s">
        <v>26</v>
      </c>
    </row>
    <row r="28" spans="1:9" x14ac:dyDescent="0.25">
      <c r="B28" t="s">
        <v>29</v>
      </c>
      <c r="C28" s="21" t="s">
        <v>17</v>
      </c>
      <c r="D28" t="s">
        <v>46</v>
      </c>
      <c r="E28" s="25" t="s">
        <v>47</v>
      </c>
      <c r="F28" s="26" t="s">
        <v>42</v>
      </c>
      <c r="G28" t="s">
        <v>43</v>
      </c>
      <c r="H28" t="s">
        <v>48</v>
      </c>
    </row>
    <row r="29" spans="1:9" x14ac:dyDescent="0.25">
      <c r="A29" t="s">
        <v>0</v>
      </c>
      <c r="B29" s="1">
        <f>'Verbruiks- en productieprofiel'!D40</f>
        <v>0.14000000000000001</v>
      </c>
      <c r="C29" s="22">
        <f t="shared" ref="C29:C40" si="7">B29*$B$4</f>
        <v>98.000000000000014</v>
      </c>
      <c r="D29" s="1">
        <f>'Verbruiks- en productieprofiel'!G40</f>
        <v>2.2329511164755584E-2</v>
      </c>
      <c r="E29" s="27">
        <f t="shared" ref="E29:E40" si="8">D29*500*$F$3</f>
        <v>11.164755582377792</v>
      </c>
      <c r="F29" s="28">
        <f t="shared" ref="F29:F40" si="9">IF(C29-E29&gt;0,C29-E29,0)</f>
        <v>86.835244417622221</v>
      </c>
      <c r="G29" s="2">
        <f>E29+F29</f>
        <v>98.000000000000014</v>
      </c>
      <c r="H29" s="2">
        <f t="shared" ref="H29:H40" si="10">IF(E29-C29&gt;0,E29-C29,0)</f>
        <v>0</v>
      </c>
    </row>
    <row r="30" spans="1:9" x14ac:dyDescent="0.25">
      <c r="A30" t="s">
        <v>1</v>
      </c>
      <c r="B30" s="1">
        <f>'Verbruiks- en productieprofiel'!D41</f>
        <v>0.14000000000000001</v>
      </c>
      <c r="C30" s="22">
        <f t="shared" si="7"/>
        <v>98.000000000000014</v>
      </c>
      <c r="D30" s="1">
        <f>'Verbruiks- en productieprofiel'!G41</f>
        <v>2.8968014484007241E-2</v>
      </c>
      <c r="E30" s="27">
        <f t="shared" si="8"/>
        <v>14.484007242003621</v>
      </c>
      <c r="F30" s="28">
        <f t="shared" si="9"/>
        <v>83.515992757996401</v>
      </c>
      <c r="G30" s="2">
        <f t="shared" ref="G30:G40" si="11">E30+F30</f>
        <v>98.000000000000028</v>
      </c>
      <c r="H30" s="2">
        <f t="shared" si="10"/>
        <v>0</v>
      </c>
    </row>
    <row r="31" spans="1:9" x14ac:dyDescent="0.25">
      <c r="A31" t="s">
        <v>2</v>
      </c>
      <c r="B31" s="1">
        <f>'Verbruiks- en productieprofiel'!D42</f>
        <v>0.11</v>
      </c>
      <c r="C31" s="22">
        <f t="shared" si="7"/>
        <v>77</v>
      </c>
      <c r="D31" s="1">
        <f>'Verbruiks- en productieprofiel'!G42</f>
        <v>7.6644538322269168E-2</v>
      </c>
      <c r="E31" s="27">
        <f t="shared" si="8"/>
        <v>38.322269161134585</v>
      </c>
      <c r="F31" s="28">
        <f t="shared" si="9"/>
        <v>38.677730838865415</v>
      </c>
      <c r="G31" s="2">
        <f t="shared" si="11"/>
        <v>77</v>
      </c>
      <c r="H31" s="2">
        <f t="shared" si="10"/>
        <v>0</v>
      </c>
    </row>
    <row r="32" spans="1:9" x14ac:dyDescent="0.25">
      <c r="A32" t="s">
        <v>3</v>
      </c>
      <c r="B32" s="1">
        <f>'Verbruiks- en productieprofiel'!D43</f>
        <v>0.05</v>
      </c>
      <c r="C32" s="22">
        <f t="shared" si="7"/>
        <v>35</v>
      </c>
      <c r="D32" s="1">
        <f>'Verbruiks- en productieprofiel'!G43</f>
        <v>0.12975256487628245</v>
      </c>
      <c r="E32" s="27">
        <f t="shared" si="8"/>
        <v>64.876282438141232</v>
      </c>
      <c r="F32" s="28">
        <f t="shared" si="9"/>
        <v>0</v>
      </c>
      <c r="G32" s="2">
        <f t="shared" si="11"/>
        <v>64.876282438141232</v>
      </c>
      <c r="H32" s="2">
        <f t="shared" si="10"/>
        <v>29.876282438141232</v>
      </c>
    </row>
    <row r="33" spans="1:8" x14ac:dyDescent="0.25">
      <c r="A33" t="s">
        <v>4</v>
      </c>
      <c r="B33" s="1">
        <f>'Verbruiks- en productieprofiel'!D44</f>
        <v>7.0000000000000007E-2</v>
      </c>
      <c r="C33" s="22">
        <f t="shared" si="7"/>
        <v>49.000000000000007</v>
      </c>
      <c r="D33" s="1">
        <f>'Verbruiks- en productieprofiel'!G44</f>
        <v>0.14001207000603499</v>
      </c>
      <c r="E33" s="27">
        <f t="shared" si="8"/>
        <v>70.006035003017502</v>
      </c>
      <c r="F33" s="28">
        <f t="shared" si="9"/>
        <v>0</v>
      </c>
      <c r="G33" s="2">
        <f t="shared" si="11"/>
        <v>70.006035003017502</v>
      </c>
      <c r="H33" s="2">
        <f t="shared" si="10"/>
        <v>21.006035003017494</v>
      </c>
    </row>
    <row r="34" spans="1:8" x14ac:dyDescent="0.25">
      <c r="A34" t="s">
        <v>5</v>
      </c>
      <c r="B34" s="1">
        <f>'Verbruiks- en productieprofiel'!D45</f>
        <v>7.0000000000000007E-2</v>
      </c>
      <c r="C34" s="22">
        <f t="shared" si="7"/>
        <v>49.000000000000007</v>
      </c>
      <c r="D34" s="1">
        <f>'Verbruiks- en productieprofiel'!G45</f>
        <v>0.13699456849728425</v>
      </c>
      <c r="E34" s="27">
        <f t="shared" si="8"/>
        <v>68.497284248642131</v>
      </c>
      <c r="F34" s="28">
        <f t="shared" si="9"/>
        <v>0</v>
      </c>
      <c r="G34" s="2">
        <f t="shared" si="11"/>
        <v>68.497284248642131</v>
      </c>
      <c r="H34" s="2">
        <f t="shared" si="10"/>
        <v>19.497284248642124</v>
      </c>
    </row>
    <row r="35" spans="1:8" x14ac:dyDescent="0.25">
      <c r="A35" t="s">
        <v>6</v>
      </c>
      <c r="B35" s="1">
        <f>'Verbruiks- en productieprofiel'!D46</f>
        <v>0.01</v>
      </c>
      <c r="C35" s="22">
        <f t="shared" si="7"/>
        <v>7</v>
      </c>
      <c r="D35" s="1">
        <f>'Verbruiks- en productieprofiel'!G46</f>
        <v>0.14001207000603499</v>
      </c>
      <c r="E35" s="27">
        <f t="shared" si="8"/>
        <v>70.006035003017502</v>
      </c>
      <c r="F35" s="28">
        <f t="shared" si="9"/>
        <v>0</v>
      </c>
      <c r="G35" s="2">
        <f t="shared" si="11"/>
        <v>70.006035003017502</v>
      </c>
      <c r="H35" s="2">
        <f t="shared" si="10"/>
        <v>63.006035003017502</v>
      </c>
    </row>
    <row r="36" spans="1:8" x14ac:dyDescent="0.25">
      <c r="A36" t="s">
        <v>7</v>
      </c>
      <c r="B36" s="1">
        <f>'Verbruiks- en productieprofiel'!D47</f>
        <v>0.02</v>
      </c>
      <c r="C36" s="22">
        <f t="shared" si="7"/>
        <v>14</v>
      </c>
      <c r="D36" s="1">
        <f>'Verbruiks- en productieprofiel'!G47</f>
        <v>0.13699456849728425</v>
      </c>
      <c r="E36" s="27">
        <f t="shared" si="8"/>
        <v>68.497284248642131</v>
      </c>
      <c r="F36" s="28">
        <f t="shared" si="9"/>
        <v>0</v>
      </c>
      <c r="G36" s="2">
        <f t="shared" si="11"/>
        <v>68.497284248642131</v>
      </c>
      <c r="H36" s="2">
        <f t="shared" si="10"/>
        <v>54.497284248642131</v>
      </c>
    </row>
    <row r="37" spans="1:8" x14ac:dyDescent="0.25">
      <c r="A37" t="s">
        <v>8</v>
      </c>
      <c r="B37" s="1">
        <f>'Verbruiks- en productieprofiel'!D48</f>
        <v>0.03</v>
      </c>
      <c r="C37" s="22">
        <f t="shared" si="7"/>
        <v>21</v>
      </c>
      <c r="D37" s="1">
        <f>'Verbruiks- en productieprofiel'!G48</f>
        <v>9.6560048280024138E-2</v>
      </c>
      <c r="E37" s="27">
        <f t="shared" si="8"/>
        <v>48.280024140012067</v>
      </c>
      <c r="F37" s="28">
        <f t="shared" si="9"/>
        <v>0</v>
      </c>
      <c r="G37" s="2">
        <f t="shared" si="11"/>
        <v>48.280024140012067</v>
      </c>
      <c r="H37" s="2">
        <f t="shared" si="10"/>
        <v>27.280024140012067</v>
      </c>
    </row>
    <row r="38" spans="1:8" x14ac:dyDescent="0.25">
      <c r="A38" t="s">
        <v>9</v>
      </c>
      <c r="B38" s="1">
        <f>'Verbruiks- en productieprofiel'!D49</f>
        <v>0.09</v>
      </c>
      <c r="C38" s="22">
        <f t="shared" si="7"/>
        <v>63</v>
      </c>
      <c r="D38" s="1">
        <f>'Verbruiks- en productieprofiel'!G49</f>
        <v>6.6385033192516596E-2</v>
      </c>
      <c r="E38" s="27">
        <f t="shared" si="8"/>
        <v>33.192516596258301</v>
      </c>
      <c r="F38" s="28">
        <f t="shared" si="9"/>
        <v>29.807483403741699</v>
      </c>
      <c r="G38" s="2">
        <f t="shared" si="11"/>
        <v>63</v>
      </c>
      <c r="H38" s="2">
        <f t="shared" si="10"/>
        <v>0</v>
      </c>
    </row>
    <row r="39" spans="1:8" x14ac:dyDescent="0.25">
      <c r="A39" t="s">
        <v>10</v>
      </c>
      <c r="B39" s="1">
        <f>'Verbruiks- en productieprofiel'!D50</f>
        <v>0.14000000000000001</v>
      </c>
      <c r="C39" s="22">
        <f t="shared" si="7"/>
        <v>98.000000000000014</v>
      </c>
      <c r="D39" s="1">
        <f>'Verbruiks- en productieprofiel'!G50</f>
        <v>1.9312009656004828E-2</v>
      </c>
      <c r="E39" s="27">
        <f t="shared" si="8"/>
        <v>9.6560048280024144</v>
      </c>
      <c r="F39" s="28">
        <f t="shared" si="9"/>
        <v>88.343995171997605</v>
      </c>
      <c r="G39" s="2">
        <f t="shared" si="11"/>
        <v>98.000000000000014</v>
      </c>
      <c r="H39" s="2">
        <f t="shared" si="10"/>
        <v>0</v>
      </c>
    </row>
    <row r="40" spans="1:8" x14ac:dyDescent="0.25">
      <c r="A40" t="s">
        <v>11</v>
      </c>
      <c r="B40" s="1">
        <f>'Verbruiks- en productieprofiel'!D51</f>
        <v>0.13</v>
      </c>
      <c r="C40" s="22">
        <f t="shared" si="7"/>
        <v>91</v>
      </c>
      <c r="D40" s="1">
        <f>'Verbruiks- en productieprofiel'!G51</f>
        <v>6.0350030175015086E-3</v>
      </c>
      <c r="E40" s="27">
        <f t="shared" si="8"/>
        <v>3.0175015087507542</v>
      </c>
      <c r="F40" s="28">
        <f t="shared" si="9"/>
        <v>87.982498491249245</v>
      </c>
      <c r="G40" s="2">
        <f t="shared" si="11"/>
        <v>91</v>
      </c>
      <c r="H40" s="2">
        <f t="shared" si="10"/>
        <v>0</v>
      </c>
    </row>
    <row r="41" spans="1:8" x14ac:dyDescent="0.25">
      <c r="C41" s="23"/>
      <c r="E41" s="29"/>
      <c r="F41" s="30"/>
    </row>
    <row r="42" spans="1:8" ht="15.75" thickBot="1" x14ac:dyDescent="0.3">
      <c r="B42" s="1">
        <f t="shared" ref="B42:H42" si="12">SUM(B29:B40)</f>
        <v>1</v>
      </c>
      <c r="C42" s="24">
        <f t="shared" si="12"/>
        <v>700</v>
      </c>
      <c r="D42" s="1">
        <f t="shared" si="12"/>
        <v>1.0000000000000002</v>
      </c>
      <c r="E42" s="31">
        <f t="shared" si="12"/>
        <v>500.00000000000006</v>
      </c>
      <c r="F42" s="32">
        <f t="shared" si="12"/>
        <v>415.16294508147263</v>
      </c>
      <c r="G42" s="2">
        <f t="shared" si="12"/>
        <v>915.16294508147257</v>
      </c>
      <c r="H42" s="2">
        <f t="shared" si="12"/>
        <v>215.16294508147257</v>
      </c>
    </row>
    <row r="45" spans="1:8" x14ac:dyDescent="0.25">
      <c r="A45" s="3" t="s">
        <v>51</v>
      </c>
    </row>
    <row r="47" spans="1:8" x14ac:dyDescent="0.25">
      <c r="A47" t="s">
        <v>52</v>
      </c>
      <c r="C47" s="2">
        <f>I24</f>
        <v>178.18429447374768</v>
      </c>
      <c r="D47" t="s">
        <v>16</v>
      </c>
      <c r="E47" s="2">
        <f>C47*0.06</f>
        <v>10.691057668424861</v>
      </c>
      <c r="F47" t="s">
        <v>66</v>
      </c>
    </row>
    <row r="48" spans="1:8" x14ac:dyDescent="0.25">
      <c r="A48" t="s">
        <v>55</v>
      </c>
      <c r="C48" s="2">
        <f>H42</f>
        <v>215.16294508147257</v>
      </c>
      <c r="D48" t="s">
        <v>16</v>
      </c>
    </row>
    <row r="49" spans="1:6" x14ac:dyDescent="0.25">
      <c r="A49" t="s">
        <v>65</v>
      </c>
      <c r="C49" s="36">
        <f>H24</f>
        <v>15.128871703379602</v>
      </c>
      <c r="D49" s="34" t="s">
        <v>16</v>
      </c>
      <c r="E49" s="37" t="s">
        <v>67</v>
      </c>
    </row>
    <row r="50" spans="1:6" x14ac:dyDescent="0.25">
      <c r="A50" t="s">
        <v>56</v>
      </c>
      <c r="C50" s="2">
        <f>F42/L4</f>
        <v>691.9382418024544</v>
      </c>
      <c r="D50" t="s">
        <v>16</v>
      </c>
    </row>
    <row r="51" spans="1:6" x14ac:dyDescent="0.25">
      <c r="A51" t="s">
        <v>56</v>
      </c>
      <c r="C51" s="36">
        <f>C50*0.2</f>
        <v>138.38764836049089</v>
      </c>
      <c r="D51" s="36" t="s">
        <v>54</v>
      </c>
      <c r="E51" s="2">
        <f>-0.3*C51</f>
        <v>-41.516294508147261</v>
      </c>
      <c r="F51" t="s">
        <v>66</v>
      </c>
    </row>
    <row r="53" spans="1:6" x14ac:dyDescent="0.25">
      <c r="A53" s="3"/>
    </row>
    <row r="66" spans="1:1" x14ac:dyDescent="0.25">
      <c r="A66" s="3"/>
    </row>
    <row r="75" spans="1:1" x14ac:dyDescent="0.25">
      <c r="A75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C1" workbookViewId="0">
      <selection activeCell="F12" sqref="F12"/>
    </sheetView>
  </sheetViews>
  <sheetFormatPr defaultRowHeight="15" x14ac:dyDescent="0.25"/>
  <cols>
    <col min="1" max="1" width="16.85546875" customWidth="1"/>
    <col min="2" max="2" width="19.140625" bestFit="1" customWidth="1"/>
    <col min="3" max="3" width="14.7109375" bestFit="1" customWidth="1"/>
    <col min="4" max="4" width="17.7109375" bestFit="1" customWidth="1"/>
    <col min="5" max="5" width="19.42578125" customWidth="1"/>
    <col min="6" max="6" width="17" bestFit="1" customWidth="1"/>
    <col min="7" max="7" width="14.28515625" bestFit="1" customWidth="1"/>
    <col min="8" max="8" width="12.28515625" customWidth="1"/>
    <col min="11" max="12" width="17.42578125" bestFit="1" customWidth="1"/>
  </cols>
  <sheetData>
    <row r="1" spans="1:12" x14ac:dyDescent="0.25">
      <c r="A1" s="3" t="s">
        <v>57</v>
      </c>
    </row>
    <row r="2" spans="1:12" x14ac:dyDescent="0.25">
      <c r="D2" s="6" t="s">
        <v>39</v>
      </c>
      <c r="E2" s="15"/>
      <c r="F2" s="15"/>
      <c r="G2" s="15"/>
      <c r="H2" s="16"/>
      <c r="I2" s="7"/>
      <c r="K2" s="6" t="s">
        <v>58</v>
      </c>
      <c r="L2" s="7"/>
    </row>
    <row r="3" spans="1:12" x14ac:dyDescent="0.25">
      <c r="A3" s="12" t="s">
        <v>49</v>
      </c>
      <c r="B3" s="7">
        <v>1800</v>
      </c>
      <c r="D3" s="8" t="s">
        <v>33</v>
      </c>
      <c r="E3" s="17"/>
      <c r="F3" s="14">
        <v>1</v>
      </c>
      <c r="G3" s="17" t="s">
        <v>31</v>
      </c>
      <c r="H3" s="14">
        <f>500*F3</f>
        <v>500</v>
      </c>
      <c r="I3" s="18" t="s">
        <v>16</v>
      </c>
      <c r="K3" s="10" t="s">
        <v>38</v>
      </c>
      <c r="L3" s="11">
        <v>0.8</v>
      </c>
    </row>
    <row r="4" spans="1:12" x14ac:dyDescent="0.25">
      <c r="A4" s="10" t="s">
        <v>50</v>
      </c>
      <c r="B4" s="13">
        <v>700</v>
      </c>
      <c r="D4" s="8" t="s">
        <v>34</v>
      </c>
      <c r="E4" s="17"/>
      <c r="F4" s="14">
        <v>8</v>
      </c>
      <c r="G4" s="17" t="s">
        <v>31</v>
      </c>
      <c r="H4" s="14">
        <f>F4*200*0.9</f>
        <v>1440</v>
      </c>
      <c r="I4" s="18" t="s">
        <v>16</v>
      </c>
    </row>
    <row r="5" spans="1:12" x14ac:dyDescent="0.25">
      <c r="D5" s="10" t="s">
        <v>35</v>
      </c>
      <c r="E5" s="19"/>
      <c r="F5" s="19">
        <f>SUM(F3:F4)</f>
        <v>9</v>
      </c>
      <c r="G5" s="19" t="s">
        <v>31</v>
      </c>
      <c r="H5" s="19"/>
      <c r="I5" s="13"/>
      <c r="K5" s="6" t="s">
        <v>62</v>
      </c>
      <c r="L5" s="7"/>
    </row>
    <row r="6" spans="1:12" x14ac:dyDescent="0.25">
      <c r="D6" s="17"/>
      <c r="E6" s="17"/>
      <c r="F6" s="17"/>
      <c r="G6" s="17"/>
      <c r="H6" s="17"/>
      <c r="I6" s="17"/>
      <c r="K6" s="10" t="s">
        <v>63</v>
      </c>
      <c r="L6" s="11">
        <v>0.25</v>
      </c>
    </row>
    <row r="8" spans="1:12" x14ac:dyDescent="0.25">
      <c r="A8" s="3" t="s">
        <v>27</v>
      </c>
    </row>
    <row r="9" spans="1:12" ht="15.75" thickBot="1" x14ac:dyDescent="0.3">
      <c r="E9" s="20" t="s">
        <v>26</v>
      </c>
      <c r="F9" s="17"/>
    </row>
    <row r="10" spans="1:12" x14ac:dyDescent="0.25">
      <c r="B10" t="s">
        <v>29</v>
      </c>
      <c r="C10" s="21" t="s">
        <v>17</v>
      </c>
      <c r="D10" t="s">
        <v>40</v>
      </c>
      <c r="E10" s="21" t="s">
        <v>41</v>
      </c>
      <c r="F10" s="17"/>
      <c r="G10" t="s">
        <v>44</v>
      </c>
      <c r="H10" t="s">
        <v>45</v>
      </c>
    </row>
    <row r="11" spans="1:12" x14ac:dyDescent="0.25">
      <c r="A11" t="s">
        <v>0</v>
      </c>
      <c r="B11" s="1">
        <f>'Verbruiks- en productieprofiel'!I2</f>
        <v>0.12</v>
      </c>
      <c r="C11" s="22">
        <f t="shared" ref="C11:C22" si="0">B11*$B$3</f>
        <v>216</v>
      </c>
      <c r="D11" s="1">
        <f>'Verbruiks- en productieprofiel'!C2</f>
        <v>2.2329511164755584E-2</v>
      </c>
      <c r="E11" s="22">
        <f>D11*$H$4</f>
        <v>32.154496077248041</v>
      </c>
      <c r="F11" s="33"/>
      <c r="G11" s="2">
        <f>IF(C11-E11&gt;0,C11-E11,0)</f>
        <v>183.84550392275196</v>
      </c>
      <c r="H11" s="2">
        <f>IF(E11-C11&gt;0,E11-C11,0)</f>
        <v>0</v>
      </c>
    </row>
    <row r="12" spans="1:12" x14ac:dyDescent="0.25">
      <c r="A12" t="s">
        <v>1</v>
      </c>
      <c r="B12" s="1">
        <f>'Verbruiks- en productieprofiel'!I3</f>
        <v>0.11504787500000001</v>
      </c>
      <c r="C12" s="22">
        <f t="shared" si="0"/>
        <v>207.08617500000003</v>
      </c>
      <c r="D12" s="1">
        <f>'Verbruiks- en productieprofiel'!C3</f>
        <v>2.8968014484007241E-2</v>
      </c>
      <c r="E12" s="22">
        <f t="shared" ref="E12:E22" si="1">D12*$H$4</f>
        <v>41.713940856970424</v>
      </c>
      <c r="F12" s="33"/>
      <c r="G12" s="2">
        <f t="shared" ref="G12:G22" si="2">IF(C12-E12&gt;0,C12-E12,0)</f>
        <v>165.3722341430296</v>
      </c>
      <c r="H12" s="2">
        <f t="shared" ref="H12:H22" si="3">IF(E12-C12&gt;0,E12-C12,0)</f>
        <v>0</v>
      </c>
    </row>
    <row r="13" spans="1:12" x14ac:dyDescent="0.25">
      <c r="A13" t="s">
        <v>2</v>
      </c>
      <c r="B13" s="1">
        <f>'Verbruiks- en productieprofiel'!I4</f>
        <v>0.11268</v>
      </c>
      <c r="C13" s="22">
        <f t="shared" si="0"/>
        <v>202.82400000000001</v>
      </c>
      <c r="D13" s="1">
        <f>'Verbruiks- en productieprofiel'!C4</f>
        <v>7.6644538322269168E-2</v>
      </c>
      <c r="E13" s="22">
        <f t="shared" si="1"/>
        <v>110.3681351840676</v>
      </c>
      <c r="F13" s="33"/>
      <c r="G13" s="2">
        <f t="shared" si="2"/>
        <v>92.455864815932415</v>
      </c>
      <c r="H13" s="2">
        <f t="shared" si="3"/>
        <v>0</v>
      </c>
    </row>
    <row r="14" spans="1:12" x14ac:dyDescent="0.25">
      <c r="A14" t="s">
        <v>3</v>
      </c>
      <c r="B14" s="1">
        <f>'Verbruiks- en productieprofiel'!I5</f>
        <v>7.0000000000000007E-2</v>
      </c>
      <c r="C14" s="22">
        <f t="shared" si="0"/>
        <v>126.00000000000001</v>
      </c>
      <c r="D14" s="1">
        <f>'Verbruiks- en productieprofiel'!C5</f>
        <v>0.12975256487628245</v>
      </c>
      <c r="E14" s="22">
        <f t="shared" si="1"/>
        <v>186.84369342184672</v>
      </c>
      <c r="F14" s="33"/>
      <c r="G14" s="2">
        <f t="shared" si="2"/>
        <v>0</v>
      </c>
      <c r="H14" s="2">
        <f t="shared" si="3"/>
        <v>60.843693421846709</v>
      </c>
    </row>
    <row r="15" spans="1:12" x14ac:dyDescent="0.25">
      <c r="A15" t="s">
        <v>4</v>
      </c>
      <c r="B15" s="1">
        <f>'Verbruiks- en productieprofiel'!I6</f>
        <v>9.3045000000000003E-2</v>
      </c>
      <c r="C15" s="22">
        <f t="shared" si="0"/>
        <v>167.48099999999999</v>
      </c>
      <c r="D15" s="1">
        <f>'Verbruiks- en productieprofiel'!C6</f>
        <v>0.14001207000603499</v>
      </c>
      <c r="E15" s="22">
        <f t="shared" si="1"/>
        <v>201.6173808086904</v>
      </c>
      <c r="F15" s="33"/>
      <c r="G15" s="2">
        <f t="shared" si="2"/>
        <v>0</v>
      </c>
      <c r="H15" s="2">
        <f t="shared" si="3"/>
        <v>34.136380808690404</v>
      </c>
    </row>
    <row r="16" spans="1:12" x14ac:dyDescent="0.25">
      <c r="A16" t="s">
        <v>5</v>
      </c>
      <c r="B16" s="1">
        <f>'Verbruiks- en productieprofiel'!I7</f>
        <v>9.1968170000000002E-2</v>
      </c>
      <c r="C16" s="22">
        <f t="shared" si="0"/>
        <v>165.54270600000001</v>
      </c>
      <c r="D16" s="1">
        <f>'Verbruiks- en productieprofiel'!C7</f>
        <v>0.13699456849728425</v>
      </c>
      <c r="E16" s="22">
        <f t="shared" si="1"/>
        <v>197.27217863608934</v>
      </c>
      <c r="F16" s="33"/>
      <c r="G16" s="2">
        <f t="shared" si="2"/>
        <v>0</v>
      </c>
      <c r="H16" s="2">
        <f t="shared" si="3"/>
        <v>31.729472636089326</v>
      </c>
    </row>
    <row r="17" spans="1:8" x14ac:dyDescent="0.25">
      <c r="A17" t="s">
        <v>6</v>
      </c>
      <c r="B17" s="1">
        <f>'Verbruiks- en productieprofiel'!I8</f>
        <v>0.02</v>
      </c>
      <c r="C17" s="22">
        <f t="shared" si="0"/>
        <v>36</v>
      </c>
      <c r="D17" s="1">
        <f>'Verbruiks- en productieprofiel'!C8</f>
        <v>0.14001207000603499</v>
      </c>
      <c r="E17" s="22">
        <f t="shared" si="1"/>
        <v>201.6173808086904</v>
      </c>
      <c r="F17" s="33"/>
      <c r="G17" s="2">
        <f t="shared" si="2"/>
        <v>0</v>
      </c>
      <c r="H17" s="2">
        <f t="shared" si="3"/>
        <v>165.6173808086904</v>
      </c>
    </row>
    <row r="18" spans="1:8" x14ac:dyDescent="0.25">
      <c r="A18" t="s">
        <v>7</v>
      </c>
      <c r="B18" s="1">
        <f>'Verbruiks- en productieprofiel'!I9</f>
        <v>0.03</v>
      </c>
      <c r="C18" s="22">
        <f t="shared" si="0"/>
        <v>54</v>
      </c>
      <c r="D18" s="1">
        <f>'Verbruiks- en productieprofiel'!C9</f>
        <v>0.13699456849728425</v>
      </c>
      <c r="E18" s="22">
        <f t="shared" si="1"/>
        <v>197.27217863608934</v>
      </c>
      <c r="F18" s="33"/>
      <c r="G18" s="2">
        <f t="shared" si="2"/>
        <v>0</v>
      </c>
      <c r="H18" s="2">
        <f t="shared" si="3"/>
        <v>143.27217863608934</v>
      </c>
    </row>
    <row r="19" spans="1:8" x14ac:dyDescent="0.25">
      <c r="A19" t="s">
        <v>8</v>
      </c>
      <c r="B19" s="1">
        <f>'Verbruiks- en productieprofiel'!I10</f>
        <v>0.05</v>
      </c>
      <c r="C19" s="22">
        <f t="shared" si="0"/>
        <v>90</v>
      </c>
      <c r="D19" s="1">
        <f>'Verbruiks- en productieprofiel'!C10</f>
        <v>9.6560048280024138E-2</v>
      </c>
      <c r="E19" s="22">
        <f t="shared" si="1"/>
        <v>139.04646952323475</v>
      </c>
      <c r="F19" s="33"/>
      <c r="G19" s="2">
        <f t="shared" si="2"/>
        <v>0</v>
      </c>
      <c r="H19" s="2">
        <f t="shared" si="3"/>
        <v>49.046469523234748</v>
      </c>
    </row>
    <row r="20" spans="1:8" x14ac:dyDescent="0.25">
      <c r="A20" t="s">
        <v>9</v>
      </c>
      <c r="B20" s="1">
        <f>'Verbruiks- en productieprofiel'!I11</f>
        <v>0.1040175</v>
      </c>
      <c r="C20" s="22">
        <f t="shared" si="0"/>
        <v>187.23150000000001</v>
      </c>
      <c r="D20" s="1">
        <f>'Verbruiks- en productieprofiel'!C11</f>
        <v>6.6385033192516596E-2</v>
      </c>
      <c r="E20" s="22">
        <f t="shared" si="1"/>
        <v>95.594447797223893</v>
      </c>
      <c r="F20" s="33"/>
      <c r="G20" s="2">
        <f t="shared" si="2"/>
        <v>91.637052202776118</v>
      </c>
      <c r="H20" s="2">
        <f t="shared" si="3"/>
        <v>0</v>
      </c>
    </row>
    <row r="21" spans="1:8" x14ac:dyDescent="0.25">
      <c r="A21" t="s">
        <v>10</v>
      </c>
      <c r="B21" s="1">
        <f>'Verbruiks- en productieprofiel'!I12</f>
        <v>0.1156925</v>
      </c>
      <c r="C21" s="22">
        <f t="shared" si="0"/>
        <v>208.2465</v>
      </c>
      <c r="D21" s="1">
        <f>'Verbruiks- en productieprofiel'!C12</f>
        <v>1.9312009656004828E-2</v>
      </c>
      <c r="E21" s="22">
        <f t="shared" si="1"/>
        <v>27.809293904646953</v>
      </c>
      <c r="F21" s="33"/>
      <c r="G21" s="2">
        <f t="shared" si="2"/>
        <v>180.43720609535305</v>
      </c>
      <c r="H21" s="2">
        <f t="shared" si="3"/>
        <v>0</v>
      </c>
    </row>
    <row r="22" spans="1:8" x14ac:dyDescent="0.25">
      <c r="A22" t="s">
        <v>11</v>
      </c>
      <c r="B22" s="1">
        <f>'Verbruiks- en productieprofiel'!I13</f>
        <v>0.08</v>
      </c>
      <c r="C22" s="22">
        <f t="shared" si="0"/>
        <v>144</v>
      </c>
      <c r="D22" s="1">
        <f>'Verbruiks- en productieprofiel'!C13</f>
        <v>6.0350030175015086E-3</v>
      </c>
      <c r="E22" s="22">
        <f t="shared" si="1"/>
        <v>8.6904043452021718</v>
      </c>
      <c r="F22" s="33"/>
      <c r="G22" s="2">
        <f t="shared" si="2"/>
        <v>135.30959565479782</v>
      </c>
      <c r="H22" s="2">
        <f t="shared" si="3"/>
        <v>0</v>
      </c>
    </row>
    <row r="23" spans="1:8" x14ac:dyDescent="0.25">
      <c r="C23" s="23"/>
      <c r="E23" s="23"/>
      <c r="F23" s="17"/>
      <c r="G23" s="2"/>
      <c r="H23" s="2"/>
    </row>
    <row r="24" spans="1:8" ht="15.75" thickBot="1" x14ac:dyDescent="0.3">
      <c r="B24" s="1">
        <v>1.0036090090000003</v>
      </c>
      <c r="C24" s="24">
        <f t="shared" ref="C24:E24" si="4">SUM(C11:C22)</f>
        <v>1804.411881</v>
      </c>
      <c r="D24" s="1">
        <f t="shared" si="4"/>
        <v>1.0000000000000002</v>
      </c>
      <c r="E24" s="24">
        <f t="shared" si="4"/>
        <v>1439.9999999999998</v>
      </c>
      <c r="F24" s="33"/>
      <c r="G24" s="2">
        <f>SUM(G11:G22)</f>
        <v>849.0574568346409</v>
      </c>
      <c r="H24" s="2">
        <f>SUM(H11:H22)</f>
        <v>484.64557583464091</v>
      </c>
    </row>
    <row r="26" spans="1:8" x14ac:dyDescent="0.25">
      <c r="A26" s="3" t="s">
        <v>28</v>
      </c>
    </row>
    <row r="27" spans="1:8" ht="15.75" thickBot="1" x14ac:dyDescent="0.3">
      <c r="E27" s="5" t="s">
        <v>26</v>
      </c>
    </row>
    <row r="28" spans="1:8" x14ac:dyDescent="0.25">
      <c r="B28" t="s">
        <v>29</v>
      </c>
      <c r="C28" s="21" t="s">
        <v>17</v>
      </c>
      <c r="D28" t="s">
        <v>46</v>
      </c>
      <c r="E28" s="25" t="s">
        <v>47</v>
      </c>
      <c r="F28" s="26" t="s">
        <v>59</v>
      </c>
      <c r="G28" t="s">
        <v>43</v>
      </c>
      <c r="H28" t="s">
        <v>48</v>
      </c>
    </row>
    <row r="29" spans="1:8" x14ac:dyDescent="0.25">
      <c r="A29" t="s">
        <v>0</v>
      </c>
      <c r="B29" s="1">
        <f>'Verbruiks- en productieprofiel'!D40</f>
        <v>0.14000000000000001</v>
      </c>
      <c r="C29" s="22">
        <f t="shared" ref="C29:C40" si="5">B29*$B$4</f>
        <v>98.000000000000014</v>
      </c>
      <c r="D29" s="1">
        <f>'Verbruiks- en productieprofiel'!G40</f>
        <v>2.2329511164755584E-2</v>
      </c>
      <c r="E29" s="27">
        <f t="shared" ref="E29:E40" si="6">D29*500*$F$3</f>
        <v>11.164755582377792</v>
      </c>
      <c r="F29" s="28">
        <f t="shared" ref="F29:F40" si="7">IF(C29-E29&gt;0,C29-E29,0)</f>
        <v>86.835244417622221</v>
      </c>
      <c r="G29" s="2">
        <f>E29+F29</f>
        <v>98.000000000000014</v>
      </c>
      <c r="H29" s="2">
        <f t="shared" ref="H29:H40" si="8">IF(E29-C29&gt;0,E29-C29,0)</f>
        <v>0</v>
      </c>
    </row>
    <row r="30" spans="1:8" x14ac:dyDescent="0.25">
      <c r="A30" t="s">
        <v>1</v>
      </c>
      <c r="B30" s="1">
        <f>'Verbruiks- en productieprofiel'!D41</f>
        <v>0.14000000000000001</v>
      </c>
      <c r="C30" s="22">
        <f t="shared" si="5"/>
        <v>98.000000000000014</v>
      </c>
      <c r="D30" s="1">
        <f>'Verbruiks- en productieprofiel'!G41</f>
        <v>2.8968014484007241E-2</v>
      </c>
      <c r="E30" s="27">
        <f t="shared" si="6"/>
        <v>14.484007242003621</v>
      </c>
      <c r="F30" s="28">
        <f t="shared" si="7"/>
        <v>83.515992757996401</v>
      </c>
      <c r="G30" s="2">
        <f t="shared" ref="G30:G40" si="9">E30+F30</f>
        <v>98.000000000000028</v>
      </c>
      <c r="H30" s="2">
        <f t="shared" si="8"/>
        <v>0</v>
      </c>
    </row>
    <row r="31" spans="1:8" x14ac:dyDescent="0.25">
      <c r="A31" t="s">
        <v>2</v>
      </c>
      <c r="B31" s="1">
        <f>'Verbruiks- en productieprofiel'!D42</f>
        <v>0.11</v>
      </c>
      <c r="C31" s="22">
        <f t="shared" si="5"/>
        <v>77</v>
      </c>
      <c r="D31" s="1">
        <f>'Verbruiks- en productieprofiel'!G42</f>
        <v>7.6644538322269168E-2</v>
      </c>
      <c r="E31" s="27">
        <f t="shared" si="6"/>
        <v>38.322269161134585</v>
      </c>
      <c r="F31" s="28">
        <f t="shared" si="7"/>
        <v>38.677730838865415</v>
      </c>
      <c r="G31" s="2">
        <f t="shared" si="9"/>
        <v>77</v>
      </c>
      <c r="H31" s="2">
        <f t="shared" si="8"/>
        <v>0</v>
      </c>
    </row>
    <row r="32" spans="1:8" x14ac:dyDescent="0.25">
      <c r="A32" t="s">
        <v>3</v>
      </c>
      <c r="B32" s="1">
        <f>'Verbruiks- en productieprofiel'!D43</f>
        <v>0.05</v>
      </c>
      <c r="C32" s="22">
        <f t="shared" si="5"/>
        <v>35</v>
      </c>
      <c r="D32" s="1">
        <f>'Verbruiks- en productieprofiel'!G43</f>
        <v>0.12975256487628245</v>
      </c>
      <c r="E32" s="27">
        <f t="shared" si="6"/>
        <v>64.876282438141232</v>
      </c>
      <c r="F32" s="28">
        <f t="shared" si="7"/>
        <v>0</v>
      </c>
      <c r="G32" s="2">
        <f t="shared" si="9"/>
        <v>64.876282438141232</v>
      </c>
      <c r="H32" s="2">
        <f t="shared" si="8"/>
        <v>29.876282438141232</v>
      </c>
    </row>
    <row r="33" spans="1:8" x14ac:dyDescent="0.25">
      <c r="A33" t="s">
        <v>4</v>
      </c>
      <c r="B33" s="1">
        <f>'Verbruiks- en productieprofiel'!D44</f>
        <v>7.0000000000000007E-2</v>
      </c>
      <c r="C33" s="22">
        <f t="shared" si="5"/>
        <v>49.000000000000007</v>
      </c>
      <c r="D33" s="1">
        <f>'Verbruiks- en productieprofiel'!G44</f>
        <v>0.14001207000603499</v>
      </c>
      <c r="E33" s="27">
        <f t="shared" si="6"/>
        <v>70.006035003017502</v>
      </c>
      <c r="F33" s="28">
        <f t="shared" si="7"/>
        <v>0</v>
      </c>
      <c r="G33" s="2">
        <f t="shared" si="9"/>
        <v>70.006035003017502</v>
      </c>
      <c r="H33" s="2">
        <f t="shared" si="8"/>
        <v>21.006035003017494</v>
      </c>
    </row>
    <row r="34" spans="1:8" x14ac:dyDescent="0.25">
      <c r="A34" t="s">
        <v>5</v>
      </c>
      <c r="B34" s="1">
        <f>'Verbruiks- en productieprofiel'!D45</f>
        <v>7.0000000000000007E-2</v>
      </c>
      <c r="C34" s="22">
        <f t="shared" si="5"/>
        <v>49.000000000000007</v>
      </c>
      <c r="D34" s="1">
        <f>'Verbruiks- en productieprofiel'!G45</f>
        <v>0.13699456849728425</v>
      </c>
      <c r="E34" s="27">
        <f t="shared" si="6"/>
        <v>68.497284248642131</v>
      </c>
      <c r="F34" s="28">
        <f t="shared" si="7"/>
        <v>0</v>
      </c>
      <c r="G34" s="2">
        <f t="shared" si="9"/>
        <v>68.497284248642131</v>
      </c>
      <c r="H34" s="2">
        <f t="shared" si="8"/>
        <v>19.497284248642124</v>
      </c>
    </row>
    <row r="35" spans="1:8" x14ac:dyDescent="0.25">
      <c r="A35" t="s">
        <v>6</v>
      </c>
      <c r="B35" s="1">
        <f>'Verbruiks- en productieprofiel'!D46</f>
        <v>0.01</v>
      </c>
      <c r="C35" s="22">
        <f t="shared" si="5"/>
        <v>7</v>
      </c>
      <c r="D35" s="1">
        <f>'Verbruiks- en productieprofiel'!G46</f>
        <v>0.14001207000603499</v>
      </c>
      <c r="E35" s="27">
        <f t="shared" si="6"/>
        <v>70.006035003017502</v>
      </c>
      <c r="F35" s="28">
        <f t="shared" si="7"/>
        <v>0</v>
      </c>
      <c r="G35" s="2">
        <f t="shared" si="9"/>
        <v>70.006035003017502</v>
      </c>
      <c r="H35" s="2">
        <f t="shared" si="8"/>
        <v>63.006035003017502</v>
      </c>
    </row>
    <row r="36" spans="1:8" x14ac:dyDescent="0.25">
      <c r="A36" t="s">
        <v>7</v>
      </c>
      <c r="B36" s="1">
        <f>'Verbruiks- en productieprofiel'!D47</f>
        <v>0.02</v>
      </c>
      <c r="C36" s="22">
        <f t="shared" si="5"/>
        <v>14</v>
      </c>
      <c r="D36" s="1">
        <f>'Verbruiks- en productieprofiel'!G47</f>
        <v>0.13699456849728425</v>
      </c>
      <c r="E36" s="27">
        <f t="shared" si="6"/>
        <v>68.497284248642131</v>
      </c>
      <c r="F36" s="28">
        <f t="shared" si="7"/>
        <v>0</v>
      </c>
      <c r="G36" s="2">
        <f t="shared" si="9"/>
        <v>68.497284248642131</v>
      </c>
      <c r="H36" s="2">
        <f t="shared" si="8"/>
        <v>54.497284248642131</v>
      </c>
    </row>
    <row r="37" spans="1:8" x14ac:dyDescent="0.25">
      <c r="A37" t="s">
        <v>8</v>
      </c>
      <c r="B37" s="1">
        <f>'Verbruiks- en productieprofiel'!D48</f>
        <v>0.03</v>
      </c>
      <c r="C37" s="22">
        <f t="shared" si="5"/>
        <v>21</v>
      </c>
      <c r="D37" s="1">
        <f>'Verbruiks- en productieprofiel'!G48</f>
        <v>9.6560048280024138E-2</v>
      </c>
      <c r="E37" s="27">
        <f t="shared" si="6"/>
        <v>48.280024140012067</v>
      </c>
      <c r="F37" s="28">
        <f t="shared" si="7"/>
        <v>0</v>
      </c>
      <c r="G37" s="2">
        <f t="shared" si="9"/>
        <v>48.280024140012067</v>
      </c>
      <c r="H37" s="2">
        <f t="shared" si="8"/>
        <v>27.280024140012067</v>
      </c>
    </row>
    <row r="38" spans="1:8" x14ac:dyDescent="0.25">
      <c r="A38" t="s">
        <v>9</v>
      </c>
      <c r="B38" s="1">
        <f>'Verbruiks- en productieprofiel'!D49</f>
        <v>0.09</v>
      </c>
      <c r="C38" s="22">
        <f t="shared" si="5"/>
        <v>63</v>
      </c>
      <c r="D38" s="1">
        <f>'Verbruiks- en productieprofiel'!G49</f>
        <v>6.6385033192516596E-2</v>
      </c>
      <c r="E38" s="27">
        <f t="shared" si="6"/>
        <v>33.192516596258301</v>
      </c>
      <c r="F38" s="28">
        <f t="shared" si="7"/>
        <v>29.807483403741699</v>
      </c>
      <c r="G38" s="2">
        <f t="shared" si="9"/>
        <v>63</v>
      </c>
      <c r="H38" s="2">
        <f t="shared" si="8"/>
        <v>0</v>
      </c>
    </row>
    <row r="39" spans="1:8" x14ac:dyDescent="0.25">
      <c r="A39" t="s">
        <v>10</v>
      </c>
      <c r="B39" s="1">
        <f>'Verbruiks- en productieprofiel'!D50</f>
        <v>0.14000000000000001</v>
      </c>
      <c r="C39" s="22">
        <f t="shared" si="5"/>
        <v>98.000000000000014</v>
      </c>
      <c r="D39" s="1">
        <f>'Verbruiks- en productieprofiel'!G50</f>
        <v>1.9312009656004828E-2</v>
      </c>
      <c r="E39" s="27">
        <f t="shared" si="6"/>
        <v>9.6560048280024144</v>
      </c>
      <c r="F39" s="28">
        <f t="shared" si="7"/>
        <v>88.343995171997605</v>
      </c>
      <c r="G39" s="2">
        <f t="shared" si="9"/>
        <v>98.000000000000014</v>
      </c>
      <c r="H39" s="2">
        <f t="shared" si="8"/>
        <v>0</v>
      </c>
    </row>
    <row r="40" spans="1:8" x14ac:dyDescent="0.25">
      <c r="A40" t="s">
        <v>11</v>
      </c>
      <c r="B40" s="1">
        <f>'Verbruiks- en productieprofiel'!D51</f>
        <v>0.13</v>
      </c>
      <c r="C40" s="22">
        <f t="shared" si="5"/>
        <v>91</v>
      </c>
      <c r="D40" s="1">
        <f>'Verbruiks- en productieprofiel'!G51</f>
        <v>6.0350030175015086E-3</v>
      </c>
      <c r="E40" s="27">
        <f t="shared" si="6"/>
        <v>3.0175015087507542</v>
      </c>
      <c r="F40" s="28">
        <f t="shared" si="7"/>
        <v>87.982498491249245</v>
      </c>
      <c r="G40" s="2">
        <f t="shared" si="9"/>
        <v>91</v>
      </c>
      <c r="H40" s="2">
        <f t="shared" si="8"/>
        <v>0</v>
      </c>
    </row>
    <row r="41" spans="1:8" x14ac:dyDescent="0.25">
      <c r="C41" s="23"/>
      <c r="E41" s="29"/>
      <c r="F41" s="30"/>
    </row>
    <row r="42" spans="1:8" ht="15.75" thickBot="1" x14ac:dyDescent="0.3">
      <c r="B42" s="1">
        <f t="shared" ref="B42:H42" si="10">SUM(B29:B40)</f>
        <v>1</v>
      </c>
      <c r="C42" s="24">
        <f t="shared" si="10"/>
        <v>700</v>
      </c>
      <c r="D42" s="1">
        <f t="shared" si="10"/>
        <v>1.0000000000000002</v>
      </c>
      <c r="E42" s="31">
        <f t="shared" si="10"/>
        <v>500.00000000000006</v>
      </c>
      <c r="F42" s="32">
        <f t="shared" si="10"/>
        <v>415.16294508147263</v>
      </c>
      <c r="G42" s="2">
        <f t="shared" si="10"/>
        <v>915.16294508147257</v>
      </c>
      <c r="H42" s="2">
        <f t="shared" si="10"/>
        <v>215.16294508147257</v>
      </c>
    </row>
    <row r="45" spans="1:8" x14ac:dyDescent="0.25">
      <c r="A45" s="3" t="s">
        <v>51</v>
      </c>
    </row>
    <row r="47" spans="1:8" x14ac:dyDescent="0.25">
      <c r="A47" t="s">
        <v>52</v>
      </c>
      <c r="C47" s="2">
        <f>H24</f>
        <v>484.64557583464091</v>
      </c>
      <c r="D47" t="s">
        <v>16</v>
      </c>
      <c r="E47" s="2">
        <f>C47*0.06</f>
        <v>29.078734550078455</v>
      </c>
      <c r="F47" t="s">
        <v>66</v>
      </c>
    </row>
    <row r="48" spans="1:8" x14ac:dyDescent="0.25">
      <c r="A48" t="s">
        <v>55</v>
      </c>
      <c r="C48" s="2">
        <f>H42</f>
        <v>215.16294508147257</v>
      </c>
      <c r="D48" t="s">
        <v>16</v>
      </c>
    </row>
    <row r="49" spans="1:6" x14ac:dyDescent="0.25">
      <c r="A49" t="s">
        <v>53</v>
      </c>
      <c r="C49" s="2">
        <f>G24</f>
        <v>849.0574568346409</v>
      </c>
      <c r="D49" t="s">
        <v>16</v>
      </c>
    </row>
    <row r="50" spans="1:6" x14ac:dyDescent="0.25">
      <c r="A50" t="s">
        <v>60</v>
      </c>
      <c r="C50" s="36">
        <f>C49/L6/10</f>
        <v>339.62298273385636</v>
      </c>
      <c r="D50" s="34" t="s">
        <v>61</v>
      </c>
      <c r="E50" s="2">
        <f>-C50</f>
        <v>-339.62298273385636</v>
      </c>
      <c r="F50" t="s">
        <v>66</v>
      </c>
    </row>
    <row r="51" spans="1:6" x14ac:dyDescent="0.25">
      <c r="A51" t="s">
        <v>64</v>
      </c>
      <c r="C51" s="2">
        <f>F42/L3</f>
        <v>518.95368135184071</v>
      </c>
      <c r="D51" t="s">
        <v>16</v>
      </c>
    </row>
    <row r="52" spans="1:6" x14ac:dyDescent="0.25">
      <c r="C52" s="36">
        <f>C51/4.8</f>
        <v>108.11535028163348</v>
      </c>
      <c r="D52" s="36" t="s">
        <v>54</v>
      </c>
    </row>
    <row r="53" spans="1:6" x14ac:dyDescent="0.25">
      <c r="C53" s="35">
        <f>C51/1800</f>
        <v>0.28830760075102263</v>
      </c>
      <c r="D53" t="s">
        <v>68</v>
      </c>
    </row>
    <row r="54" spans="1:6" x14ac:dyDescent="0.25">
      <c r="A54" s="3"/>
    </row>
    <row r="67" spans="1:1" x14ac:dyDescent="0.25">
      <c r="A67" s="3"/>
    </row>
    <row r="76" spans="1:1" x14ac:dyDescent="0.25">
      <c r="A76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10" workbookViewId="0">
      <selection activeCell="I10" sqref="I10"/>
    </sheetView>
  </sheetViews>
  <sheetFormatPr defaultRowHeight="15" x14ac:dyDescent="0.25"/>
  <cols>
    <col min="1" max="1" width="10.85546875" bestFit="1" customWidth="1"/>
    <col min="2" max="2" width="15.5703125" bestFit="1" customWidth="1"/>
    <col min="3" max="3" width="16" customWidth="1"/>
    <col min="4" max="4" width="12.7109375" bestFit="1" customWidth="1"/>
    <col min="5" max="6" width="12.7109375" customWidth="1"/>
    <col min="8" max="8" width="20.28515625" bestFit="1" customWidth="1"/>
    <col min="9" max="9" width="19.140625" bestFit="1" customWidth="1"/>
    <col min="12" max="12" width="19.85546875" bestFit="1" customWidth="1"/>
    <col min="13" max="13" width="10" bestFit="1" customWidth="1"/>
  </cols>
  <sheetData>
    <row r="1" spans="1:16" x14ac:dyDescent="0.25">
      <c r="B1" t="s">
        <v>12</v>
      </c>
      <c r="C1" t="s">
        <v>19</v>
      </c>
      <c r="D1" t="s">
        <v>18</v>
      </c>
      <c r="E1" t="s">
        <v>20</v>
      </c>
      <c r="F1" t="s">
        <v>24</v>
      </c>
      <c r="H1" t="s">
        <v>13</v>
      </c>
      <c r="I1" t="s">
        <v>14</v>
      </c>
      <c r="J1" t="s">
        <v>17</v>
      </c>
      <c r="L1" t="s">
        <v>15</v>
      </c>
      <c r="M1" t="s">
        <v>21</v>
      </c>
      <c r="N1" t="s">
        <v>22</v>
      </c>
      <c r="O1" t="s">
        <v>23</v>
      </c>
      <c r="P1" t="s">
        <v>25</v>
      </c>
    </row>
    <row r="2" spans="1:16" x14ac:dyDescent="0.25">
      <c r="A2" t="s">
        <v>0</v>
      </c>
      <c r="B2">
        <v>37</v>
      </c>
      <c r="C2" s="1">
        <f>B2/$B$15</f>
        <v>2.2329511164755584E-2</v>
      </c>
      <c r="D2" s="1">
        <f>2*C2</f>
        <v>4.4659022329511168E-2</v>
      </c>
      <c r="E2" s="1">
        <f>3*C2</f>
        <v>6.6988533494266755E-2</v>
      </c>
      <c r="F2" s="1">
        <f>4*C2</f>
        <v>8.9318044659022336E-2</v>
      </c>
      <c r="H2" s="1">
        <v>0.102682</v>
      </c>
      <c r="I2" s="1">
        <v>0.12</v>
      </c>
      <c r="J2" s="2">
        <f>I2*500</f>
        <v>60</v>
      </c>
      <c r="L2" s="1">
        <f>C2-I2</f>
        <v>-9.7670488835244415E-2</v>
      </c>
      <c r="M2" s="2">
        <f>500*L2</f>
        <v>-48.835244417622206</v>
      </c>
      <c r="N2" s="1">
        <f>D2-I2</f>
        <v>-7.5340977670488835E-2</v>
      </c>
      <c r="O2" s="1">
        <f>E2-I2</f>
        <v>-5.301146650573324E-2</v>
      </c>
      <c r="P2" s="1">
        <f>F2-I2</f>
        <v>-3.068195534097766E-2</v>
      </c>
    </row>
    <row r="3" spans="1:16" x14ac:dyDescent="0.25">
      <c r="A3" t="s">
        <v>1</v>
      </c>
      <c r="B3">
        <v>48</v>
      </c>
      <c r="C3" s="1">
        <f t="shared" ref="C3:C13" si="0">B3/$B$15</f>
        <v>2.8968014484007241E-2</v>
      </c>
      <c r="D3" s="1">
        <f t="shared" ref="D3:D13" si="1">2*C3</f>
        <v>5.7936028968014482E-2</v>
      </c>
      <c r="E3" s="1">
        <f t="shared" ref="E3:E13" si="2">3*C3</f>
        <v>8.6904043452021726E-2</v>
      </c>
      <c r="F3" s="1">
        <f t="shared" ref="F3:F13" si="3">4*C3</f>
        <v>0.11587205793602896</v>
      </c>
      <c r="H3" s="1">
        <v>9.2038300000000003E-2</v>
      </c>
      <c r="I3" s="1">
        <f t="shared" ref="I3:I4" si="4">1.25*H3</f>
        <v>0.11504787500000001</v>
      </c>
      <c r="J3" s="2">
        <f t="shared" ref="J3:J13" si="5">I3*500</f>
        <v>57.523937500000002</v>
      </c>
      <c r="L3" s="1">
        <f t="shared" ref="L3:L13" si="6">C3-I3</f>
        <v>-8.607986051599277E-2</v>
      </c>
      <c r="M3" s="2">
        <f t="shared" ref="M3:M13" si="7">500*L3</f>
        <v>-43.039930257996389</v>
      </c>
      <c r="N3" s="1">
        <f t="shared" ref="N3:N13" si="8">D3-I3</f>
        <v>-5.7111846031985526E-2</v>
      </c>
      <c r="O3" s="1">
        <f t="shared" ref="O3:O13" si="9">E3-I3</f>
        <v>-2.8143831547978282E-2</v>
      </c>
      <c r="P3" s="1">
        <f t="shared" ref="P3:P13" si="10">F3-I3</f>
        <v>8.2418293602895543E-4</v>
      </c>
    </row>
    <row r="4" spans="1:16" x14ac:dyDescent="0.25">
      <c r="A4" t="s">
        <v>2</v>
      </c>
      <c r="B4">
        <v>127</v>
      </c>
      <c r="C4" s="1">
        <f t="shared" si="0"/>
        <v>7.6644538322269168E-2</v>
      </c>
      <c r="D4" s="1">
        <f t="shared" si="1"/>
        <v>0.15328907664453834</v>
      </c>
      <c r="E4" s="1">
        <f t="shared" si="2"/>
        <v>0.2299336149668075</v>
      </c>
      <c r="F4" s="1">
        <f t="shared" si="3"/>
        <v>0.30657815328907667</v>
      </c>
      <c r="H4" s="1">
        <v>9.0144000000000002E-2</v>
      </c>
      <c r="I4" s="1">
        <f t="shared" si="4"/>
        <v>0.11268</v>
      </c>
      <c r="J4" s="2">
        <f t="shared" si="5"/>
        <v>56.34</v>
      </c>
      <c r="L4" s="1">
        <f t="shared" si="6"/>
        <v>-3.6035461677730835E-2</v>
      </c>
      <c r="M4" s="2">
        <f t="shared" si="7"/>
        <v>-18.017730838865418</v>
      </c>
      <c r="N4" s="1">
        <f t="shared" si="8"/>
        <v>4.0609076644538333E-2</v>
      </c>
      <c r="O4" s="1">
        <f t="shared" si="9"/>
        <v>0.1172536149668075</v>
      </c>
      <c r="P4" s="1">
        <f t="shared" si="10"/>
        <v>0.19389815328907667</v>
      </c>
    </row>
    <row r="5" spans="1:16" x14ac:dyDescent="0.25">
      <c r="A5" t="s">
        <v>3</v>
      </c>
      <c r="B5">
        <v>215</v>
      </c>
      <c r="C5" s="1">
        <f t="shared" si="0"/>
        <v>0.12975256487628245</v>
      </c>
      <c r="D5" s="1">
        <f t="shared" si="1"/>
        <v>0.2595051297525649</v>
      </c>
      <c r="E5" s="1">
        <f t="shared" si="2"/>
        <v>0.38925769462884735</v>
      </c>
      <c r="F5" s="1">
        <f t="shared" si="3"/>
        <v>0.5190102595051298</v>
      </c>
      <c r="H5" s="1">
        <v>7.8051800000000005E-2</v>
      </c>
      <c r="I5" s="1">
        <v>7.0000000000000007E-2</v>
      </c>
      <c r="J5" s="2">
        <f t="shared" si="5"/>
        <v>35</v>
      </c>
      <c r="L5" s="1">
        <f t="shared" si="6"/>
        <v>5.9752564876282444E-2</v>
      </c>
      <c r="M5" s="2">
        <f t="shared" si="7"/>
        <v>29.876282438141221</v>
      </c>
      <c r="N5" s="1">
        <f t="shared" si="8"/>
        <v>0.18950512975256489</v>
      </c>
      <c r="O5" s="1">
        <f t="shared" si="9"/>
        <v>0.31925769462884734</v>
      </c>
      <c r="P5" s="1">
        <f t="shared" si="10"/>
        <v>0.44901025950512979</v>
      </c>
    </row>
    <row r="6" spans="1:16" x14ac:dyDescent="0.25">
      <c r="A6" t="s">
        <v>4</v>
      </c>
      <c r="B6">
        <v>232</v>
      </c>
      <c r="C6" s="1">
        <f t="shared" si="0"/>
        <v>0.14001207000603499</v>
      </c>
      <c r="D6" s="1">
        <f t="shared" si="1"/>
        <v>0.28002414001206999</v>
      </c>
      <c r="E6" s="1">
        <f t="shared" si="2"/>
        <v>0.42003621001810498</v>
      </c>
      <c r="F6" s="1">
        <f t="shared" si="3"/>
        <v>0.56004828002413998</v>
      </c>
      <c r="H6" s="1">
        <v>7.4436000000000002E-2</v>
      </c>
      <c r="I6" s="1">
        <f>1.25*H6</f>
        <v>9.3045000000000003E-2</v>
      </c>
      <c r="J6" s="2">
        <f t="shared" si="5"/>
        <v>46.522500000000001</v>
      </c>
      <c r="L6" s="1">
        <f t="shared" si="6"/>
        <v>4.6967070006034992E-2</v>
      </c>
      <c r="M6" s="2">
        <f t="shared" si="7"/>
        <v>23.483535003017497</v>
      </c>
      <c r="N6" s="1">
        <f t="shared" si="8"/>
        <v>0.18697914001207</v>
      </c>
      <c r="O6" s="1">
        <f t="shared" si="9"/>
        <v>0.32699121001810499</v>
      </c>
      <c r="P6" s="1">
        <f t="shared" si="10"/>
        <v>0.46700328002413999</v>
      </c>
    </row>
    <row r="7" spans="1:16" x14ac:dyDescent="0.25">
      <c r="A7" t="s">
        <v>5</v>
      </c>
      <c r="B7">
        <v>227</v>
      </c>
      <c r="C7" s="1">
        <f t="shared" si="0"/>
        <v>0.13699456849728425</v>
      </c>
      <c r="D7" s="1">
        <f t="shared" si="1"/>
        <v>0.27398913699456851</v>
      </c>
      <c r="E7" s="1">
        <f t="shared" si="2"/>
        <v>0.41098370549185276</v>
      </c>
      <c r="F7" s="1">
        <f t="shared" si="3"/>
        <v>0.54797827398913701</v>
      </c>
      <c r="H7" s="1">
        <v>6.9149000000000002E-2</v>
      </c>
      <c r="I7" s="1">
        <f>1.33*H7</f>
        <v>9.1968170000000002E-2</v>
      </c>
      <c r="J7" s="2">
        <f t="shared" si="5"/>
        <v>45.984085</v>
      </c>
      <c r="L7" s="1">
        <f t="shared" si="6"/>
        <v>4.5026398497284251E-2</v>
      </c>
      <c r="M7" s="2">
        <f t="shared" si="7"/>
        <v>22.513199248642124</v>
      </c>
      <c r="N7" s="1">
        <f t="shared" si="8"/>
        <v>0.18202096699456849</v>
      </c>
      <c r="O7" s="1">
        <f t="shared" si="9"/>
        <v>0.31901553549185274</v>
      </c>
      <c r="P7" s="1">
        <f t="shared" si="10"/>
        <v>0.45601010398913699</v>
      </c>
    </row>
    <row r="8" spans="1:16" x14ac:dyDescent="0.25">
      <c r="A8" t="s">
        <v>6</v>
      </c>
      <c r="B8">
        <v>232</v>
      </c>
      <c r="C8" s="1">
        <f t="shared" si="0"/>
        <v>0.14001207000603499</v>
      </c>
      <c r="D8" s="1">
        <f t="shared" si="1"/>
        <v>0.28002414001206999</v>
      </c>
      <c r="E8" s="1">
        <f t="shared" si="2"/>
        <v>0.42003621001810498</v>
      </c>
      <c r="F8" s="1">
        <f t="shared" si="3"/>
        <v>0.56004828002413998</v>
      </c>
      <c r="H8" s="1">
        <v>6.9274000000000002E-2</v>
      </c>
      <c r="I8" s="1">
        <v>0.02</v>
      </c>
      <c r="J8" s="2">
        <f t="shared" si="5"/>
        <v>10</v>
      </c>
      <c r="L8" s="1">
        <f t="shared" si="6"/>
        <v>0.12001207000603499</v>
      </c>
      <c r="M8" s="2">
        <f t="shared" si="7"/>
        <v>60.006035003017494</v>
      </c>
      <c r="N8" s="1">
        <f t="shared" si="8"/>
        <v>0.26002414001206997</v>
      </c>
      <c r="O8" s="1">
        <f t="shared" si="9"/>
        <v>0.40003621001810497</v>
      </c>
      <c r="P8" s="1">
        <f t="shared" si="10"/>
        <v>0.54004828002413996</v>
      </c>
    </row>
    <row r="9" spans="1:16" x14ac:dyDescent="0.25">
      <c r="A9" t="s">
        <v>7</v>
      </c>
      <c r="B9">
        <v>227</v>
      </c>
      <c r="C9" s="1">
        <f t="shared" si="0"/>
        <v>0.13699456849728425</v>
      </c>
      <c r="D9" s="1">
        <f t="shared" si="1"/>
        <v>0.27398913699456851</v>
      </c>
      <c r="E9" s="1">
        <f t="shared" si="2"/>
        <v>0.41098370549185276</v>
      </c>
      <c r="F9" s="1">
        <f t="shared" si="3"/>
        <v>0.54797827398913701</v>
      </c>
      <c r="H9" s="1">
        <v>7.0826700000000006E-2</v>
      </c>
      <c r="I9" s="1">
        <v>0.03</v>
      </c>
      <c r="J9" s="2">
        <f t="shared" si="5"/>
        <v>15</v>
      </c>
      <c r="L9" s="1">
        <f t="shared" si="6"/>
        <v>0.10699456849728425</v>
      </c>
      <c r="M9" s="2">
        <f t="shared" si="7"/>
        <v>53.497284248642124</v>
      </c>
      <c r="N9" s="1">
        <f t="shared" si="8"/>
        <v>0.24398913699456851</v>
      </c>
      <c r="O9" s="1">
        <f t="shared" si="9"/>
        <v>0.38098370549185279</v>
      </c>
      <c r="P9" s="1">
        <f t="shared" si="10"/>
        <v>0.51797827398913698</v>
      </c>
    </row>
    <row r="10" spans="1:16" x14ac:dyDescent="0.25">
      <c r="A10" t="s">
        <v>8</v>
      </c>
      <c r="B10">
        <v>160</v>
      </c>
      <c r="C10" s="1">
        <f t="shared" si="0"/>
        <v>9.6560048280024138E-2</v>
      </c>
      <c r="D10" s="1">
        <f t="shared" si="1"/>
        <v>0.19312009656004828</v>
      </c>
      <c r="E10" s="1">
        <f t="shared" si="2"/>
        <v>0.28968014484007243</v>
      </c>
      <c r="F10" s="1">
        <f t="shared" si="3"/>
        <v>0.38624019312009655</v>
      </c>
      <c r="H10" s="1">
        <v>7.4337E-2</v>
      </c>
      <c r="I10" s="1">
        <v>0.05</v>
      </c>
      <c r="J10" s="2">
        <f t="shared" si="5"/>
        <v>25</v>
      </c>
      <c r="L10" s="1">
        <f t="shared" si="6"/>
        <v>4.6560048280024136E-2</v>
      </c>
      <c r="M10" s="2">
        <f t="shared" si="7"/>
        <v>23.280024140012067</v>
      </c>
      <c r="N10" s="1">
        <f t="shared" si="8"/>
        <v>0.14312009656004826</v>
      </c>
      <c r="O10" s="1">
        <f t="shared" si="9"/>
        <v>0.23968014484007244</v>
      </c>
      <c r="P10" s="1">
        <f t="shared" si="10"/>
        <v>0.33624019312009656</v>
      </c>
    </row>
    <row r="11" spans="1:16" x14ac:dyDescent="0.25">
      <c r="A11" t="s">
        <v>9</v>
      </c>
      <c r="B11">
        <v>110</v>
      </c>
      <c r="C11" s="1">
        <f t="shared" si="0"/>
        <v>6.6385033192516596E-2</v>
      </c>
      <c r="D11" s="1">
        <f t="shared" si="1"/>
        <v>0.13277006638503319</v>
      </c>
      <c r="E11" s="1">
        <f t="shared" si="2"/>
        <v>0.19915509957754979</v>
      </c>
      <c r="F11" s="1">
        <f t="shared" si="3"/>
        <v>0.26554013277006638</v>
      </c>
      <c r="H11" s="1">
        <v>8.3213999999999996E-2</v>
      </c>
      <c r="I11" s="1">
        <f>H11*1.25</f>
        <v>0.1040175</v>
      </c>
      <c r="J11" s="2">
        <f t="shared" si="5"/>
        <v>52.008749999999999</v>
      </c>
      <c r="L11" s="1">
        <f t="shared" si="6"/>
        <v>-3.7632466807483403E-2</v>
      </c>
      <c r="M11" s="2">
        <f t="shared" si="7"/>
        <v>-18.816233403741702</v>
      </c>
      <c r="N11" s="1">
        <f t="shared" si="8"/>
        <v>2.8752566385033193E-2</v>
      </c>
      <c r="O11" s="1">
        <f t="shared" si="9"/>
        <v>9.5137599577549789E-2</v>
      </c>
      <c r="P11" s="1">
        <f t="shared" si="10"/>
        <v>0.1615226327700664</v>
      </c>
    </row>
    <row r="12" spans="1:16" x14ac:dyDescent="0.25">
      <c r="A12" t="s">
        <v>10</v>
      </c>
      <c r="B12">
        <v>32</v>
      </c>
      <c r="C12" s="1">
        <f t="shared" si="0"/>
        <v>1.9312009656004828E-2</v>
      </c>
      <c r="D12" s="1">
        <f t="shared" si="1"/>
        <v>3.8624019312009657E-2</v>
      </c>
      <c r="E12" s="1">
        <f t="shared" si="2"/>
        <v>5.7936028968014489E-2</v>
      </c>
      <c r="F12" s="1">
        <f t="shared" si="3"/>
        <v>7.7248038624019313E-2</v>
      </c>
      <c r="H12" s="1">
        <v>9.2553999999999997E-2</v>
      </c>
      <c r="I12" s="1">
        <f>H12*1.25</f>
        <v>0.1156925</v>
      </c>
      <c r="J12" s="2">
        <f t="shared" si="5"/>
        <v>57.846250000000005</v>
      </c>
      <c r="L12" s="1">
        <f t="shared" si="6"/>
        <v>-9.6380490343995179E-2</v>
      </c>
      <c r="M12" s="2">
        <f t="shared" si="7"/>
        <v>-48.190245171997589</v>
      </c>
      <c r="N12" s="1">
        <f t="shared" si="8"/>
        <v>-7.7068480687990354E-2</v>
      </c>
      <c r="O12" s="1">
        <f t="shared" si="9"/>
        <v>-5.7756471031985515E-2</v>
      </c>
      <c r="P12" s="1">
        <f t="shared" si="10"/>
        <v>-3.844446137598069E-2</v>
      </c>
    </row>
    <row r="13" spans="1:16" x14ac:dyDescent="0.25">
      <c r="A13" t="s">
        <v>11</v>
      </c>
      <c r="B13">
        <v>10</v>
      </c>
      <c r="C13" s="1">
        <f t="shared" si="0"/>
        <v>6.0350030175015086E-3</v>
      </c>
      <c r="D13" s="1">
        <f t="shared" si="1"/>
        <v>1.2070006035003017E-2</v>
      </c>
      <c r="E13" s="1">
        <f t="shared" si="2"/>
        <v>1.8105009052504527E-2</v>
      </c>
      <c r="F13" s="1">
        <f t="shared" si="3"/>
        <v>2.4140012070006035E-2</v>
      </c>
      <c r="H13" s="1">
        <v>0.103501</v>
      </c>
      <c r="I13" s="1">
        <v>0.08</v>
      </c>
      <c r="J13" s="2">
        <f t="shared" si="5"/>
        <v>40</v>
      </c>
      <c r="L13" s="1">
        <f t="shared" si="6"/>
        <v>-7.396499698249849E-2</v>
      </c>
      <c r="M13" s="2">
        <f t="shared" si="7"/>
        <v>-36.982498491249245</v>
      </c>
      <c r="N13" s="1">
        <f t="shared" si="8"/>
        <v>-6.7929993964996979E-2</v>
      </c>
      <c r="O13" s="1">
        <f t="shared" si="9"/>
        <v>-6.1894990947495475E-2</v>
      </c>
      <c r="P13" s="1">
        <f t="shared" si="10"/>
        <v>-5.5859987929993971E-2</v>
      </c>
    </row>
    <row r="14" spans="1:16" x14ac:dyDescent="0.25">
      <c r="H14" s="1"/>
    </row>
    <row r="15" spans="1:16" x14ac:dyDescent="0.25">
      <c r="B15">
        <f>SUM(B2:B13)</f>
        <v>1657</v>
      </c>
      <c r="C15" s="1">
        <f>SUM(C2:C13)</f>
        <v>1.0000000000000002</v>
      </c>
      <c r="D15" s="1">
        <f>SUM(D2:D13)</f>
        <v>2.0000000000000004</v>
      </c>
      <c r="E15" s="1">
        <f>SUM(E2:E13)</f>
        <v>3.0000000000000004</v>
      </c>
      <c r="F15" s="1">
        <f>SUM(F2:F13)</f>
        <v>4.0000000000000009</v>
      </c>
      <c r="H15" s="1">
        <f>SUM(H2:H13)</f>
        <v>1.0002078000000001</v>
      </c>
      <c r="I15" s="1">
        <f>SUM(I2:I13)</f>
        <v>1.0024510450000002</v>
      </c>
      <c r="J15" s="2">
        <f>SUM(J2:J13)</f>
        <v>501.22552250000007</v>
      </c>
      <c r="K15" t="s">
        <v>16</v>
      </c>
    </row>
    <row r="38" spans="1:7" x14ac:dyDescent="0.25">
      <c r="A38" s="3" t="s">
        <v>28</v>
      </c>
    </row>
    <row r="39" spans="1:7" x14ac:dyDescent="0.25">
      <c r="C39" t="s">
        <v>29</v>
      </c>
      <c r="D39" t="s">
        <v>32</v>
      </c>
      <c r="F39" t="s">
        <v>30</v>
      </c>
    </row>
    <row r="40" spans="1:7" x14ac:dyDescent="0.25">
      <c r="A40" s="4" t="s">
        <v>0</v>
      </c>
      <c r="B40">
        <v>938</v>
      </c>
      <c r="C40" s="1">
        <f>B40/$B$53</f>
        <v>0.14415245120639311</v>
      </c>
      <c r="D40" s="1">
        <v>0.14000000000000001</v>
      </c>
      <c r="F40">
        <v>37</v>
      </c>
      <c r="G40" s="1">
        <f t="shared" ref="G40:G51" si="11">F40/$F$53</f>
        <v>2.2329511164755584E-2</v>
      </c>
    </row>
    <row r="41" spans="1:7" x14ac:dyDescent="0.25">
      <c r="A41" s="4" t="s">
        <v>1</v>
      </c>
      <c r="B41">
        <v>835</v>
      </c>
      <c r="C41" s="1">
        <f t="shared" ref="C41:C51" si="12">B41/$B$53</f>
        <v>0.12832334409097895</v>
      </c>
      <c r="D41" s="1">
        <v>0.14000000000000001</v>
      </c>
      <c r="F41">
        <v>48</v>
      </c>
      <c r="G41" s="1">
        <f t="shared" si="11"/>
        <v>2.8968014484007241E-2</v>
      </c>
    </row>
    <row r="42" spans="1:7" x14ac:dyDescent="0.25">
      <c r="A42" s="4" t="s">
        <v>2</v>
      </c>
      <c r="B42">
        <v>646</v>
      </c>
      <c r="C42" s="1">
        <f t="shared" si="12"/>
        <v>9.9277700937451974E-2</v>
      </c>
      <c r="D42" s="1">
        <v>0.11</v>
      </c>
      <c r="F42">
        <v>127</v>
      </c>
      <c r="G42" s="1">
        <f t="shared" si="11"/>
        <v>7.6644538322269168E-2</v>
      </c>
    </row>
    <row r="43" spans="1:7" x14ac:dyDescent="0.25">
      <c r="A43" s="4" t="s">
        <v>3</v>
      </c>
      <c r="B43">
        <v>377</v>
      </c>
      <c r="C43" s="1">
        <f t="shared" si="12"/>
        <v>5.7937605655447977E-2</v>
      </c>
      <c r="D43" s="1">
        <v>0.05</v>
      </c>
      <c r="F43">
        <v>215</v>
      </c>
      <c r="G43" s="1">
        <f t="shared" si="11"/>
        <v>0.12975256487628245</v>
      </c>
    </row>
    <row r="44" spans="1:7" x14ac:dyDescent="0.25">
      <c r="A44" s="4" t="s">
        <v>4</v>
      </c>
      <c r="B44">
        <v>315</v>
      </c>
      <c r="C44" s="1">
        <f t="shared" si="12"/>
        <v>4.8409405255878286E-2</v>
      </c>
      <c r="D44" s="1">
        <v>7.0000000000000007E-2</v>
      </c>
      <c r="F44">
        <v>232</v>
      </c>
      <c r="G44" s="1">
        <f t="shared" si="11"/>
        <v>0.14001207000603499</v>
      </c>
    </row>
    <row r="45" spans="1:7" x14ac:dyDescent="0.25">
      <c r="A45" s="4" t="s">
        <v>5</v>
      </c>
      <c r="B45">
        <v>298</v>
      </c>
      <c r="C45" s="1">
        <f t="shared" si="12"/>
        <v>4.5796834178576919E-2</v>
      </c>
      <c r="D45" s="1">
        <v>7.0000000000000007E-2</v>
      </c>
      <c r="F45">
        <v>227</v>
      </c>
      <c r="G45" s="1">
        <f t="shared" si="11"/>
        <v>0.13699456849728425</v>
      </c>
    </row>
    <row r="46" spans="1:7" x14ac:dyDescent="0.25">
      <c r="A46" s="4" t="s">
        <v>6</v>
      </c>
      <c r="B46">
        <v>283</v>
      </c>
      <c r="C46" s="1">
        <f t="shared" si="12"/>
        <v>4.3491624404487478E-2</v>
      </c>
      <c r="D46" s="1">
        <v>0.01</v>
      </c>
      <c r="F46">
        <v>232</v>
      </c>
      <c r="G46" s="1">
        <f t="shared" si="11"/>
        <v>0.14001207000603499</v>
      </c>
    </row>
    <row r="47" spans="1:7" x14ac:dyDescent="0.25">
      <c r="A47" s="4" t="s">
        <v>7</v>
      </c>
      <c r="B47">
        <v>291</v>
      </c>
      <c r="C47" s="1">
        <f t="shared" si="12"/>
        <v>4.4721069617335178E-2</v>
      </c>
      <c r="D47" s="1">
        <v>0.02</v>
      </c>
      <c r="F47">
        <v>227</v>
      </c>
      <c r="G47" s="1">
        <f t="shared" si="11"/>
        <v>0.13699456849728425</v>
      </c>
    </row>
    <row r="48" spans="1:7" x14ac:dyDescent="0.25">
      <c r="A48" s="4" t="s">
        <v>8</v>
      </c>
      <c r="B48">
        <v>334</v>
      </c>
      <c r="C48" s="1">
        <f t="shared" si="12"/>
        <v>5.1329337636391581E-2</v>
      </c>
      <c r="D48" s="1">
        <v>0.03</v>
      </c>
      <c r="F48">
        <v>160</v>
      </c>
      <c r="G48" s="1">
        <f t="shared" si="11"/>
        <v>9.6560048280024138E-2</v>
      </c>
    </row>
    <row r="49" spans="1:7" x14ac:dyDescent="0.25">
      <c r="A49" s="4" t="s">
        <v>9</v>
      </c>
      <c r="B49">
        <v>437</v>
      </c>
      <c r="C49" s="1">
        <f t="shared" si="12"/>
        <v>6.7158444751805754E-2</v>
      </c>
      <c r="D49" s="1">
        <v>0.09</v>
      </c>
      <c r="F49">
        <v>110</v>
      </c>
      <c r="G49" s="1">
        <f t="shared" si="11"/>
        <v>6.6385033192516596E-2</v>
      </c>
    </row>
    <row r="50" spans="1:7" x14ac:dyDescent="0.25">
      <c r="A50" s="4" t="s">
        <v>10</v>
      </c>
      <c r="B50">
        <v>830</v>
      </c>
      <c r="C50" s="1">
        <f t="shared" si="12"/>
        <v>0.12755494083294913</v>
      </c>
      <c r="D50" s="1">
        <v>0.14000000000000001</v>
      </c>
      <c r="F50">
        <v>32</v>
      </c>
      <c r="G50" s="1">
        <f t="shared" si="11"/>
        <v>1.9312009656004828E-2</v>
      </c>
    </row>
    <row r="51" spans="1:7" x14ac:dyDescent="0.25">
      <c r="A51" s="4" t="s">
        <v>11</v>
      </c>
      <c r="B51">
        <v>923</v>
      </c>
      <c r="C51" s="1">
        <f t="shared" si="12"/>
        <v>0.14184724143230368</v>
      </c>
      <c r="D51" s="1">
        <v>0.13</v>
      </c>
      <c r="F51">
        <v>10</v>
      </c>
      <c r="G51" s="1">
        <f t="shared" si="11"/>
        <v>6.0350030175015086E-3</v>
      </c>
    </row>
    <row r="53" spans="1:7" x14ac:dyDescent="0.25">
      <c r="B53">
        <f>SUM(B40:B51)</f>
        <v>6507</v>
      </c>
      <c r="C53" s="1">
        <f>SUM(C40:C51)</f>
        <v>1</v>
      </c>
      <c r="D53" s="1">
        <f>SUM(D40:D51)</f>
        <v>1</v>
      </c>
      <c r="F53">
        <f>SUM(F40:F51)</f>
        <v>1657</v>
      </c>
      <c r="G53" s="1">
        <f>SUM(G40:G51)</f>
        <v>1.0000000000000002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PV+WKK</vt:lpstr>
      <vt:lpstr>PV+Houtkachel</vt:lpstr>
      <vt:lpstr>Verbruiks- en productieprofiel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Simon</cp:lastModifiedBy>
  <dcterms:created xsi:type="dcterms:W3CDTF">2012-06-04T21:32:41Z</dcterms:created>
  <dcterms:modified xsi:type="dcterms:W3CDTF">2012-11-17T15:09:51Z</dcterms:modified>
</cp:coreProperties>
</file>