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2a4f49d94593fa/Data Class Folder/Module 1 - Excel/Analysis Projects/Crowd Funding Analysis/"/>
    </mc:Choice>
  </mc:AlternateContent>
  <xr:revisionPtr revIDLastSave="68" documentId="8_{2333F00A-2F1C-49E0-949C-1DB49C79B4DD}" xr6:coauthVersionLast="46" xr6:coauthVersionMax="46" xr10:uidLastSave="{BA6C2E3C-888E-4E68-ADCF-9B6574C1D107}"/>
  <bookViews>
    <workbookView xWindow="0" yWindow="0" windowWidth="28770" windowHeight="15600" tabRatio="904" activeTab="2" xr2:uid="{00000000-000D-0000-FFFF-FFFF00000000}"/>
  </bookViews>
  <sheets>
    <sheet name="Outcomes based on Goals" sheetId="12" r:id="rId1"/>
    <sheet name="Theatre Outcomes by Launch Date" sheetId="13" r:id="rId2"/>
    <sheet name="Raw" sheetId="1" r:id="rId3"/>
    <sheet name="Category Statistics" sheetId="3" r:id="rId4"/>
    <sheet name="Subcatetgory Statistics" sheetId="4" r:id="rId5"/>
    <sheet name="Date Statistics" sheetId="6" r:id="rId6"/>
    <sheet name="Edinburgh Research" sheetId="7" r:id="rId7"/>
  </sheets>
  <definedNames>
    <definedName name="_xlnm._FilterDatabase" localSheetId="2" hidden="1">Raw!$A$1:$T$4115</definedName>
  </definedNames>
  <calcPr calcId="191029"/>
  <pivotCaches>
    <pivotCache cacheId="0" r:id="rId8"/>
    <pivotCache cacheId="1" r:id="rId9"/>
    <pivotCache cacheId="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C13" i="12"/>
  <c r="C12" i="12"/>
  <c r="C11" i="12"/>
  <c r="C10" i="12"/>
  <c r="C9" i="12"/>
  <c r="C8" i="12"/>
  <c r="C7" i="12"/>
  <c r="C6" i="12"/>
  <c r="C5" i="12"/>
  <c r="C4" i="12"/>
  <c r="B13" i="12"/>
  <c r="B12" i="12"/>
  <c r="B11" i="12"/>
  <c r="B10" i="12"/>
  <c r="E10" i="12" s="1"/>
  <c r="B9" i="12"/>
  <c r="B8" i="12"/>
  <c r="B7" i="12"/>
  <c r="B6" i="12"/>
  <c r="B5" i="12"/>
  <c r="B4" i="12"/>
  <c r="D3" i="12"/>
  <c r="C3" i="12"/>
  <c r="B3" i="12"/>
  <c r="D2" i="12"/>
  <c r="C2" i="12"/>
  <c r="B2" i="12"/>
  <c r="C3" i="7"/>
  <c r="D3" i="7"/>
  <c r="C4" i="7"/>
  <c r="D4" i="7"/>
  <c r="C5" i="7"/>
  <c r="D5" i="7"/>
  <c r="C6" i="7"/>
  <c r="D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1" i="12" l="1"/>
  <c r="E4" i="12"/>
  <c r="G4" i="12" s="1"/>
  <c r="E5" i="12"/>
  <c r="F5" i="12" s="1"/>
  <c r="E6" i="12"/>
  <c r="G6" i="12" s="1"/>
  <c r="E8" i="12"/>
  <c r="H8" i="12" s="1"/>
  <c r="E12" i="12"/>
  <c r="G12" i="12" s="1"/>
  <c r="E13" i="12"/>
  <c r="H13" i="12" s="1"/>
  <c r="E7" i="12"/>
  <c r="F7" i="12" s="1"/>
  <c r="E9" i="12"/>
  <c r="G9" i="12" s="1"/>
  <c r="F10" i="12"/>
  <c r="G10" i="12"/>
  <c r="H10" i="12"/>
  <c r="H11" i="12"/>
  <c r="F11" i="12"/>
  <c r="G11" i="12"/>
  <c r="E2" i="12"/>
  <c r="F2" i="12" s="1"/>
  <c r="E3" i="12"/>
  <c r="F3" i="12" s="1"/>
  <c r="F8" i="12" l="1"/>
  <c r="F6" i="12"/>
  <c r="H9" i="12"/>
  <c r="F9" i="12"/>
  <c r="G8" i="12"/>
  <c r="G5" i="12"/>
  <c r="H5" i="12"/>
  <c r="H6" i="12"/>
  <c r="G7" i="12"/>
  <c r="H7" i="12"/>
  <c r="H4" i="12"/>
  <c r="F4" i="12"/>
  <c r="F12" i="12"/>
  <c r="F13" i="12"/>
  <c r="G13" i="12"/>
  <c r="H12" i="12"/>
  <c r="H2" i="12"/>
  <c r="G2" i="12"/>
  <c r="G3" i="12"/>
  <c r="H3" i="12"/>
</calcChain>
</file>

<file path=xl/sharedStrings.xml><?xml version="1.0" encoding="utf-8"?>
<sst xmlns="http://schemas.openxmlformats.org/spreadsheetml/2006/main" count="33030" uniqueCount="8404">
  <si>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</si>
  <si>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</si>
  <si>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</si>
  <si>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</si>
  <si>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</si>
  <si>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</si>
  <si>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</si>
  <si>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</si>
  <si>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</si>
  <si>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</si>
  <si>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</si>
  <si>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</si>
  <si>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</si>
  <si>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</si>
  <si>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</si>
  <si>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</si>
  <si>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</si>
  <si>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</si>
  <si>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</si>
  <si>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</si>
  <si>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</si>
  <si>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</si>
  <si>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</si>
  <si>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</si>
  <si>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</si>
  <si>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</si>
  <si>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</si>
  <si>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</si>
  <si>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</si>
  <si>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</si>
  <si>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</si>
  <si>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</si>
  <si>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</si>
  <si>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</si>
  <si>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</si>
  <si>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</si>
  <si>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</si>
  <si>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</si>
  <si>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</si>
  <si>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</si>
  <si>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</si>
  <si>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</si>
  <si>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</si>
  <si>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</si>
  <si>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</si>
  <si>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</si>
  <si>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</si>
  <si>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</si>
  <si>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</si>
  <si>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</si>
  <si>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</si>
  <si>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</si>
  <si>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</si>
  <si>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</si>
  <si>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</si>
  <si>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</si>
  <si>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</si>
  <si>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</si>
  <si>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</si>
  <si>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</si>
  <si>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</si>
  <si>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</si>
  <si>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</si>
  <si>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</si>
  <si>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</si>
  <si>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</si>
  <si>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</si>
  <si>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</si>
  <si>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</si>
  <si>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</si>
  <si>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</si>
  <si>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</si>
  <si>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</si>
  <si>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</si>
  <si>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</si>
  <si>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</si>
  <si>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</si>
  <si>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</si>
  <si>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</si>
  <si>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</si>
  <si>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</si>
  <si>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</si>
  <si>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</si>
  <si>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</si>
  <si>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</si>
  <si>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</si>
  <si>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</si>
  <si>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</si>
  <si>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</si>
  <si>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</si>
  <si>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</si>
  <si>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</si>
  <si>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</si>
  <si>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</si>
  <si>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</si>
  <si>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</si>
  <si>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</si>
  <si>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</si>
  <si>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</si>
  <si>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</si>
  <si>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</si>
  <si>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</si>
  <si>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</si>
  <si>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</si>
  <si>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</si>
  <si>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</si>
  <si>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</si>
  <si>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</si>
  <si>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</si>
  <si>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</si>
  <si>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</si>
  <si>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</si>
  <si>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</si>
  <si>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</si>
  <si>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</si>
  <si>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</si>
  <si>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</si>
  <si>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</si>
  <si>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</si>
  <si>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</si>
  <si>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</si>
  <si>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</si>
  <si>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</si>
  <si>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</si>
  <si>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</si>
  <si>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</si>
  <si>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</si>
  <si>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</si>
  <si>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</si>
  <si>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</si>
  <si>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</si>
  <si>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</si>
  <si>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</si>
  <si>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</si>
  <si>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</si>
  <si>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</si>
  <si>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</si>
  <si>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</si>
  <si>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</si>
  <si>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</si>
  <si>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</si>
  <si>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</si>
  <si>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</si>
  <si>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</si>
  <si>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</si>
  <si>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</si>
  <si>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</si>
  <si>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</si>
  <si>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</si>
  <si>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</si>
  <si>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</si>
  <si>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</si>
  <si>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</si>
  <si>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</si>
  <si>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</si>
  <si>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</si>
  <si>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</si>
  <si>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</si>
  <si>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</si>
  <si>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</si>
  <si>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</si>
  <si>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</si>
  <si>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</si>
  <si>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</si>
  <si>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</si>
  <si>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</si>
  <si>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</si>
  <si>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</si>
  <si>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</si>
  <si>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</si>
  <si>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</si>
  <si>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</si>
  <si>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</si>
  <si>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</si>
  <si>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</si>
  <si>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</si>
  <si>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</si>
  <si>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</si>
  <si>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</si>
  <si>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</si>
  <si>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</si>
  <si>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</si>
  <si>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</si>
  <si>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</si>
  <si>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</si>
  <si>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</si>
  <si>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</si>
  <si>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</si>
  <si>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</si>
  <si>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</si>
  <si>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</si>
  <si>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</si>
  <si>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</si>
  <si>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</si>
  <si>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</si>
  <si>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</si>
  <si>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</si>
  <si>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</si>
  <si>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</si>
  <si>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</si>
  <si>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</si>
  <si>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</si>
  <si>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</si>
  <si>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</si>
  <si>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</si>
  <si>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</si>
  <si>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</si>
  <si>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</si>
  <si>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</si>
  <si>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</si>
  <si>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</si>
  <si>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</si>
  <si>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</si>
  <si>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</si>
  <si>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</si>
  <si>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</si>
  <si>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</si>
  <si>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</si>
  <si>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</si>
  <si>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</si>
  <si>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</si>
  <si>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</si>
  <si>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</si>
  <si>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</si>
  <si>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</si>
  <si>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</si>
  <si>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</si>
  <si>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</si>
  <si>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</si>
  <si>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</si>
  <si>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</si>
  <si>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</si>
  <si>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</si>
  <si>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</si>
  <si>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</si>
  <si>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</si>
  <si>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</si>
  <si>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</si>
  <si>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</si>
  <si>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</si>
  <si>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</si>
  <si>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</si>
  <si>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</si>
  <si>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</si>
  <si>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</si>
  <si>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</si>
  <si>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</si>
  <si>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</si>
  <si>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</si>
  <si>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</si>
  <si>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</si>
  <si>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</si>
  <si>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</si>
  <si>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</si>
  <si>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</si>
  <si>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</si>
  <si>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</si>
  <si>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</si>
  <si>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</si>
  <si>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</si>
  <si>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</si>
  <si>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</si>
  <si>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</si>
  <si>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</si>
  <si>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</si>
  <si>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</si>
  <si>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</si>
  <si>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</si>
  <si>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</si>
  <si>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</si>
  <si>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</si>
  <si>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</si>
  <si>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</si>
  <si>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</si>
  <si>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</si>
  <si>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</si>
  <si>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</si>
  <si>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</si>
  <si>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</si>
  <si>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</si>
  <si>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</si>
  <si>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</si>
  <si>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</si>
  <si>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</si>
  <si>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</si>
  <si>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</si>
  <si>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</si>
  <si>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</si>
  <si>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</si>
  <si>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</si>
  <si>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</si>
  <si>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</si>
  <si>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</si>
  <si>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</si>
  <si>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</si>
  <si>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</si>
  <si>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</si>
  <si>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</si>
  <si>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</si>
  <si>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</si>
  <si>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</si>
  <si>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</si>
  <si>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</si>
  <si>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</si>
  <si>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</si>
  <si>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</si>
  <si>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</si>
  <si>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</si>
  <si>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</si>
  <si>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</si>
  <si>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</si>
  <si>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</si>
  <si>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</si>
  <si>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</si>
  <si>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</si>
  <si>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</si>
  <si>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</si>
  <si>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</si>
  <si>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</si>
  <si>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</si>
  <si>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</si>
  <si>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</si>
  <si>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</si>
  <si>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</si>
  <si>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</si>
  <si>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</si>
  <si>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</si>
  <si>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</si>
  <si>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</si>
  <si>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</si>
  <si>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</si>
  <si>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</si>
  <si>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</si>
  <si>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</si>
  <si>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</si>
  <si>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</si>
  <si>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</si>
  <si>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</si>
  <si>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</si>
  <si>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</si>
  <si>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</si>
  <si>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</si>
  <si>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</si>
  <si>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</si>
  <si>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</si>
  <si>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</si>
  <si>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</si>
  <si>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</si>
  <si>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</si>
  <si>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</si>
  <si>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</si>
  <si>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</si>
  <si>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</si>
  <si>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</si>
  <si>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</si>
  <si>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</si>
  <si>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</si>
  <si>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</si>
  <si>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</si>
  <si>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</si>
  <si>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</si>
  <si>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</si>
  <si>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</si>
  <si>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</si>
  <si>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</si>
  <si>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</si>
  <si>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</si>
  <si>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</si>
  <si>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</si>
  <si>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</si>
  <si>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</si>
  <si>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</si>
  <si>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</si>
  <si>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</si>
  <si>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</si>
  <si>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</si>
  <si>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</si>
  <si>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</si>
  <si>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</si>
  <si>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</si>
  <si>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</si>
  <si>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</si>
  <si>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</si>
  <si>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</si>
  <si>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</si>
  <si>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</si>
  <si>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</si>
  <si>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</si>
  <si>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</si>
  <si>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</si>
  <si>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</si>
  <si>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</si>
  <si>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</si>
  <si>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</si>
  <si>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</si>
  <si>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</si>
  <si>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</si>
  <si>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</si>
  <si>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</si>
  <si>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</si>
  <si>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</si>
  <si>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</si>
  <si>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</si>
  <si>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</si>
  <si>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</si>
  <si>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</si>
  <si>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</si>
  <si>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</si>
  <si>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</si>
  <si>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</si>
  <si>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</si>
  <si>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</si>
  <si>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</si>
  <si>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</si>
  <si>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</si>
  <si>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</si>
  <si>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</si>
  <si>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</si>
  <si>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</si>
  <si>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</si>
  <si>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</si>
  <si>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</si>
  <si>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</si>
  <si>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</si>
  <si>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</si>
  <si>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</si>
  <si>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</si>
  <si>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</si>
  <si>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</si>
  <si>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</si>
  <si>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</si>
  <si>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</si>
  <si>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</si>
  <si>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</si>
  <si>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</si>
  <si>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</si>
  <si>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</si>
  <si>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</si>
  <si>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</si>
  <si>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</si>
  <si>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</si>
  <si>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</si>
  <si>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</si>
  <si>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</si>
  <si>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</si>
  <si>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</si>
  <si>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</si>
  <si>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</si>
  <si>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</si>
  <si>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</si>
  <si>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</si>
  <si>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</si>
  <si>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</si>
  <si>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</si>
  <si>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</si>
  <si>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</si>
  <si>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</si>
  <si>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</si>
  <si>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</si>
  <si>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</si>
  <si>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</si>
  <si>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</si>
  <si>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</si>
  <si>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</si>
  <si>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</si>
  <si>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</si>
  <si>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</si>
  <si>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</si>
  <si>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</si>
  <si>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</si>
  <si>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</si>
  <si>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</si>
  <si>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</si>
  <si>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</si>
  <si>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</si>
  <si>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</si>
  <si>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</si>
  <si>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</si>
  <si>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</si>
  <si>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</si>
  <si>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</si>
  <si>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</si>
  <si>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</si>
  <si>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</si>
  <si>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</si>
  <si>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</si>
  <si>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</si>
  <si>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</si>
  <si>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</si>
  <si>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</si>
  <si>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</si>
  <si>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</si>
  <si>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</si>
  <si>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</si>
  <si>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</si>
  <si>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</si>
  <si>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</si>
  <si>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</si>
  <si>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</si>
  <si>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</si>
  <si>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</si>
  <si>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</si>
  <si>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</si>
  <si>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</si>
  <si>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</si>
  <si>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</si>
  <si>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</si>
  <si>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</si>
  <si>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</si>
  <si>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</si>
  <si>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</si>
  <si>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</si>
  <si>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</si>
  <si>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</si>
  <si>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</si>
  <si>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</si>
  <si>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</si>
  <si>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</si>
  <si>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</si>
  <si>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</si>
  <si>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</si>
  <si>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</si>
  <si>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</si>
  <si>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</si>
  <si>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</si>
  <si>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</si>
  <si>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</si>
  <si>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</si>
  <si>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</si>
  <si>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</si>
  <si>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</si>
  <si>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</si>
  <si>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</si>
  <si>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</si>
  <si>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</si>
  <si>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</si>
  <si>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</si>
  <si>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</si>
  <si>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</si>
  <si>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</si>
  <si>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</si>
  <si>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</si>
  <si>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</si>
  <si>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</si>
  <si>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</si>
  <si>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</si>
  <si>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</si>
  <si>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</si>
  <si>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</si>
  <si>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</si>
  <si>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</si>
  <si>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</si>
  <si>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</si>
  <si>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</si>
  <si>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</si>
  <si>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</si>
  <si>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</si>
  <si>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</si>
  <si>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</si>
  <si>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</si>
  <si>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</si>
  <si>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</si>
  <si>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</si>
  <si>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</si>
  <si>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</si>
  <si>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</si>
  <si>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</si>
  <si>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</si>
  <si>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</si>
  <si>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</si>
  <si>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</si>
  <si>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</si>
  <si>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</si>
  <si>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</si>
  <si>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</si>
  <si>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</si>
  <si>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</si>
  <si>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</si>
  <si>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</si>
  <si>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</si>
  <si>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</si>
  <si>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</si>
  <si>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</si>
  <si>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</si>
  <si>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</si>
  <si>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</si>
  <si>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</si>
  <si>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</si>
  <si>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</si>
  <si>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</si>
  <si>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</si>
  <si>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</si>
  <si>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</si>
  <si>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</si>
  <si>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</si>
  <si>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</si>
  <si>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</si>
  <si>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</si>
  <si>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</si>
  <si>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</si>
  <si>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</si>
  <si>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</si>
  <si>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</si>
  <si>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</si>
  <si>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</si>
  <si>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</si>
  <si>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</si>
  <si>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</si>
  <si>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</si>
  <si>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</si>
  <si>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</si>
  <si>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</si>
  <si>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</si>
  <si>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</si>
  <si>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</si>
  <si>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</si>
  <si>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</si>
  <si>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</si>
  <si>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</si>
  <si>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</si>
  <si>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</si>
  <si>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</si>
  <si>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</si>
  <si>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</si>
  <si>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</si>
  <si>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</si>
  <si>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</si>
  <si>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</si>
  <si>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</si>
  <si>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</si>
  <si>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</si>
  <si>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</si>
  <si>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</si>
  <si>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</si>
  <si>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</si>
  <si>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</si>
  <si>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</si>
  <si>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</si>
  <si>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</si>
  <si>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</si>
  <si>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</si>
  <si>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</si>
  <si>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</si>
  <si>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</si>
  <si>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</si>
  <si>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</si>
  <si>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</si>
  <si>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</si>
  <si>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</si>
  <si>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</si>
  <si>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</si>
  <si>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</si>
  <si>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</si>
  <si>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</si>
  <si>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</si>
  <si>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</si>
  <si>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</si>
  <si>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</si>
  <si>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</si>
  <si>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</si>
  <si>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</si>
  <si>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</si>
  <si>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</si>
  <si>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</si>
  <si>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</si>
  <si>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</si>
  <si>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</si>
  <si>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</si>
  <si>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</si>
  <si>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</si>
  <si>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</si>
  <si>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</si>
  <si>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</si>
  <si>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</si>
  <si>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</si>
  <si>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</si>
  <si>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</si>
  <si>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</si>
  <si>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</si>
  <si>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</si>
  <si>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</si>
  <si>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</si>
  <si>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</si>
  <si>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</si>
  <si>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</si>
  <si>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</si>
  <si>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</si>
  <si>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</si>
  <si>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</si>
  <si>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</si>
  <si>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</si>
  <si>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</si>
  <si>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</si>
  <si>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</si>
  <si>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</si>
  <si>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</si>
  <si>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</si>
  <si>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</si>
  <si>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</si>
  <si>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</si>
  <si>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</si>
  <si>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</si>
  <si>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</si>
  <si>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</si>
  <si>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</si>
  <si>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</si>
  <si>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</si>
  <si>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</si>
  <si>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</si>
  <si>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</si>
  <si>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</si>
  <si>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</si>
  <si>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</si>
  <si>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</si>
  <si>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</si>
  <si>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</si>
  <si>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</si>
  <si>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</si>
  <si>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</si>
  <si>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</si>
  <si>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</si>
  <si>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</si>
  <si>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</si>
  <si>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</si>
  <si>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</si>
  <si>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</si>
  <si>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</si>
  <si>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</si>
  <si>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</si>
  <si>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</si>
  <si>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</si>
  <si>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</si>
  <si>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</si>
  <si>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</si>
  <si>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</si>
  <si>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</si>
  <si>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</si>
  <si>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</si>
  <si>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</si>
  <si>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</si>
  <si>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</si>
  <si>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</si>
  <si>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</si>
  <si>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</si>
  <si>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</si>
  <si>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</si>
  <si>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</si>
  <si>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</si>
  <si>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</si>
  <si>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</si>
  <si>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</si>
  <si>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</si>
  <si>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</si>
  <si>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</si>
  <si>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</si>
  <si>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</si>
  <si>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</si>
  <si>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</si>
  <si>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</si>
  <si>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</si>
  <si>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</si>
  <si>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</si>
  <si>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</si>
  <si>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</si>
  <si>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</si>
  <si>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</si>
  <si>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</si>
  <si>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</si>
  <si>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</si>
  <si>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</si>
  <si>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</si>
  <si>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</si>
  <si>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</si>
  <si>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</si>
  <si>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</si>
  <si>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</si>
  <si>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</si>
  <si>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</si>
  <si>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</si>
  <si>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</si>
  <si>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</si>
  <si>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</si>
  <si>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</si>
  <si>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</si>
  <si>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</si>
  <si>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</si>
  <si>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</si>
  <si>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</si>
  <si>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</si>
  <si>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</si>
  <si>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</si>
  <si>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</si>
  <si>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</si>
  <si>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</si>
  <si>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</si>
  <si>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</si>
  <si>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</si>
  <si>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</si>
  <si>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</si>
  <si>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</si>
  <si>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</si>
  <si>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</si>
  <si>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</si>
  <si>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</si>
  <si>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</si>
  <si>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</si>
  <si>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</si>
  <si>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</si>
  <si>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</si>
  <si>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</si>
  <si>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</si>
  <si>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</si>
  <si>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</si>
  <si>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</si>
  <si>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</si>
  <si>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</si>
  <si>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</si>
  <si>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</si>
  <si>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</si>
  <si>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</si>
  <si>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</si>
  <si>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</si>
  <si>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</si>
  <si>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</si>
  <si>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</si>
  <si>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</si>
  <si>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</si>
  <si>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</si>
  <si>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</si>
  <si>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</si>
  <si>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</si>
  <si>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</si>
  <si>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</si>
  <si>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</si>
  <si>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</si>
  <si>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</si>
  <si>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</si>
  <si>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</si>
  <si>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</si>
  <si>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</si>
  <si>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</si>
  <si>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</si>
  <si>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</si>
  <si>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</si>
  <si>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</si>
  <si>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</si>
  <si>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</si>
  <si>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</si>
  <si>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</si>
  <si>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</si>
  <si>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</si>
  <si>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</si>
  <si>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</si>
  <si>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</si>
  <si>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</si>
  <si>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</si>
  <si>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</si>
  <si>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</si>
  <si>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</si>
  <si>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</si>
  <si>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</si>
  <si>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</si>
  <si>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</si>
  <si>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</si>
  <si>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</si>
  <si>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</si>
  <si>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</si>
  <si>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</si>
  <si>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</si>
  <si>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</si>
  <si>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</si>
  <si>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</si>
  <si>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</si>
  <si>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</si>
  <si>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</si>
  <si>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</si>
  <si>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</si>
  <si>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</si>
  <si>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</si>
  <si>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</si>
  <si>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</si>
  <si>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</si>
  <si>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</si>
  <si>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</si>
  <si>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</si>
  <si>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</si>
  <si>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</si>
  <si>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</si>
  <si>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</si>
  <si>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</si>
  <si>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</si>
  <si>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</si>
  <si>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</si>
  <si>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</si>
  <si>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</si>
  <si>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</si>
  <si>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</si>
  <si>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</si>
  <si>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</si>
  <si>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</si>
  <si>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</si>
  <si>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</si>
  <si>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</si>
  <si>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</si>
  <si>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</si>
  <si>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</si>
  <si>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</si>
  <si>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</si>
  <si>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</si>
  <si>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</si>
  <si>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</si>
  <si>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</si>
  <si>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</si>
  <si>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</si>
  <si>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</si>
  <si>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</si>
  <si>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</si>
  <si>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</si>
  <si>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</si>
  <si>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</si>
  <si>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</si>
  <si>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</si>
  <si>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</si>
  <si>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</si>
  <si>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</si>
  <si>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</si>
  <si>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</si>
  <si>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</si>
  <si>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</si>
  <si>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</si>
  <si>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</si>
  <si>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</si>
  <si>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</si>
  <si>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</si>
  <si>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</si>
  <si>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</si>
  <si>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</si>
  <si>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</si>
  <si>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</si>
  <si>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</si>
  <si>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</si>
  <si>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</si>
  <si>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</si>
  <si>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</si>
  <si>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</si>
  <si>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</si>
  <si>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</si>
  <si>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</si>
  <si>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</si>
  <si>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</si>
  <si>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</si>
  <si>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</si>
  <si>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</si>
  <si>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</si>
  <si>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</si>
  <si>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</si>
  <si>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</si>
  <si>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</si>
  <si>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</si>
  <si>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</si>
  <si>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</si>
  <si>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</si>
  <si>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</si>
  <si>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</si>
  <si>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</si>
  <si>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</si>
  <si>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</si>
  <si>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</si>
  <si>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</si>
  <si>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</si>
  <si>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</si>
  <si>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</si>
  <si>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</si>
  <si>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</si>
  <si>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</si>
  <si>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</si>
  <si>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</si>
  <si>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</si>
  <si>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</si>
  <si>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</si>
  <si>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</si>
  <si>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</si>
  <si>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</si>
  <si>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</si>
  <si>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</si>
  <si>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</si>
  <si>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</si>
  <si>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</si>
  <si>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</si>
  <si>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</si>
  <si>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</si>
  <si>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</si>
  <si>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</si>
  <si>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</si>
  <si>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</si>
  <si>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</si>
  <si>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</si>
  <si>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</si>
  <si>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</si>
  <si>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</si>
  <si>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</si>
  <si>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</si>
  <si>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</si>
  <si>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</si>
  <si>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</si>
  <si>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</si>
  <si>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</si>
  <si>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</si>
  <si>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</si>
  <si>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</si>
  <si>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</si>
  <si>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</si>
  <si>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</si>
  <si>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</si>
  <si>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</si>
  <si>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</si>
  <si>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</si>
  <si>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</si>
  <si>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</si>
  <si>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</si>
  <si>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</si>
  <si>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</si>
  <si>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</si>
  <si>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</si>
  <si>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</si>
  <si>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</si>
  <si>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</si>
  <si>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</si>
  <si>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</si>
  <si>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</si>
  <si>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</si>
  <si>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</si>
  <si>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</si>
  <si>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</si>
  <si>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</si>
  <si>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</si>
  <si>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</si>
  <si>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</si>
  <si>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</si>
  <si>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</si>
  <si>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</si>
  <si>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</si>
  <si>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</si>
  <si>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</si>
  <si>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</si>
  <si>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</si>
  <si>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</si>
  <si>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</si>
  <si>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</si>
  <si>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</si>
  <si>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</si>
  <si>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</si>
  <si>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</si>
  <si>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</si>
  <si>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</si>
  <si>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</si>
  <si>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</si>
  <si>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</si>
  <si>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</si>
  <si>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</si>
  <si>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</si>
  <si>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</si>
  <si>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</si>
  <si>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</si>
  <si>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</si>
  <si>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</si>
  <si>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</si>
  <si>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</si>
  <si>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</si>
  <si>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</si>
  <si>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</si>
  <si>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</si>
  <si>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</si>
  <si>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</si>
  <si>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</si>
  <si>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</si>
  <si>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</si>
  <si>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</si>
  <si>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</si>
  <si>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</si>
  <si>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</si>
  <si>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</si>
  <si>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</si>
  <si>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</si>
  <si>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</si>
  <si>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</si>
  <si>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</si>
  <si>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</si>
  <si>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</si>
  <si>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</si>
  <si>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</si>
  <si>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</si>
  <si>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</si>
  <si>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</si>
  <si>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</si>
  <si>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</si>
  <si>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</si>
  <si>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</si>
  <si>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</si>
  <si>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</si>
  <si>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</si>
  <si>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</si>
  <si>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</si>
  <si>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</si>
  <si>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</si>
  <si>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</si>
  <si>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</si>
  <si>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</si>
  <si>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</si>
  <si>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</si>
  <si>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</si>
  <si>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</si>
  <si>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</si>
  <si>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</si>
  <si>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</si>
  <si>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</si>
  <si>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</si>
  <si>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</si>
  <si>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</si>
  <si>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</si>
  <si>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</si>
  <si>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</si>
  <si>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</si>
  <si>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</si>
  <si>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</si>
  <si>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</si>
  <si>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</si>
  <si>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</si>
  <si>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</si>
  <si>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</si>
  <si>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</si>
  <si>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</si>
  <si>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</si>
  <si>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</si>
  <si>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</si>
  <si>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</si>
  <si>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</si>
  <si>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</si>
  <si>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</si>
  <si>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</si>
  <si>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</si>
  <si>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</si>
  <si>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</si>
  <si>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</si>
  <si>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</si>
  <si>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</si>
  <si>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</si>
  <si>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</si>
  <si>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</si>
  <si>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</si>
  <si>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</si>
  <si>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</si>
  <si>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</si>
  <si>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</si>
  <si>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</si>
  <si>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</si>
  <si>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</si>
  <si>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</si>
  <si>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</si>
  <si>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</si>
  <si>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</si>
  <si>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</si>
  <si>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</si>
  <si>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</si>
  <si>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</si>
  <si>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</si>
  <si>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</si>
  <si>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</si>
  <si>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</si>
  <si>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</si>
  <si>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</si>
  <si>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</si>
  <si>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</si>
  <si>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</si>
  <si>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</si>
  <si>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</si>
  <si>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</si>
  <si>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</si>
  <si>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</si>
  <si>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</si>
  <si>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</si>
  <si>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</si>
  <si>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</si>
  <si>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</si>
  <si>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</si>
  <si>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</si>
  <si>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</si>
  <si>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</si>
  <si>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</si>
  <si>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</si>
  <si>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</si>
  <si>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</si>
  <si>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</si>
  <si>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</si>
  <si>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</si>
  <si>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</si>
  <si>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</si>
  <si>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</si>
  <si>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</si>
  <si>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</si>
  <si>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</si>
  <si>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</si>
  <si>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</si>
  <si>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</si>
  <si>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</si>
  <si>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</si>
  <si>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</si>
  <si>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</si>
  <si>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</si>
  <si>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</si>
  <si>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</si>
  <si>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</si>
  <si>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</si>
  <si>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</si>
  <si>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</si>
  <si>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</si>
  <si>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</si>
  <si>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</si>
  <si>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</si>
  <si>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</si>
  <si>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</si>
  <si>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</si>
  <si>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</si>
  <si>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</si>
  <si>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</si>
  <si>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</si>
  <si>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</si>
  <si>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</si>
  <si>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</si>
  <si>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</si>
  <si>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</si>
  <si>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</si>
  <si>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</si>
  <si>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</si>
  <si>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</si>
  <si>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</si>
  <si>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</si>
  <si>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</si>
  <si>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</si>
  <si>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</si>
  <si>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</si>
  <si>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</si>
  <si>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</si>
  <si>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</si>
  <si>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</si>
  <si>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</si>
  <si>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</si>
  <si>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</si>
  <si>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</si>
  <si>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</si>
  <si>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</si>
  <si>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</si>
  <si>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</si>
  <si>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</si>
  <si>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</si>
  <si>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</si>
  <si>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</si>
  <si>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</si>
  <si>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</si>
  <si>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</si>
  <si>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</si>
  <si>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</si>
  <si>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</si>
  <si>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</si>
  <si>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</si>
  <si>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</si>
  <si>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</si>
  <si>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</si>
  <si>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</si>
  <si>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</si>
  <si>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</si>
  <si>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</si>
  <si>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</si>
  <si>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</si>
  <si>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</si>
  <si>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</si>
  <si>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</si>
  <si>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</si>
  <si>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</si>
  <si>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</si>
  <si>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</si>
  <si>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</si>
  <si>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</si>
  <si>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</si>
  <si>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</si>
  <si>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</si>
  <si>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</si>
  <si>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</si>
  <si>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</si>
  <si>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</si>
  <si>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</si>
  <si>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</si>
  <si>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</si>
  <si>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</si>
  <si>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</si>
  <si>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</si>
  <si>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</si>
  <si>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</si>
  <si>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</si>
  <si>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</si>
  <si>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</si>
  <si>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</si>
  <si>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</si>
  <si>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</si>
  <si>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</si>
  <si>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</si>
  <si>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</si>
  <si>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</si>
  <si>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</si>
  <si>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</si>
  <si>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</si>
  <si>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</si>
  <si>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</si>
  <si>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</si>
  <si>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</si>
  <si>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</si>
  <si>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</si>
  <si>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</si>
  <si>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</si>
  <si>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</si>
  <si>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</si>
  <si>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</si>
  <si>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</si>
  <si>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</si>
  <si>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</si>
  <si>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</si>
  <si>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</si>
  <si>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</si>
  <si>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</si>
  <si>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</si>
  <si>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</si>
  <si>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</si>
  <si>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</si>
  <si>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</si>
  <si>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</si>
  <si>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</si>
  <si>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</si>
  <si>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</si>
  <si>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</si>
  <si>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</si>
  <si>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</si>
  <si>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</si>
  <si>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</si>
  <si>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</si>
  <si>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</si>
  <si>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</si>
  <si>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</si>
  <si>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</si>
  <si>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</si>
  <si>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</si>
  <si>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</si>
  <si>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</si>
  <si>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</si>
  <si>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</si>
  <si>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</si>
  <si>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</si>
  <si>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</si>
  <si>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</si>
  <si>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</si>
  <si>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</si>
  <si>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</si>
  <si>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</si>
  <si>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</si>
  <si>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</si>
  <si>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</si>
  <si>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</si>
  <si>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</si>
  <si>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</si>
  <si>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</si>
  <si>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</si>
  <si>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</si>
  <si>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</si>
  <si>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</si>
  <si>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</si>
  <si>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</si>
  <si>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</si>
  <si>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</si>
  <si>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</si>
  <si>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</si>
  <si>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</si>
  <si>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</si>
  <si>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</si>
  <si>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</si>
  <si>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</si>
  <si>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</si>
  <si>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</si>
  <si>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</si>
  <si>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</si>
  <si>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</si>
  <si>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</si>
  <si>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</si>
  <si>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</si>
  <si>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</si>
  <si>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</si>
  <si>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</si>
  <si>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</si>
  <si>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</si>
  <si>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</si>
  <si>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</si>
  <si>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</si>
  <si>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</si>
  <si>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</si>
  <si>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</si>
  <si>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</si>
  <si>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</si>
  <si>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</si>
  <si>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</si>
  <si>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</si>
  <si>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</si>
  <si>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</si>
  <si>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</si>
  <si>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</si>
  <si>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</si>
  <si>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</si>
  <si>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</si>
  <si>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</si>
  <si>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</si>
  <si>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</si>
  <si>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</si>
  <si>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</si>
  <si>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</si>
  <si>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</si>
  <si>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</si>
  <si>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</si>
  <si>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</si>
  <si>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</si>
  <si>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</si>
  <si>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</si>
  <si>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</si>
  <si>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</si>
  <si>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</si>
  <si>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</si>
  <si>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</si>
  <si>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</si>
  <si>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</si>
  <si>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</si>
  <si>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</si>
  <si>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</si>
  <si>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</si>
  <si>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</si>
  <si>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</si>
  <si>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</si>
  <si>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</si>
  <si>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</si>
  <si>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</si>
  <si>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</si>
  <si>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</si>
  <si>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</si>
  <si>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</si>
  <si>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</si>
  <si>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</si>
  <si>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</si>
  <si>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</si>
  <si>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</si>
  <si>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</si>
  <si>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</si>
  <si>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</si>
  <si>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</si>
  <si>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</si>
  <si>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</si>
  <si>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</si>
  <si>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</si>
  <si>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</si>
  <si>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</si>
  <si>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</si>
  <si>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</si>
  <si>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</si>
  <si>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</si>
  <si>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</si>
  <si>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</si>
  <si>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</si>
  <si>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</si>
  <si>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</si>
  <si>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</si>
  <si>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</si>
  <si>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</si>
  <si>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</si>
  <si>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</si>
  <si>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</si>
  <si>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</si>
  <si>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</si>
  <si>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</si>
  <si>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</si>
  <si>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</si>
  <si>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</si>
  <si>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</si>
  <si>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</si>
  <si>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</si>
  <si>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</si>
  <si>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</si>
  <si>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</si>
  <si>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</si>
  <si>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</si>
  <si>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</si>
  <si>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</si>
  <si>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</si>
  <si>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</si>
  <si>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</si>
  <si>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</si>
  <si>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</si>
  <si>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</si>
  <si>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</si>
  <si>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</si>
  <si>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</si>
  <si>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</si>
  <si>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</si>
  <si>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</si>
  <si>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</si>
  <si>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</si>
  <si>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</si>
  <si>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</si>
  <si>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</si>
  <si>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</si>
  <si>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</si>
  <si>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</si>
  <si>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</si>
  <si>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</si>
  <si>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</si>
  <si>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</si>
  <si>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</si>
  <si>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</si>
  <si>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</si>
  <si>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</si>
  <si>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</si>
  <si>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</si>
  <si>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</si>
  <si>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</si>
  <si>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</si>
  <si>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</si>
  <si>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</si>
  <si>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</si>
  <si>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</si>
  <si>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</si>
  <si>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</si>
  <si>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</si>
  <si>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</si>
  <si>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</si>
  <si>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</si>
  <si>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</si>
  <si>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</si>
  <si>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</si>
  <si>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</si>
  <si>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</si>
  <si>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</si>
  <si>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</si>
  <si>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</si>
  <si>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</si>
  <si>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</si>
  <si>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</si>
  <si>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</si>
  <si>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</si>
  <si>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</si>
  <si>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</si>
  <si>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</si>
  <si>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</si>
  <si>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</si>
  <si>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</si>
  <si>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</si>
  <si>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</si>
  <si>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</si>
  <si>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</si>
  <si>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</si>
  <si>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</si>
  <si>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</si>
  <si>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</si>
  <si>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</si>
  <si>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</si>
  <si>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</si>
  <si>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</si>
  <si>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</si>
  <si>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</si>
  <si>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</si>
  <si>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</si>
  <si>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</si>
  <si>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</si>
  <si>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</si>
  <si>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</si>
  <si>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</si>
  <si>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</si>
  <si>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</si>
  <si>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</si>
  <si>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</si>
  <si>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</si>
  <si>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</si>
  <si>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</si>
  <si>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</si>
  <si>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</si>
  <si>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</si>
  <si>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</si>
  <si>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</si>
  <si>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</si>
  <si>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</si>
  <si>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</si>
  <si>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</si>
  <si>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</si>
  <si>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</si>
  <si>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</si>
  <si>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</si>
  <si>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</si>
  <si>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</si>
  <si>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</si>
  <si>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</si>
  <si>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</si>
  <si>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</si>
  <si>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</si>
  <si>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</si>
  <si>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</si>
  <si>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</si>
  <si>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</si>
  <si>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</si>
  <si>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</si>
  <si>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</si>
  <si>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</si>
  <si>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</si>
  <si>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</si>
  <si>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</si>
  <si>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</si>
  <si>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</si>
  <si>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</si>
  <si>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</si>
  <si>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</si>
  <si>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</si>
  <si>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</si>
  <si>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</si>
  <si>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</si>
  <si>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</si>
  <si>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</si>
  <si>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</si>
  <si>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</si>
  <si>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</si>
  <si>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</si>
  <si>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</si>
  <si>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</si>
  <si>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</si>
  <si>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</si>
  <si>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</si>
  <si>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</si>
  <si>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</si>
  <si>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</si>
  <si>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</si>
  <si>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</si>
  <si>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</si>
  <si>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</si>
  <si>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</si>
  <si>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</si>
  <si>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</si>
  <si>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</si>
  <si>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</si>
  <si>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</si>
  <si>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</si>
  <si>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</si>
  <si>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</si>
  <si>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</si>
  <si>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</si>
  <si>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</si>
  <si>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</si>
  <si>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</si>
  <si>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</si>
  <si>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</si>
  <si>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</si>
  <si>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</si>
  <si>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</si>
  <si>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</si>
  <si>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</si>
  <si>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</si>
  <si>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</si>
  <si>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</si>
  <si>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</si>
  <si>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</si>
  <si>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</si>
  <si>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</si>
  <si>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</si>
  <si>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</si>
  <si>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</si>
  <si>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</si>
  <si>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</si>
  <si>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</si>
  <si>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</si>
  <si>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</si>
  <si>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</si>
  <si>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</si>
  <si>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</si>
  <si>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</si>
  <si>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</si>
  <si>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</si>
  <si>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</si>
  <si>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</si>
  <si>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</si>
  <si>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</si>
  <si>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</si>
  <si>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</si>
  <si>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</si>
  <si>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</si>
  <si>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</si>
  <si>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</si>
  <si>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</si>
  <si>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</si>
  <si>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</si>
  <si>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</si>
  <si>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</si>
  <si>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</si>
  <si>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</si>
  <si>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</si>
  <si>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</si>
  <si>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</si>
  <si>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</si>
  <si>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</si>
  <si>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</si>
  <si>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</si>
  <si>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</si>
  <si>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</si>
  <si>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</si>
  <si>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</si>
  <si>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</si>
  <si>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</si>
  <si>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</si>
  <si>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</si>
  <si>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</si>
  <si>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</si>
  <si>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</si>
  <si>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</si>
  <si>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</si>
  <si>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</si>
  <si>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</si>
  <si>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</si>
  <si>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</si>
  <si>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</si>
  <si>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</si>
  <si>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</si>
  <si>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</si>
  <si>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</si>
  <si>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</si>
  <si>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</si>
  <si>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</si>
  <si>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</si>
  <si>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</si>
  <si>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</si>
  <si>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</si>
  <si>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</si>
  <si>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</si>
  <si>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</si>
  <si>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</si>
  <si>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</si>
  <si>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</si>
  <si>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</si>
  <si>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</si>
  <si>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</si>
  <si>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</si>
  <si>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</si>
  <si>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</si>
  <si>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</si>
  <si>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</si>
  <si>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</si>
  <si>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</si>
  <si>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</si>
  <si>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</si>
  <si>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</si>
  <si>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</si>
  <si>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</si>
  <si>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</si>
  <si>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</si>
  <si>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</si>
  <si>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</si>
  <si>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</si>
  <si>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</si>
  <si>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</si>
  <si>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</si>
  <si>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</si>
  <si>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</si>
  <si>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</si>
  <si>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</si>
  <si>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</si>
  <si>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</si>
  <si>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</si>
  <si>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</si>
  <si>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</si>
  <si>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</si>
  <si>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</si>
  <si>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</si>
  <si>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</si>
  <si>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</si>
  <si>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</si>
  <si>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</si>
  <si>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</si>
  <si>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</si>
  <si>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</si>
  <si>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</si>
  <si>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</si>
  <si>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</si>
  <si>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</si>
  <si>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</si>
  <si>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</si>
  <si>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</si>
  <si>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</si>
  <si>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</si>
  <si>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</si>
  <si>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</si>
  <si>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</si>
  <si>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</si>
  <si>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</si>
  <si>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</si>
  <si>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</si>
  <si>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</si>
  <si>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</si>
  <si>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</si>
  <si>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</si>
  <si>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</si>
  <si>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</si>
  <si>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</si>
  <si>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</si>
  <si>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</si>
  <si>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</si>
  <si>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</si>
  <si>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</si>
  <si>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</si>
  <si>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</si>
  <si>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</si>
  <si>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</si>
  <si>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</si>
  <si>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</si>
  <si>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</si>
  <si>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</si>
  <si>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</si>
  <si>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</si>
  <si>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</si>
  <si>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</si>
  <si>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</si>
  <si>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</si>
  <si>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</si>
  <si>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</si>
  <si>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</si>
  <si>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</si>
  <si>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</si>
  <si>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</si>
  <si>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</si>
  <si>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</si>
  <si>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</si>
  <si>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</si>
  <si>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</si>
  <si>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</si>
  <si>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</si>
  <si>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</si>
  <si>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</si>
  <si>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</si>
  <si>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</si>
  <si>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</si>
  <si>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</si>
  <si>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</si>
  <si>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</si>
  <si>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</si>
  <si>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</si>
  <si>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</si>
  <si>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</si>
  <si>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</si>
  <si>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</si>
  <si>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</si>
  <si>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</si>
  <si>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</si>
  <si>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</si>
  <si>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</si>
  <si>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</si>
  <si>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</si>
  <si>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</si>
  <si>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</si>
  <si>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</si>
  <si>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</si>
  <si>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</si>
  <si>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</si>
  <si>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</si>
  <si>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</si>
  <si>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</si>
  <si>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</si>
  <si>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</si>
  <si>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</si>
  <si>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</si>
  <si>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</si>
  <si>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</si>
  <si>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</si>
  <si>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</si>
  <si>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</si>
  <si>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</si>
  <si>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</si>
  <si>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</si>
  <si>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</si>
  <si>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</si>
  <si>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</si>
  <si>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</si>
  <si>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</si>
  <si>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</si>
  <si>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</si>
  <si>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</si>
  <si>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</si>
  <si>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</si>
  <si>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</si>
  <si>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</si>
  <si>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</si>
  <si>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</si>
  <si>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</si>
  <si>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</si>
  <si>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</si>
  <si>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</si>
  <si>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</si>
  <si>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</si>
  <si>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</si>
  <si>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</si>
  <si>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</si>
  <si>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</si>
  <si>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</si>
  <si>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</si>
  <si>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</si>
  <si>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</si>
  <si>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</si>
  <si>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</si>
  <si>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</si>
  <si>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</si>
  <si>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</si>
  <si>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</si>
  <si>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</si>
  <si>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</si>
  <si>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</si>
  <si>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</si>
  <si>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</si>
  <si>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</si>
  <si>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</si>
  <si>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</si>
  <si>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</si>
  <si>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</si>
  <si>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</si>
  <si>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</si>
  <si>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</si>
  <si>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</si>
  <si>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</si>
  <si>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</si>
  <si>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</si>
  <si>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</si>
  <si>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</si>
  <si>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</si>
  <si>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</si>
  <si>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</si>
  <si>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</si>
  <si>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</si>
  <si>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</si>
  <si>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</si>
  <si>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</si>
  <si>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</si>
  <si>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</si>
  <si>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</si>
  <si>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</si>
  <si>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</si>
  <si>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</si>
  <si>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</si>
  <si>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</si>
  <si>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</si>
  <si>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</si>
  <si>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</si>
  <si>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</si>
  <si>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</si>
  <si>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</si>
  <si>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</si>
  <si>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</si>
  <si>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</si>
  <si>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</si>
  <si>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</si>
  <si>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</si>
  <si>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</si>
  <si>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</si>
  <si>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</si>
  <si>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</si>
  <si>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</si>
  <si>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</si>
  <si>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</si>
  <si>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</si>
  <si>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</si>
  <si>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</si>
  <si>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</si>
  <si>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</si>
  <si>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</si>
  <si>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</si>
  <si>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</si>
  <si>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</si>
  <si>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</si>
  <si>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</si>
  <si>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</si>
  <si>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</si>
  <si>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</si>
  <si>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</si>
  <si>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</si>
  <si>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</si>
  <si>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</si>
  <si>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</si>
  <si>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</si>
  <si>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</si>
  <si>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</si>
  <si>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</si>
  <si>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</si>
  <si>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</si>
  <si>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</si>
  <si>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</si>
  <si>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</si>
  <si>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</si>
  <si>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</si>
  <si>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</si>
  <si>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</si>
  <si>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</si>
  <si>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</si>
  <si>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</si>
  <si>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</si>
  <si>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</si>
  <si>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</si>
  <si>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</si>
  <si>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</si>
  <si>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</si>
  <si>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</si>
  <si>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</si>
  <si>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</si>
  <si>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</si>
  <si>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</si>
  <si>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</si>
  <si>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</si>
  <si>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</si>
  <si>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</si>
  <si>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</si>
  <si>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</si>
  <si>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</si>
  <si>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</si>
  <si>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</si>
  <si>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</si>
  <si>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</si>
  <si>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</si>
  <si>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</si>
  <si>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</si>
  <si>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</si>
  <si>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</si>
  <si>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</si>
  <si>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</si>
  <si>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</si>
  <si>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</si>
  <si>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</si>
  <si>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</si>
  <si>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</si>
  <si>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</si>
  <si>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</si>
  <si>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</si>
  <si>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</si>
  <si>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</si>
  <si>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</si>
  <si>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</si>
  <si>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</si>
  <si>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</si>
  <si>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</si>
  <si>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</si>
  <si>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</si>
  <si>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</si>
  <si>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</si>
  <si>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</si>
  <si>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</si>
  <si>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</si>
  <si>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</si>
  <si>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</si>
  <si>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</si>
  <si>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</si>
  <si>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</si>
  <si>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</si>
  <si>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</si>
  <si>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</si>
  <si>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</si>
  <si>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</si>
  <si>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</si>
  <si>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</si>
  <si>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</si>
  <si>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</si>
  <si>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</si>
  <si>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</si>
  <si>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</si>
  <si>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</si>
  <si>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</si>
  <si>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</si>
  <si>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</si>
  <si>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</si>
  <si>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</si>
  <si>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</si>
  <si>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</si>
  <si>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</si>
  <si>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</si>
  <si>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</si>
  <si>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</si>
  <si>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</si>
  <si>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</si>
  <si>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</si>
  <si>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</si>
  <si>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</si>
  <si>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</si>
  <si>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</si>
  <si>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</si>
  <si>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</si>
  <si>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</si>
  <si>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</si>
  <si>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</si>
  <si>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</si>
  <si>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</si>
  <si>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</si>
  <si>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</si>
  <si>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</si>
  <si>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</si>
  <si>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</si>
  <si>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</si>
  <si>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</si>
  <si>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</si>
  <si>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</si>
  <si>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</si>
  <si>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</si>
  <si>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</si>
  <si>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</si>
  <si>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</si>
  <si>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</si>
  <si>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</si>
  <si>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</si>
  <si>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</si>
  <si>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</si>
  <si>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</si>
  <si>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</si>
  <si>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</si>
  <si>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</si>
  <si>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</si>
  <si>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</si>
  <si>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</si>
  <si>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</si>
  <si>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</si>
  <si>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</si>
  <si>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</si>
  <si>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</si>
  <si>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</si>
  <si>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</si>
  <si>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</si>
  <si>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</si>
  <si>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</si>
  <si>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</si>
  <si>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</si>
  <si>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</si>
  <si>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</si>
  <si>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</si>
  <si>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</si>
  <si>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</si>
  <si>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</si>
  <si>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</si>
  <si>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</si>
  <si>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</si>
  <si>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</si>
  <si>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</si>
  <si>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</si>
  <si>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</si>
  <si>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</si>
  <si>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</si>
  <si>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</si>
  <si>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</si>
  <si>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</si>
  <si>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</si>
  <si>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</si>
  <si>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</si>
  <si>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</si>
  <si>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</si>
  <si>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</si>
  <si>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</si>
  <si>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</si>
  <si>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</si>
  <si>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</si>
  <si>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</si>
  <si>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</si>
  <si>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</si>
  <si>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</si>
  <si>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</si>
  <si>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</si>
  <si>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</si>
  <si>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</si>
  <si>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</si>
  <si>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</si>
  <si>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</si>
  <si>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</si>
  <si>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</si>
  <si>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</si>
  <si>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</si>
  <si>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</si>
  <si>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</si>
  <si>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</si>
  <si>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</si>
  <si>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</si>
  <si>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</si>
  <si>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</si>
  <si>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</si>
  <si>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</si>
  <si>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</si>
  <si>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</si>
  <si>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</si>
  <si>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</si>
  <si>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</si>
  <si>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</si>
  <si>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</si>
  <si>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</si>
  <si>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</si>
  <si>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</si>
  <si>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</si>
  <si>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</si>
  <si>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</si>
  <si>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</si>
  <si>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</si>
  <si>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</si>
  <si>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</si>
  <si>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</si>
  <si>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</si>
  <si>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</si>
  <si>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</si>
  <si>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</si>
  <si>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</si>
  <si>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</si>
  <si>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</si>
  <si>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</si>
  <si>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</si>
  <si>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</si>
  <si>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</si>
  <si>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</si>
  <si>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</si>
  <si>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</si>
  <si>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</si>
  <si>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</si>
  <si>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</si>
  <si>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</si>
  <si>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</si>
  <si>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</si>
  <si>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</si>
  <si>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</si>
  <si>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</si>
  <si>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</si>
  <si>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</si>
  <si>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</si>
  <si>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</si>
  <si>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</si>
  <si>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</si>
  <si>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</si>
  <si>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</si>
  <si>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</si>
  <si>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</si>
  <si>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</si>
  <si>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</si>
  <si>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</si>
  <si>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</si>
  <si>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</si>
  <si>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</si>
  <si>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</si>
  <si>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</si>
  <si>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</si>
  <si>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</si>
  <si>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</si>
  <si>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</si>
  <si>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</si>
  <si>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</si>
  <si>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</si>
  <si>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</si>
  <si>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</si>
  <si>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</si>
  <si>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</si>
  <si>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</si>
  <si>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</si>
  <si>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</si>
  <si>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</si>
  <si>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</si>
  <si>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</si>
  <si>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</si>
  <si>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</si>
  <si>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</si>
  <si>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</si>
  <si>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</si>
  <si>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</si>
  <si>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</si>
  <si>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</si>
  <si>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</si>
  <si>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</si>
  <si>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</si>
  <si>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</si>
  <si>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</si>
  <si>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</si>
  <si>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</si>
  <si>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</si>
  <si>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</si>
  <si>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</si>
  <si>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</si>
  <si>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</si>
  <si>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</si>
  <si>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</si>
  <si>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</si>
  <si>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</si>
  <si>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</si>
  <si>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</si>
  <si>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</si>
  <si>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</si>
  <si>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</si>
  <si>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</si>
  <si>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</si>
  <si>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</si>
  <si>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</si>
  <si>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</si>
  <si>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</si>
  <si>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</si>
  <si>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</si>
  <si>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</si>
  <si>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</si>
  <si>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</si>
  <si>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</si>
  <si>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</si>
  <si>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</si>
  <si>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</si>
  <si>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</si>
  <si>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</si>
  <si>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</si>
  <si>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</si>
  <si>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</si>
  <si>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</si>
  <si>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</si>
  <si>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</si>
  <si>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</si>
  <si>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</si>
  <si>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</si>
  <si>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</si>
  <si>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</si>
  <si>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</si>
  <si>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</si>
  <si>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</si>
  <si>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</si>
  <si>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</si>
  <si>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</si>
  <si>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</si>
  <si>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</si>
  <si>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</si>
  <si>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</si>
  <si>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</si>
  <si>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</si>
  <si>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</si>
  <si>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</si>
  <si>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</si>
  <si>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</si>
  <si>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</si>
  <si>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</si>
  <si>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</si>
  <si>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</si>
  <si>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</si>
  <si>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</si>
  <si>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</si>
  <si>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</si>
  <si>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</si>
  <si>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</si>
  <si>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</si>
  <si>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</si>
  <si>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</si>
  <si>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</si>
  <si>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</si>
  <si>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</si>
  <si>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</si>
  <si>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</si>
  <si>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</si>
  <si>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</si>
  <si>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</si>
  <si>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</si>
  <si>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</si>
  <si>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</si>
  <si>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</si>
  <si>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</si>
  <si>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</si>
  <si>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</si>
  <si>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</si>
  <si>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</si>
  <si>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</si>
  <si>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</si>
  <si>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</si>
  <si>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</si>
  <si>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</si>
  <si>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</si>
  <si>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</si>
  <si>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</si>
  <si>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</si>
  <si>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</si>
  <si>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</si>
  <si>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</si>
  <si>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</si>
  <si>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</si>
  <si>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</si>
  <si>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</si>
  <si>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</si>
  <si>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</si>
  <si>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</si>
  <si>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</si>
  <si>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</si>
  <si>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</si>
  <si>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</si>
  <si>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</si>
  <si>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</si>
  <si>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</si>
  <si>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</si>
  <si>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</si>
  <si>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</si>
  <si>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</si>
  <si>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</si>
  <si>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</si>
  <si>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</si>
  <si>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</si>
  <si>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</si>
  <si>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</si>
  <si>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</si>
  <si>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</si>
  <si>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</si>
  <si>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</si>
  <si>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</si>
  <si>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</si>
  <si>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</si>
  <si>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</si>
  <si>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</si>
  <si>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</si>
  <si>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</si>
  <si>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</si>
  <si>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</si>
  <si>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</si>
  <si>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</si>
  <si>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</si>
  <si>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</si>
  <si>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</si>
  <si>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</si>
  <si>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</si>
  <si>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</si>
  <si>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</si>
  <si>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</si>
  <si>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</si>
  <si>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</si>
  <si>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</si>
  <si>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</si>
  <si>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</si>
  <si>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</si>
  <si>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</si>
  <si>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</si>
  <si>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</si>
  <si>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</si>
  <si>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</si>
  <si>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</si>
  <si>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</si>
  <si>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</si>
  <si>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</si>
  <si>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</si>
  <si>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</si>
  <si>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</si>
  <si>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</si>
  <si>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</si>
  <si>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</si>
  <si>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</si>
  <si>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</si>
  <si>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</si>
  <si>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</si>
  <si>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</si>
  <si>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</si>
  <si>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</si>
  <si>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</si>
  <si>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</si>
  <si>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</si>
  <si>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</si>
  <si>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</si>
  <si>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</si>
  <si>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</si>
  <si>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</si>
  <si>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</si>
  <si>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</si>
  <si>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</si>
  <si>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</si>
  <si>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</si>
  <si>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</si>
  <si>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</si>
  <si>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</si>
  <si>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</si>
  <si>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</si>
  <si>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</si>
  <si>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</si>
  <si>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</si>
  <si>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</si>
  <si>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</si>
  <si>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</si>
  <si>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</si>
  <si>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</si>
  <si>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</si>
  <si>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</si>
  <si>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</si>
  <si>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</si>
  <si>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</si>
  <si>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</si>
  <si>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</si>
  <si>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</si>
  <si>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</si>
  <si>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</si>
  <si>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</si>
  <si>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</si>
  <si>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</si>
  <si>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</si>
  <si>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</si>
  <si>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</si>
  <si>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</si>
  <si>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</si>
  <si>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</si>
  <si>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</si>
  <si>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</si>
  <si>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</si>
  <si>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</si>
  <si>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</si>
  <si>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</si>
  <si>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</si>
  <si>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</si>
  <si>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</si>
  <si>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</si>
  <si>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</si>
  <si>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</si>
  <si>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</si>
  <si>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</si>
  <si>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</si>
  <si>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</si>
  <si>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</si>
  <si>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</si>
  <si>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</si>
  <si>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</si>
  <si>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</si>
  <si>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</si>
  <si>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</si>
  <si>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</si>
  <si>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</si>
  <si>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</si>
  <si>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</si>
  <si>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</si>
  <si>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</si>
  <si>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</si>
  <si>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</si>
  <si>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</si>
  <si>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</si>
  <si>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</si>
  <si>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</si>
  <si>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</si>
  <si>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</si>
  <si>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</si>
  <si>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</si>
  <si>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</si>
  <si>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</si>
  <si>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</si>
  <si>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</si>
  <si>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</si>
  <si>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</si>
  <si>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</si>
  <si>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</si>
  <si>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</si>
  <si>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</si>
  <si>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</si>
  <si>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</si>
  <si>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</si>
  <si>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</si>
  <si>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</si>
  <si>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</si>
  <si>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</si>
  <si>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</si>
  <si>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</si>
  <si>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</si>
  <si>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</si>
  <si>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</si>
  <si>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</si>
  <si>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</si>
  <si>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</si>
  <si>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</si>
  <si>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</si>
  <si>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</si>
  <si>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</si>
  <si>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</si>
  <si>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</si>
  <si>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</si>
  <si>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</si>
  <si>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</si>
  <si>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</si>
  <si>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</si>
  <si>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</si>
  <si>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</si>
  <si>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</si>
  <si>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</si>
  <si>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</si>
  <si>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</si>
  <si>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</si>
  <si>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</si>
  <si>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</si>
  <si>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</si>
  <si>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</si>
  <si>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</si>
  <si>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</si>
  <si>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</si>
  <si>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</si>
  <si>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</si>
  <si>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</si>
  <si>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</si>
  <si>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</si>
  <si>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</si>
  <si>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</si>
  <si>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</si>
  <si>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</si>
  <si>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</si>
  <si>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</si>
  <si>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</si>
  <si>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</si>
  <si>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</si>
  <si>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</si>
  <si>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</si>
  <si>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</si>
  <si>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</si>
  <si>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</si>
  <si>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</si>
  <si>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</si>
  <si>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</si>
  <si>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</si>
  <si>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</si>
  <si>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</si>
  <si>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</si>
  <si>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</si>
  <si>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</si>
  <si>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</si>
  <si>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</si>
  <si>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</si>
  <si>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</si>
  <si>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</si>
  <si>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</si>
  <si>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</si>
  <si>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</si>
  <si>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</si>
  <si>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</si>
  <si>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</si>
  <si>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</si>
  <si>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</si>
  <si>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</si>
  <si>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</si>
  <si>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</si>
  <si>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</si>
  <si>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</si>
  <si>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</si>
  <si>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</si>
  <si>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</si>
  <si>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</si>
  <si>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</si>
  <si>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</si>
  <si>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</si>
  <si>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</si>
  <si>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</si>
  <si>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</si>
  <si>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</si>
  <si>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</si>
  <si>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</si>
  <si>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</si>
  <si>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</si>
  <si>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</si>
  <si>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</si>
  <si>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</si>
  <si>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</si>
  <si>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</si>
  <si>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</si>
  <si>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</si>
  <si>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</si>
  <si>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</si>
  <si>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</si>
  <si>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</si>
  <si>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</si>
  <si>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</si>
  <si>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</si>
  <si>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</si>
  <si>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</si>
  <si>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</si>
  <si>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</si>
  <si>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</si>
  <si>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</si>
  <si>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</si>
  <si>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</si>
  <si>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</si>
  <si>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</si>
  <si>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</si>
  <si>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</si>
  <si>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</si>
  <si>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</si>
  <si>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</si>
  <si>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</si>
  <si>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</si>
  <si>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</si>
  <si>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</si>
  <si>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</si>
  <si>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</si>
  <si>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</si>
  <si>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</si>
  <si>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</si>
  <si>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</si>
  <si>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</si>
  <si>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</si>
  <si>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</si>
  <si>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</si>
  <si>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</si>
  <si>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</si>
  <si>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</si>
  <si>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</si>
  <si>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</si>
  <si>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</si>
  <si>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</si>
  <si>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</si>
  <si>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</si>
  <si>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</si>
  <si>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</si>
  <si>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</si>
  <si>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</si>
  <si>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</si>
  <si>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</si>
  <si>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</si>
  <si>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</si>
  <si>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</si>
  <si>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</si>
  <si>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</si>
  <si>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</si>
  <si>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</si>
  <si>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</si>
  <si>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</si>
  <si>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</si>
  <si>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</si>
  <si>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</si>
  <si>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</si>
  <si>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</si>
  <si>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</si>
  <si>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</si>
  <si>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</si>
  <si>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</si>
  <si>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</si>
  <si>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</si>
  <si>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</si>
  <si>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</si>
  <si>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</si>
  <si>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</si>
  <si>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</si>
  <si>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</si>
  <si>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</si>
  <si>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</si>
  <si>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</si>
  <si>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</si>
  <si>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</si>
  <si>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</si>
  <si>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</si>
  <si>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</si>
  <si>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</si>
  <si>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</si>
  <si>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</si>
  <si>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</si>
  <si>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</si>
  <si>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</si>
  <si>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</si>
  <si>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</si>
  <si>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</si>
  <si>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</si>
  <si>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</si>
  <si>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</si>
  <si>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</si>
  <si>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</si>
  <si>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</si>
  <si>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</si>
  <si>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</si>
  <si>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</si>
  <si>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</si>
  <si>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</si>
  <si>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</si>
  <si>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</si>
  <si>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</si>
  <si>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</si>
  <si>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</si>
  <si>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</si>
  <si>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</si>
  <si>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</si>
  <si>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</si>
  <si>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</si>
  <si>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</si>
  <si>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</si>
  <si>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</si>
  <si>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</si>
  <si>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</si>
  <si>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</si>
  <si>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</si>
  <si>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</si>
  <si>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</si>
  <si>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</si>
  <si>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</si>
  <si>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</si>
  <si>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</si>
  <si>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</si>
  <si>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</si>
  <si>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</si>
  <si>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</si>
  <si>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</si>
  <si>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</si>
  <si>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</si>
  <si>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</si>
  <si>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</si>
  <si>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</si>
  <si>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</si>
  <si>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</si>
  <si>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</si>
  <si>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</si>
  <si>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</si>
  <si>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</si>
  <si>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</si>
  <si>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</si>
  <si>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</si>
  <si>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</si>
  <si>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</si>
  <si>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</si>
  <si>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</si>
  <si>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</si>
  <si>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</si>
  <si>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</si>
  <si>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</si>
  <si>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</si>
  <si>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</si>
  <si>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</si>
  <si>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</si>
  <si>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</si>
  <si>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</si>
  <si>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</si>
  <si>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</si>
  <si>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</si>
  <si>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</si>
  <si>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</si>
  <si>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</si>
  <si>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</si>
  <si>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</si>
  <si>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</si>
  <si>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</si>
  <si>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</si>
  <si>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</si>
  <si>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</si>
  <si>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</si>
  <si>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</si>
  <si>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</si>
  <si>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</si>
  <si>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</si>
  <si>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</si>
  <si>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</si>
  <si>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</si>
  <si>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</si>
  <si>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</si>
  <si>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</si>
  <si>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</si>
  <si>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</si>
  <si>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</si>
  <si>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</si>
  <si>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</si>
  <si>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</si>
  <si>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</si>
  <si>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</si>
  <si>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</si>
  <si>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</si>
  <si>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</si>
  <si>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</si>
  <si>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</si>
  <si>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</si>
  <si>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</si>
  <si>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</si>
  <si>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</si>
  <si>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</si>
  <si>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</si>
  <si>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</si>
  <si>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</si>
  <si>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</si>
  <si>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</si>
  <si>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</si>
  <si>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</si>
  <si>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</si>
  <si>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</si>
  <si>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</si>
  <si>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</si>
  <si>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</si>
  <si>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</si>
  <si>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</si>
  <si>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</si>
  <si>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</si>
  <si>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</si>
  <si>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</si>
  <si>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</si>
  <si>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</si>
  <si>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</si>
  <si>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</si>
  <si>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</si>
  <si>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</si>
  <si>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</si>
  <si>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</si>
  <si>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</si>
  <si>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</si>
  <si>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</si>
  <si>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</si>
  <si>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</si>
  <si>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</si>
  <si>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</si>
  <si>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</si>
  <si>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</si>
  <si>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</si>
  <si>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</si>
  <si>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</si>
  <si>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</si>
  <si>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</si>
  <si>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</si>
  <si>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</si>
  <si>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</si>
  <si>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</si>
  <si>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</si>
  <si>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</si>
  <si>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</si>
  <si>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</si>
  <si>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</si>
  <si>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</si>
  <si>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</si>
  <si>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</si>
  <si>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</si>
  <si>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</si>
  <si>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</si>
  <si>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</si>
  <si>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</si>
  <si>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</si>
  <si>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</si>
  <si>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</si>
  <si>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</si>
  <si>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</si>
  <si>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</si>
  <si>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</si>
  <si>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</si>
  <si>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</si>
  <si>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</si>
  <si>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</si>
  <si>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</si>
  <si>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</si>
  <si>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</si>
  <si>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</si>
  <si>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</si>
  <si>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</si>
  <si>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</si>
  <si>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</si>
  <si>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</si>
  <si>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</si>
  <si>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</si>
  <si>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</si>
  <si>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</si>
  <si>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</si>
  <si>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</si>
  <si>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</si>
  <si>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</si>
  <si>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</si>
  <si>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</si>
  <si>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</si>
  <si>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</si>
  <si>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</si>
  <si>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</si>
  <si>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</si>
  <si>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</si>
  <si>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</si>
  <si>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</si>
  <si>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</si>
  <si>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</si>
  <si>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</si>
  <si>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</si>
  <si>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</si>
  <si>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</si>
  <si>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</si>
  <si>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</si>
  <si>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</si>
  <si>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</si>
  <si>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</si>
  <si>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</si>
  <si>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</si>
  <si>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</si>
  <si>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</si>
  <si>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</si>
  <si>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</si>
  <si>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</si>
  <si>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</si>
  <si>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</si>
  <si>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</si>
  <si>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</si>
  <si>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</si>
  <si>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</si>
  <si>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</si>
  <si>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</si>
  <si>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</si>
  <si>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</si>
  <si>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</si>
  <si>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</si>
  <si>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</si>
  <si>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</si>
  <si>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</si>
  <si>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</si>
  <si>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</si>
  <si>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</si>
  <si>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</si>
  <si>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</si>
  <si>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</si>
  <si>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</si>
  <si>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</si>
  <si>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</si>
  <si>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</si>
  <si>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</si>
  <si>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</si>
  <si>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</si>
  <si>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</si>
  <si>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</si>
  <si>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</si>
  <si>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</si>
  <si>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</si>
  <si>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</si>
  <si>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</si>
  <si>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</si>
  <si>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</si>
  <si>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</si>
  <si>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</si>
  <si>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</si>
  <si>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</si>
  <si>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</si>
  <si>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</si>
  <si>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</si>
  <si>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</si>
  <si>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</si>
  <si>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</si>
  <si>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</si>
  <si>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</si>
  <si>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</si>
  <si>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</si>
  <si>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</si>
  <si>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</si>
  <si>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</si>
  <si>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</si>
  <si>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</si>
  <si>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</si>
  <si>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</si>
  <si>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</si>
  <si>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</si>
  <si>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</si>
  <si>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</si>
  <si>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</si>
  <si>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</si>
  <si>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</si>
  <si>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</si>
  <si>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</si>
  <si>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</si>
  <si>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</si>
  <si>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</si>
  <si>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</si>
  <si>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</si>
  <si>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</si>
  <si>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</si>
  <si>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</si>
  <si>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</si>
  <si>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</si>
  <si>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</si>
  <si>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</si>
  <si>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</si>
  <si>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</si>
  <si>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</si>
  <si>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</si>
  <si>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</si>
  <si>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</si>
  <si>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</si>
  <si>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</si>
  <si>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</si>
  <si>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</si>
  <si>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</si>
  <si>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</si>
  <si>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</si>
  <si>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</si>
  <si>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</si>
  <si>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</si>
  <si>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</si>
  <si>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</si>
  <si>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</si>
  <si>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</si>
  <si>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</si>
  <si>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</si>
  <si>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</si>
  <si>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</si>
  <si>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</si>
  <si>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</si>
  <si>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</si>
  <si>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</si>
  <si>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</si>
  <si>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</si>
  <si>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</si>
  <si>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</si>
  <si>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</si>
  <si>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</si>
  <si>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</si>
  <si>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</si>
  <si>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</si>
  <si>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</si>
  <si>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</si>
  <si>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</si>
  <si>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</si>
  <si>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</si>
  <si>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</si>
  <si>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</si>
  <si>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</si>
  <si>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</si>
  <si>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</si>
  <si>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</si>
  <si>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</si>
  <si>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</si>
  <si>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</si>
  <si>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</si>
  <si>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</si>
  <si>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</si>
  <si>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</si>
  <si>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</si>
  <si>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</si>
  <si>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</si>
  <si>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</si>
  <si>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</si>
  <si>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</si>
  <si>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</si>
  <si>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</si>
  <si>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</si>
  <si>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</si>
  <si>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</si>
  <si>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</si>
  <si>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</si>
  <si>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</si>
  <si>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</si>
  <si>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</si>
  <si>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</si>
  <si>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</si>
  <si>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</si>
  <si>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</si>
  <si>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</si>
  <si>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</si>
  <si>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</si>
  <si>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</si>
  <si>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</si>
  <si>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</si>
  <si>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</si>
  <si>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</si>
  <si>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</si>
  <si>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</si>
  <si>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</si>
  <si>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</si>
  <si>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</si>
  <si>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</si>
  <si>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</si>
  <si>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</si>
  <si>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</si>
  <si>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</si>
  <si>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</si>
  <si>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</si>
  <si>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</si>
  <si>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</si>
  <si>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</si>
  <si>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</si>
  <si>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</si>
  <si>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</si>
  <si>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</si>
  <si>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</si>
  <si>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</si>
  <si>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</si>
  <si>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</si>
  <si>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</si>
  <si>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</si>
  <si>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</si>
  <si>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</si>
  <si>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</si>
  <si>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</si>
  <si>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</si>
  <si>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</si>
  <si>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</si>
  <si>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</si>
  <si>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</si>
  <si>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</si>
  <si>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</si>
  <si>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</si>
  <si>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</si>
  <si>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</si>
  <si>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</si>
  <si>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</si>
  <si>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</si>
  <si>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</si>
  <si>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</si>
  <si>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</si>
  <si>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</si>
  <si>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</si>
  <si>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</si>
  <si>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</si>
  <si>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</si>
  <si>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</si>
  <si>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</si>
  <si>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</si>
  <si>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</si>
  <si>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</si>
  <si>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</si>
  <si>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</si>
  <si>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</si>
  <si>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</si>
  <si>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</si>
  <si>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</si>
  <si>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</si>
  <si>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</si>
  <si>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</si>
  <si>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</si>
  <si>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</si>
  <si>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</si>
  <si>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</si>
  <si>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</si>
  <si>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</si>
  <si>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</si>
  <si>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</si>
  <si>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</si>
  <si>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</si>
  <si>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</si>
  <si>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</si>
  <si>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</si>
  <si>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</si>
  <si>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</si>
  <si>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</si>
  <si>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</si>
  <si>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</si>
  <si>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</si>
  <si>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</si>
  <si>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</si>
  <si>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</si>
  <si>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</si>
  <si>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</si>
  <si>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</si>
  <si>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</si>
  <si>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</si>
  <si>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</si>
  <si>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</si>
  <si>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</si>
  <si>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</si>
  <si>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</si>
  <si>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</si>
  <si>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</si>
  <si>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</si>
  <si>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</si>
  <si>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</si>
  <si>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</si>
  <si>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</si>
  <si>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</si>
  <si>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</si>
  <si>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</si>
  <si>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</si>
  <si>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</si>
  <si>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</si>
  <si>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</si>
  <si>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</si>
  <si>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</si>
  <si>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</si>
  <si>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</si>
  <si>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</si>
  <si>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</si>
  <si>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</si>
  <si>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</si>
  <si>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</si>
  <si>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</si>
  <si>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</si>
  <si>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</si>
  <si>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</si>
  <si>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</si>
  <si>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</si>
  <si>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</si>
  <si>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</si>
  <si>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</si>
  <si>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</si>
  <si>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</si>
  <si>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</si>
  <si>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</si>
  <si>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</si>
  <si>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</si>
  <si>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</si>
  <si>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</si>
  <si>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</si>
  <si>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</si>
  <si>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</si>
  <si>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</si>
  <si>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</si>
  <si>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</si>
  <si>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</si>
  <si>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</si>
  <si>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</si>
  <si>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</si>
  <si>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</si>
  <si>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</si>
  <si>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</si>
  <si>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</si>
  <si>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</si>
  <si>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</si>
  <si>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</si>
  <si>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</si>
  <si>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</si>
  <si>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</si>
  <si>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</si>
  <si>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</si>
  <si>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</si>
  <si>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</si>
  <si>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</si>
  <si>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</si>
  <si>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</si>
  <si>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</si>
  <si>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</si>
  <si>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</si>
  <si>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</si>
  <si>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</si>
  <si>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</si>
  <si>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</si>
  <si>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</si>
  <si>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</si>
  <si>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</si>
  <si>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</si>
  <si>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</si>
  <si>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</si>
  <si>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</si>
  <si>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</si>
  <si>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</si>
  <si>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</si>
  <si>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</si>
  <si>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</si>
  <si>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</si>
  <si>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</si>
  <si>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</si>
  <si>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</si>
  <si>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</si>
  <si>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</si>
  <si>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</si>
  <si>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</si>
  <si>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</si>
  <si>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</si>
  <si>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</si>
  <si>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</si>
  <si>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</si>
  <si>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</si>
  <si>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</si>
  <si>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</si>
  <si>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</si>
  <si>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</si>
  <si>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</si>
  <si>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</si>
  <si>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</si>
  <si>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</si>
  <si>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</si>
  <si>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</si>
  <si>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</si>
  <si>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</si>
  <si>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</si>
  <si>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</si>
  <si>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</si>
  <si>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</si>
  <si>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</si>
  <si>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</si>
  <si>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</si>
  <si>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</si>
  <si>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</si>
  <si>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</si>
  <si>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</si>
  <si>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</si>
  <si>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</si>
  <si>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</si>
  <si>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</si>
  <si>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</si>
  <si>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</si>
  <si>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</si>
  <si>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</si>
  <si>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</si>
  <si>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</si>
  <si>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</si>
  <si>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</si>
  <si>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</si>
  <si>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</si>
  <si>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</si>
  <si>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</si>
  <si>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</si>
  <si>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</si>
  <si>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</si>
  <si>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</si>
  <si>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</si>
  <si>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</si>
  <si>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</si>
  <si>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</si>
  <si>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</si>
  <si>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</si>
  <si>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</si>
  <si>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</si>
  <si>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</si>
  <si>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</si>
  <si>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</si>
  <si>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</si>
  <si>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</si>
  <si>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</si>
  <si>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</si>
  <si>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</si>
  <si>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</si>
  <si>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</si>
  <si>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</si>
  <si>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</si>
  <si>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</si>
  <si>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</si>
  <si>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</si>
  <si>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</si>
  <si>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</si>
  <si>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</si>
  <si>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</si>
  <si>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</si>
  <si>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</si>
  <si>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</si>
  <si>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</si>
  <si>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</si>
  <si>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</si>
  <si>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</si>
  <si>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</si>
  <si>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</si>
  <si>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</si>
  <si>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</si>
  <si>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</si>
  <si>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</si>
  <si>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</si>
  <si>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</si>
  <si>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</si>
  <si>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</si>
  <si>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</si>
  <si>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</si>
  <si>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</si>
  <si>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</si>
  <si>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</si>
  <si>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</si>
  <si>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</si>
  <si>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</si>
  <si>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</si>
  <si>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</si>
  <si>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</si>
  <si>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</si>
  <si>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</si>
  <si>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</si>
  <si>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</si>
  <si>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</si>
  <si>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</si>
  <si>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</si>
  <si>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</si>
  <si>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</si>
  <si>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</si>
  <si>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</si>
  <si>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</si>
  <si>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</si>
  <si>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</si>
  <si>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</si>
  <si>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</si>
  <si>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</si>
  <si>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</si>
  <si>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</si>
  <si>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</si>
  <si>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</si>
  <si>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</si>
  <si>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</si>
  <si>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</si>
  <si>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</si>
  <si>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</si>
  <si>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</si>
  <si>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</si>
  <si>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</si>
  <si>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</si>
  <si>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</si>
  <si>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</si>
  <si>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</si>
  <si>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</si>
  <si>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</si>
  <si>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</si>
  <si>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</si>
  <si>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</si>
  <si>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</si>
  <si>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</si>
  <si>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</si>
  <si>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</si>
  <si>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</si>
  <si>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</si>
  <si>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</si>
  <si>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</si>
  <si>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</si>
  <si>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</si>
  <si>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</si>
  <si>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</si>
  <si>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</si>
  <si>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</si>
  <si>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</si>
  <si>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</si>
  <si>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</si>
  <si>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</si>
  <si>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</si>
  <si>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</si>
  <si>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</si>
  <si>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</si>
  <si>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</si>
  <si>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</si>
  <si>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</si>
  <si>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</si>
  <si>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</si>
  <si>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</si>
  <si>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</si>
  <si>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</si>
  <si>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</si>
  <si>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</si>
  <si>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</si>
  <si>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</si>
  <si>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</si>
  <si>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</si>
  <si>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</si>
  <si>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</si>
  <si>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</si>
  <si>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</si>
  <si>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</si>
  <si>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</si>
  <si>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</si>
  <si>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</si>
  <si>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</si>
  <si>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</si>
  <si>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</si>
  <si>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</si>
  <si>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</si>
  <si>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</si>
  <si>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</si>
  <si>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</si>
  <si>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</si>
  <si>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</si>
  <si>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</si>
  <si>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</si>
  <si>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</si>
  <si>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</si>
  <si>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</si>
  <si>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</si>
  <si>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</si>
  <si>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</si>
  <si>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</si>
  <si>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</si>
  <si>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</si>
  <si>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</si>
  <si>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</si>
  <si>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</si>
  <si>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</si>
  <si>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</si>
  <si>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</si>
  <si>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</si>
  <si>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</si>
  <si>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</si>
  <si>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</si>
  <si>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</si>
  <si>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</si>
  <si>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</si>
  <si>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</si>
  <si>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</si>
  <si>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</si>
  <si>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</si>
  <si>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</si>
  <si>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</si>
  <si>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</si>
  <si>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</si>
  <si>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</si>
  <si>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</si>
  <si>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</si>
  <si>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</si>
  <si>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</si>
  <si>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</si>
  <si>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</si>
  <si>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</si>
  <si>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</si>
  <si>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</si>
  <si>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</si>
  <si>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</si>
  <si>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</si>
  <si>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</si>
  <si>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</si>
  <si>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</si>
  <si>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</si>
  <si>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</si>
  <si>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</si>
  <si>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</si>
  <si>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</si>
  <si>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</si>
  <si>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</si>
  <si>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</si>
  <si>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</si>
  <si>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</si>
  <si>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</si>
  <si>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</si>
  <si>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</si>
  <si>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</si>
  <si>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</si>
  <si>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</si>
  <si>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</si>
  <si>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</si>
  <si>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</si>
  <si>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</si>
  <si>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</si>
  <si>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</si>
  <si>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</si>
  <si>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</si>
  <si>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</si>
  <si>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</si>
  <si>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</si>
  <si>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</si>
  <si>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</si>
  <si>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</si>
  <si>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</si>
  <si>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</si>
  <si>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</si>
  <si>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</si>
  <si>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</si>
  <si>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</si>
  <si>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</si>
  <si>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</si>
  <si>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</si>
  <si>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</si>
  <si>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</si>
  <si>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</si>
  <si>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</si>
  <si>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</si>
  <si>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</si>
  <si>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</si>
  <si>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</si>
  <si>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</si>
  <si>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</si>
  <si>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</si>
  <si>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</si>
  <si>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</si>
  <si>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</si>
  <si>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</si>
  <si>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</si>
  <si>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</si>
  <si>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</si>
  <si>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</si>
  <si>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</si>
  <si>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</si>
  <si>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</si>
  <si>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</si>
  <si>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</si>
  <si>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</si>
  <si>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</si>
  <si>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</si>
  <si>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</si>
  <si>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</si>
  <si>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</si>
  <si>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</si>
  <si>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</si>
  <si>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</si>
  <si>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</si>
  <si>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</si>
  <si>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</si>
  <si>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</si>
  <si>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</si>
  <si>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</si>
  <si>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</si>
  <si>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</si>
  <si>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</si>
  <si>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</si>
  <si>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</si>
  <si>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</si>
  <si>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</si>
  <si>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</si>
  <si>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</si>
  <si>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</si>
  <si>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</si>
  <si>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</si>
  <si>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</si>
  <si>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</si>
  <si>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</si>
  <si>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</si>
  <si>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</si>
  <si>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</si>
  <si>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</si>
  <si>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</si>
  <si>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</si>
  <si>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</si>
  <si>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</si>
  <si>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</si>
  <si>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</si>
  <si>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</si>
  <si>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</si>
  <si>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</si>
  <si>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</si>
  <si>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</si>
  <si>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</si>
  <si>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</si>
  <si>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</si>
  <si>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</si>
  <si>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</si>
  <si>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</si>
  <si>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</si>
  <si>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</si>
  <si>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</si>
  <si>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</si>
  <si>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</si>
  <si>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</si>
  <si>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</si>
  <si>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</si>
  <si>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</si>
  <si>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</si>
  <si>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</si>
  <si>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</si>
  <si>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</si>
  <si>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</si>
  <si>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</si>
  <si>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</si>
  <si>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</si>
  <si>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</si>
  <si>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</si>
  <si>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</si>
  <si>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</si>
  <si>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</si>
  <si>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</si>
  <si>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</si>
  <si>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</si>
  <si>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</si>
  <si>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</si>
  <si>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</si>
  <si>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</si>
  <si>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</si>
  <si>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</si>
  <si>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</si>
  <si>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</si>
  <si>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</si>
  <si>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</si>
  <si>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</si>
  <si>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</si>
  <si>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</si>
  <si>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</si>
  <si>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</si>
  <si>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</si>
  <si>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</si>
  <si>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</si>
  <si>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</si>
  <si>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</si>
  <si>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</si>
  <si>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</si>
  <si>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</si>
  <si>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</si>
  <si>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</si>
  <si>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</si>
  <si>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</si>
  <si>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</si>
  <si>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</si>
  <si>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</si>
  <si>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</si>
  <si>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</si>
  <si>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</si>
  <si>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</si>
  <si>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</si>
  <si>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</si>
  <si>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</si>
  <si>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</si>
  <si>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</si>
  <si>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</si>
  <si>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</si>
  <si>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</si>
  <si>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</si>
  <si>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</si>
  <si>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</si>
  <si>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</si>
  <si>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</si>
  <si>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</si>
  <si>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</si>
  <si>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</si>
  <si>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</si>
  <si>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</si>
  <si>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</si>
  <si>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</si>
  <si>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</si>
  <si>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</si>
  <si>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</si>
  <si>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</si>
  <si>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</si>
  <si>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</si>
  <si>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</si>
  <si>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</si>
  <si>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</si>
  <si>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</si>
  <si>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</si>
  <si>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</si>
  <si>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</si>
  <si>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</si>
  <si>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</si>
  <si>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</si>
  <si>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</si>
  <si>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</si>
  <si>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</si>
  <si>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</si>
  <si>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</si>
  <si>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</si>
  <si>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</si>
  <si>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</si>
  <si>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</si>
  <si>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</si>
  <si>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</si>
  <si>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</si>
  <si>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</si>
  <si>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</si>
  <si>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</si>
  <si>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</si>
  <si>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</si>
  <si>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</si>
  <si>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</si>
  <si>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</si>
  <si>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</si>
  <si>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</si>
  <si>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</si>
  <si>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</si>
  <si>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</si>
  <si>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</si>
  <si>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</si>
  <si>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</si>
  <si>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</si>
  <si>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</si>
  <si>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</si>
  <si>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</si>
  <si>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</si>
  <si>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</si>
  <si>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</si>
  <si>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</si>
  <si>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</si>
  <si>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</si>
  <si>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</si>
  <si>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</si>
  <si>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</si>
  <si>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</si>
  <si>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</si>
  <si>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</si>
  <si>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</si>
  <si>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</si>
  <si>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</si>
  <si>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</si>
  <si>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</si>
  <si>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</si>
  <si>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</si>
  <si>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</si>
  <si>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</si>
  <si>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</si>
  <si>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</si>
  <si>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</si>
  <si>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</si>
  <si>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</si>
  <si>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</si>
  <si>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</si>
  <si>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</si>
  <si>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</si>
  <si>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</si>
  <si>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</si>
  <si>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</si>
  <si>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</si>
  <si>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</si>
  <si>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</si>
  <si>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</si>
  <si>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</si>
  <si>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</si>
  <si>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</si>
  <si>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</si>
  <si>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</si>
  <si>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</si>
  <si>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</si>
  <si>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</si>
  <si>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</si>
  <si>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</si>
  <si>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</si>
  <si>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</si>
  <si>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</si>
  <si>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</si>
  <si>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</si>
  <si>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</si>
  <si>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</si>
  <si>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</si>
  <si>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</si>
  <si>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</si>
  <si>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</si>
  <si>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</si>
  <si>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</si>
  <si>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</si>
  <si>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</si>
  <si>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</si>
  <si>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</si>
  <si>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</si>
  <si>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</si>
  <si>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</si>
  <si>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</si>
  <si>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</si>
  <si>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</si>
  <si>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</si>
  <si>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</si>
  <si>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</si>
  <si>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</si>
  <si>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</si>
  <si>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</si>
  <si>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</si>
  <si>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</si>
  <si>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</si>
  <si>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</si>
  <si>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</si>
  <si>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</si>
  <si>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</si>
  <si>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</si>
  <si>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</si>
  <si>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</si>
  <si>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</si>
  <si>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</si>
  <si>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</si>
  <si>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</si>
  <si>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</si>
  <si>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</si>
  <si>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</si>
  <si>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</si>
  <si>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</si>
  <si>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</si>
  <si>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</si>
  <si>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</si>
  <si>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</si>
  <si>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</si>
  <si>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</si>
  <si>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</si>
  <si>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</si>
  <si>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</si>
  <si>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</si>
  <si>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</si>
  <si>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</si>
  <si>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</si>
  <si>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</si>
  <si>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</si>
  <si>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</si>
  <si>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</si>
  <si>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</si>
  <si>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</si>
  <si>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</si>
  <si>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</si>
  <si>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</si>
  <si>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</si>
  <si>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</si>
  <si>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</si>
  <si>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</si>
  <si>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</si>
  <si>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</si>
  <si>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</si>
  <si>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</si>
  <si>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</si>
  <si>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</si>
  <si>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</si>
  <si>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</si>
  <si>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</si>
  <si>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</si>
  <si>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</si>
  <si>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</si>
  <si>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</si>
  <si>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</si>
  <si>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</si>
  <si>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</si>
  <si>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</si>
  <si>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</si>
  <si>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</si>
  <si>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</si>
  <si>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</si>
  <si>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</si>
  <si>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</si>
  <si>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</si>
  <si>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</si>
  <si>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</si>
  <si>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</si>
  <si>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</si>
  <si>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</si>
  <si>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</si>
  <si>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</si>
  <si>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</si>
  <si>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</si>
  <si>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</si>
  <si>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</si>
  <si>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</si>
  <si>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</si>
  <si>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</si>
  <si>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</si>
  <si>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</si>
  <si>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</si>
  <si>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</si>
  <si>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</si>
  <si>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</si>
  <si>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</si>
  <si>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</si>
  <si>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</si>
  <si>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</si>
  <si>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</si>
  <si>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</si>
  <si>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</si>
  <si>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</si>
  <si>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</si>
  <si>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</si>
  <si>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</si>
  <si>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</si>
  <si>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</si>
  <si>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</si>
  <si>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</si>
  <si>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</si>
  <si>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</si>
  <si>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</si>
  <si>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</si>
  <si>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</si>
  <si>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</si>
  <si>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</si>
  <si>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</si>
  <si>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</si>
  <si>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</si>
  <si>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</si>
  <si>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</si>
  <si>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</si>
  <si>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</si>
  <si>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</si>
  <si>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</si>
  <si>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</si>
  <si>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</si>
  <si>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</si>
  <si>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</si>
  <si>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</si>
  <si>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</si>
  <si>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</si>
  <si>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</si>
  <si>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</si>
  <si>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</si>
  <si>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</si>
  <si>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</si>
  <si>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</si>
  <si>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</si>
  <si>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</si>
  <si>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</si>
  <si>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</si>
  <si>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</si>
  <si>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</si>
  <si>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</si>
  <si>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</si>
  <si>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</si>
  <si>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</si>
  <si>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</si>
  <si>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</si>
  <si>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</si>
  <si>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</si>
  <si>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</si>
  <si>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</si>
  <si>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</si>
  <si>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</si>
  <si>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</si>
  <si>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</si>
  <si>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</si>
  <si>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</si>
  <si>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</si>
  <si>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</si>
  <si>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</si>
  <si>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</si>
  <si>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</si>
  <si>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</si>
  <si>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</si>
  <si>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</si>
  <si>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</si>
  <si>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</si>
  <si>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</si>
  <si>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</si>
  <si>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</si>
  <si>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</si>
  <si>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</si>
  <si>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</si>
  <si>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</si>
  <si>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</si>
  <si>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</si>
  <si>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</si>
  <si>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</si>
  <si>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</si>
  <si>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</si>
  <si>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</si>
  <si>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</si>
  <si>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</si>
  <si>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</si>
  <si>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</si>
  <si>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</si>
  <si>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</si>
  <si>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</si>
  <si>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</si>
  <si>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</si>
  <si>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</si>
  <si>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</si>
  <si>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</si>
  <si>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</si>
  <si>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</si>
  <si>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</si>
  <si>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</si>
  <si>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</si>
  <si>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</si>
  <si>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</si>
  <si>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</si>
  <si>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</si>
  <si>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</si>
  <si>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</si>
  <si>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</si>
  <si>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</si>
  <si>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</si>
  <si>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</si>
  <si>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</si>
  <si>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</si>
  <si>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</si>
  <si>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</si>
  <si>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</si>
  <si>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</si>
  <si>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</si>
  <si>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</si>
  <si>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</si>
  <si>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</si>
  <si>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</si>
  <si>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</si>
  <si>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</si>
  <si>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</si>
  <si>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</si>
  <si>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</si>
  <si>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</si>
  <si>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</si>
  <si>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</si>
  <si>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</si>
  <si>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</si>
  <si>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</si>
  <si>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</si>
  <si>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</si>
  <si>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</si>
  <si>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</si>
  <si>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</si>
  <si>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</si>
  <si>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</si>
  <si>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</si>
  <si>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</si>
  <si>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</si>
  <si>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</si>
  <si>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</si>
  <si>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</si>
  <si>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</si>
  <si>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</si>
  <si>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</si>
  <si>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</si>
  <si>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</si>
  <si>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</si>
  <si>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</si>
  <si>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</si>
  <si>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</si>
  <si>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</si>
  <si>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</si>
  <si>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</si>
  <si>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</si>
  <si>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</si>
  <si>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</si>
  <si>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</si>
  <si>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</si>
  <si>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</si>
  <si>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</si>
  <si>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</si>
  <si>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</si>
  <si>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</si>
  <si>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</si>
  <si>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</si>
  <si>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</si>
  <si>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</si>
  <si>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</si>
  <si>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</si>
  <si>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</si>
  <si>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</si>
  <si>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</si>
  <si>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</si>
  <si>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</si>
  <si>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</si>
  <si>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</si>
  <si>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</si>
  <si>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</si>
  <si>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</si>
  <si>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</si>
  <si>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</si>
  <si>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</si>
  <si>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</si>
  <si>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</si>
  <si>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</si>
  <si>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</si>
  <si>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</si>
  <si>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</si>
  <si>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</si>
  <si>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</si>
  <si>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</si>
  <si>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</si>
  <si>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</si>
  <si>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</si>
  <si>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</si>
  <si>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</si>
  <si>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</si>
  <si>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</si>
  <si>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</si>
  <si>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</si>
  <si>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</si>
  <si>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</si>
  <si>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</si>
  <si>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</si>
  <si>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</si>
  <si>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</si>
  <si>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</si>
  <si>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</si>
  <si>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</si>
  <si>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</si>
  <si>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</si>
  <si>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</si>
  <si>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</si>
  <si>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</si>
  <si>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</si>
  <si>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</si>
  <si>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</si>
  <si>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</si>
  <si>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</si>
  <si>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</si>
  <si>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</si>
  <si>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</si>
  <si>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</si>
  <si>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</si>
  <si>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</si>
  <si>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</si>
  <si>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</si>
  <si>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</si>
  <si>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</si>
  <si>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</si>
  <si>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</si>
  <si>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</si>
  <si>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</si>
  <si>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</si>
  <si>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</si>
  <si>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</si>
  <si>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</si>
  <si>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</si>
  <si>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</si>
  <si>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</si>
  <si>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</si>
  <si>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</si>
  <si>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</si>
  <si>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</si>
  <si>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</si>
  <si>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</si>
  <si>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</si>
  <si>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</si>
  <si>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</si>
  <si>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</si>
  <si>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</si>
  <si>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</si>
  <si>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</si>
  <si>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</si>
  <si>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</si>
  <si>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</si>
  <si>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</si>
  <si>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</si>
  <si>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</si>
  <si>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</si>
  <si>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</si>
  <si>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</si>
  <si>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</si>
  <si>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</si>
  <si>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</si>
  <si>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</si>
  <si>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</si>
  <si>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</si>
  <si>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</si>
  <si>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</si>
  <si>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</si>
  <si>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</si>
  <si>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</si>
  <si>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</si>
  <si>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</si>
  <si>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</si>
  <si>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</si>
  <si>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</si>
  <si>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</si>
  <si>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</si>
  <si>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</si>
  <si>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</si>
  <si>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</si>
  <si>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</si>
  <si>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</si>
  <si>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</si>
  <si>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</si>
  <si>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</si>
  <si>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</si>
  <si>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</si>
  <si>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</si>
  <si>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</si>
  <si>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</si>
  <si>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</si>
  <si>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</si>
  <si>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</si>
  <si>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</si>
  <si>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</si>
  <si>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</si>
  <si>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</si>
  <si>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</si>
  <si>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</si>
  <si>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</si>
  <si>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</si>
  <si>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</si>
  <si>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</si>
  <si>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</si>
  <si>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</si>
  <si>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</si>
  <si>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</si>
  <si>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</si>
  <si>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</si>
  <si>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</si>
  <si>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</si>
  <si>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</si>
  <si>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</si>
  <si>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</si>
  <si>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</si>
  <si>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</si>
  <si>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</si>
  <si>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</si>
  <si>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</si>
  <si>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</si>
  <si>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</si>
  <si>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</si>
  <si>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</si>
  <si>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</si>
  <si>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</si>
  <si>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</si>
  <si>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</si>
  <si>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</si>
  <si>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</si>
  <si>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</si>
  <si>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</si>
  <si>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</si>
  <si>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</si>
  <si>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</si>
  <si>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</si>
  <si>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</si>
  <si>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</si>
  <si>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</si>
  <si>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</si>
  <si>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</si>
  <si>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</si>
  <si>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</si>
  <si>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</si>
  <si>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</si>
  <si>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</si>
  <si>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</si>
  <si>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</si>
  <si>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</si>
  <si>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</si>
  <si>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</si>
  <si>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</si>
  <si>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</si>
  <si>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</si>
  <si>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</si>
  <si>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</si>
  <si>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</si>
  <si>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</si>
  <si>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</si>
  <si>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</si>
  <si>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</si>
  <si>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</si>
  <si>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</si>
  <si>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</si>
  <si>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</si>
  <si>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</si>
  <si>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</si>
  <si>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</si>
  <si>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</si>
  <si>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</si>
  <si>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</si>
  <si>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</si>
  <si>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</si>
  <si>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</si>
  <si>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</si>
  <si>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</si>
  <si>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</si>
  <si>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</si>
  <si>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</si>
  <si>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</si>
  <si>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</si>
  <si>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</si>
  <si>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</si>
  <si>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</si>
  <si>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</si>
  <si>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</si>
  <si>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</si>
  <si>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</si>
  <si>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</si>
  <si>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</si>
  <si>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</si>
  <si>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</si>
  <si>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</si>
  <si>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</si>
  <si>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</si>
  <si>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</si>
  <si>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</si>
  <si>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</si>
  <si>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</si>
  <si>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</si>
  <si>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</si>
  <si>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</si>
  <si>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</si>
  <si>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</si>
  <si>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</si>
  <si>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</si>
  <si>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</si>
  <si>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</si>
  <si>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</si>
  <si>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</si>
  <si>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</si>
  <si>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</si>
  <si>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</si>
  <si>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</si>
  <si>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</si>
  <si>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</si>
  <si>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</si>
  <si>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</si>
  <si>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</si>
  <si>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</si>
  <si>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</si>
  <si>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</si>
  <si>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</si>
  <si>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</si>
  <si>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</si>
  <si>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</si>
  <si>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</si>
  <si>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</si>
  <si>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</si>
  <si>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</si>
  <si>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</si>
  <si>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</si>
  <si>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</si>
  <si>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</si>
  <si>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</si>
  <si>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</si>
  <si>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</si>
  <si>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</si>
  <si>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</si>
  <si>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</si>
  <si>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</si>
  <si>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</si>
  <si>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</si>
  <si>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</si>
  <si>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</si>
  <si>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</si>
  <si>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</si>
  <si>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</si>
  <si>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</si>
  <si>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</si>
  <si>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</si>
  <si>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</si>
  <si>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</si>
  <si>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</si>
  <si>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</si>
  <si>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</si>
  <si>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</si>
  <si>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</si>
  <si>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</si>
  <si>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</si>
  <si>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</si>
  <si>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</si>
  <si>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</si>
  <si>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</si>
  <si>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</si>
  <si>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</si>
  <si>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</si>
  <si>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</si>
  <si>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</si>
  <si>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</si>
  <si>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</si>
  <si>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</si>
  <si>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</si>
  <si>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</si>
  <si>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</si>
  <si>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</si>
  <si>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</si>
  <si>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</si>
  <si>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</si>
  <si>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</si>
  <si>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</si>
  <si>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</si>
  <si>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</si>
  <si>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</si>
  <si>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</si>
  <si>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</si>
  <si>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</si>
  <si>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</si>
  <si>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</si>
  <si>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</si>
  <si>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</si>
  <si>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</si>
  <si>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</si>
  <si>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</si>
  <si>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</si>
  <si>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</si>
  <si>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</si>
  <si>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</si>
  <si>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</si>
  <si>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</si>
  <si>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</si>
  <si>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</si>
  <si>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</si>
  <si>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</si>
  <si>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</si>
  <si>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</si>
  <si>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</si>
  <si>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</si>
  <si>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</si>
  <si>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</si>
  <si>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</si>
  <si>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</si>
  <si>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</si>
  <si>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</si>
  <si>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</si>
  <si>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</si>
  <si>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</si>
  <si>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</si>
  <si>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</si>
  <si>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</si>
  <si>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</si>
  <si>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</si>
  <si>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</si>
  <si>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</si>
  <si>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</si>
  <si>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</si>
  <si>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</si>
  <si>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</si>
  <si>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</si>
  <si>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</si>
  <si>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</si>
  <si>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</si>
  <si>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</si>
  <si>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</si>
  <si>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</si>
  <si>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</si>
  <si>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</si>
  <si>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</si>
  <si>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</si>
  <si>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</si>
  <si>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</si>
  <si>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</si>
  <si>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</si>
  <si>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</si>
  <si>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</si>
  <si>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</si>
  <si>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</si>
  <si>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</si>
  <si>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</si>
  <si>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</si>
  <si>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</si>
  <si>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</si>
  <si>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</si>
  <si>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</si>
  <si>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</si>
  <si>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</si>
  <si>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</si>
  <si>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</si>
  <si>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</si>
  <si>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</si>
  <si>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</si>
  <si>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</si>
  <si>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</si>
  <si>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</si>
  <si>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</si>
  <si>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</si>
  <si>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</si>
  <si>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</si>
  <si>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</si>
  <si>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</si>
  <si>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</si>
  <si>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</si>
  <si>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</si>
  <si>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</si>
  <si>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</si>
  <si>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</si>
  <si>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</si>
  <si>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</si>
  <si>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</si>
  <si>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</si>
  <si>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</si>
  <si>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</si>
  <si>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</si>
  <si>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</si>
  <si>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</si>
  <si>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</si>
  <si>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</si>
  <si>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</si>
  <si>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</si>
  <si>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</si>
  <si>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</si>
  <si>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</si>
  <si>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</si>
  <si>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</si>
  <si>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</si>
  <si>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</si>
  <si>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</si>
  <si>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</si>
  <si>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</si>
  <si>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</si>
  <si>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</si>
  <si>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</si>
  <si>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</si>
  <si>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</si>
  <si>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</si>
  <si>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</si>
  <si>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</si>
  <si>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</si>
  <si>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</si>
  <si>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</si>
  <si>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</si>
  <si>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</si>
  <si>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</si>
  <si>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</si>
  <si>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</si>
  <si>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</si>
  <si>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</si>
  <si>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</si>
  <si>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</si>
  <si>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</si>
  <si>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</si>
  <si>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</si>
  <si>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</si>
  <si>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</si>
  <si>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</si>
  <si>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</si>
  <si>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</si>
  <si>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</si>
  <si>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</si>
  <si>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</si>
  <si>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</si>
  <si>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</si>
  <si>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</si>
  <si>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</si>
  <si>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</si>
  <si>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</si>
  <si>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</si>
  <si>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</si>
  <si>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</si>
  <si>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</si>
  <si>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</si>
  <si>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</si>
  <si>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</si>
  <si>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</si>
  <si>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</si>
  <si>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</si>
  <si>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</si>
  <si>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</si>
  <si>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</si>
  <si>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</si>
  <si>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</si>
  <si>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</si>
  <si>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</si>
  <si>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</si>
  <si>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</si>
  <si>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</si>
  <si>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</si>
  <si>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</si>
  <si>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</si>
  <si>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</si>
  <si>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</si>
  <si>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</si>
  <si>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</si>
  <si>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</si>
  <si>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</si>
  <si>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</si>
  <si>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</si>
  <si>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</si>
  <si>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</si>
  <si>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</si>
  <si>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</si>
  <si>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</si>
  <si>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</si>
  <si>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</si>
  <si>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</si>
  <si>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</si>
  <si>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</si>
  <si>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</si>
  <si>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</si>
  <si>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</si>
  <si>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</si>
  <si>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</si>
  <si>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</si>
  <si>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</si>
  <si>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</si>
  <si>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</si>
  <si>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</si>
  <si>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</si>
  <si>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</si>
  <si>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</si>
  <si>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</si>
  <si>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</si>
  <si>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</si>
  <si>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</si>
  <si>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</si>
  <si>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</si>
  <si>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</si>
  <si>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</si>
  <si>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</si>
  <si>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</si>
  <si>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</si>
  <si>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</si>
  <si>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</si>
  <si>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</si>
  <si>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</si>
  <si>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</si>
  <si>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</si>
  <si>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</si>
  <si>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</si>
  <si>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</si>
  <si>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</si>
  <si>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</si>
  <si>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</si>
  <si>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</si>
  <si>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</si>
  <si>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</si>
  <si>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</si>
  <si>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</si>
  <si>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</si>
  <si>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</si>
  <si>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</si>
  <si>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</si>
  <si>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</si>
  <si>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</si>
  <si>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</si>
  <si>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</si>
  <si>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</si>
  <si>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</si>
  <si>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</si>
  <si>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</si>
  <si>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</si>
  <si>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</si>
  <si>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</si>
  <si>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</si>
  <si>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</si>
  <si>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</si>
  <si>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</si>
  <si>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</si>
  <si>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</si>
  <si>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</si>
  <si>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</si>
  <si>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</si>
  <si>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</si>
  <si>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</si>
  <si>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</si>
  <si>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</si>
  <si>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</si>
  <si>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</si>
  <si>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</si>
  <si>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</si>
  <si>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</si>
  <si>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</si>
  <si>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</si>
  <si>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</si>
  <si>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</si>
  <si>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</si>
  <si>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</si>
  <si>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</si>
  <si>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</si>
  <si>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</si>
  <si>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</si>
  <si>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</si>
  <si>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</si>
  <si>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</si>
  <si>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</si>
  <si>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</si>
  <si>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</si>
  <si>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</si>
  <si>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</si>
  <si>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</si>
  <si>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</si>
  <si>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</si>
  <si>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</si>
  <si>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</si>
  <si>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</si>
  <si>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</si>
  <si>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</si>
  <si>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</si>
  <si>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</si>
  <si>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</si>
  <si>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</si>
  <si>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</si>
  <si>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</si>
  <si>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</si>
  <si>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</si>
  <si>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</si>
  <si>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</si>
  <si>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</si>
  <si>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</si>
  <si>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</si>
  <si>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</si>
  <si>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</si>
  <si>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</si>
  <si>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</si>
  <si>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</si>
  <si>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</si>
  <si>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</si>
  <si>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</si>
  <si>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</si>
  <si>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</si>
  <si>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</si>
  <si>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</si>
  <si>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</si>
  <si>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</si>
  <si>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</si>
  <si>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</si>
  <si>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</si>
  <si>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</si>
  <si>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</si>
  <si>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</si>
  <si>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</si>
  <si>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</si>
  <si>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</si>
  <si>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</si>
  <si>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</si>
  <si>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</si>
  <si>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</si>
  <si>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</si>
  <si>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</si>
  <si>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</si>
  <si>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</si>
  <si>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</si>
  <si>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</si>
  <si>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</si>
  <si>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</si>
  <si>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</si>
  <si>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</si>
  <si>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</si>
  <si>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</si>
  <si>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</si>
  <si>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</si>
  <si>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</si>
  <si>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</si>
  <si>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</si>
  <si>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</si>
  <si>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</si>
  <si>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</si>
  <si>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</si>
  <si>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</si>
  <si>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</si>
  <si>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</si>
  <si>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</si>
  <si>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</si>
  <si>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</si>
  <si>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</si>
  <si>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</si>
  <si>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</si>
  <si>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</si>
  <si>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</si>
  <si>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</si>
  <si>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</si>
  <si>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</si>
  <si>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</si>
  <si>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</si>
  <si>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</si>
  <si>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</si>
  <si>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</si>
  <si>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</si>
  <si>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</si>
  <si>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</si>
  <si>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</si>
  <si>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</si>
  <si>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</si>
  <si>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</si>
  <si>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</si>
  <si>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</si>
  <si>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</si>
  <si>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</si>
  <si>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</si>
  <si>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</si>
  <si>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</si>
  <si>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</si>
  <si>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</si>
  <si>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</si>
  <si>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</si>
  <si>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</si>
  <si>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</si>
  <si>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</si>
  <si>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</si>
  <si>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</si>
  <si>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</si>
  <si>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</si>
  <si>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</si>
  <si>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</si>
  <si>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</si>
  <si>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</si>
  <si>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</si>
  <si>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</si>
  <si>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</si>
  <si>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</si>
  <si>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</si>
  <si>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</si>
  <si>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</si>
  <si>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</si>
  <si>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</si>
  <si>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</si>
  <si>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</si>
  <si>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</si>
  <si>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</si>
  <si>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</si>
  <si>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</si>
  <si>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</si>
  <si>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</si>
  <si>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</si>
  <si>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</si>
  <si>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</si>
  <si>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</si>
  <si>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</si>
  <si>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</si>
  <si>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</si>
  <si>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</si>
  <si>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</si>
  <si>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</si>
  <si>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</si>
  <si>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</si>
  <si>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</si>
  <si>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</si>
  <si>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</si>
  <si>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</si>
  <si>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</si>
  <si>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</si>
  <si>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</si>
  <si>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</si>
  <si>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</si>
  <si>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</si>
  <si>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</si>
  <si>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</si>
  <si>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</si>
  <si>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</si>
  <si>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</si>
  <si>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</si>
  <si>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</si>
  <si>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</si>
  <si>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</si>
  <si>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</si>
  <si>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</si>
  <si>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</si>
  <si>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</si>
  <si>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</si>
  <si>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</si>
  <si>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</si>
  <si>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</si>
  <si>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</si>
  <si>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</si>
  <si>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</si>
  <si>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</si>
  <si>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</si>
  <si>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</si>
  <si>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</si>
  <si>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</si>
  <si>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</si>
  <si>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</si>
  <si>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</si>
  <si>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</si>
  <si>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</si>
  <si>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</si>
  <si>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</si>
  <si>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</si>
  <si>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</si>
  <si>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</si>
  <si>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</si>
  <si>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</si>
  <si>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</si>
  <si>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</si>
  <si>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</si>
  <si>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</si>
  <si>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</si>
  <si>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</si>
  <si>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</si>
  <si>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</si>
  <si>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</si>
  <si>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</si>
  <si>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</si>
  <si>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</si>
  <si>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</si>
  <si>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</si>
  <si>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</si>
  <si>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</si>
  <si>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</si>
  <si>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</si>
  <si>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</si>
  <si>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</si>
  <si>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</si>
  <si>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</si>
  <si>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</si>
  <si>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</si>
  <si>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</si>
  <si>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</si>
  <si>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</si>
  <si>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</si>
  <si>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</si>
  <si>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</si>
  <si>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</si>
  <si>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</si>
  <si>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</si>
  <si>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</si>
  <si>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</si>
  <si>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</si>
  <si>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</si>
  <si>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</si>
  <si>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</si>
  <si>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</si>
  <si>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</si>
  <si>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</si>
  <si>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</si>
  <si>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</si>
  <si>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</si>
  <si>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</si>
  <si>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</si>
  <si>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</si>
  <si>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</si>
  <si>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</si>
  <si>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</si>
  <si>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</si>
  <si>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</si>
  <si>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</si>
  <si>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</si>
  <si>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</si>
  <si>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</si>
  <si>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</si>
  <si>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</si>
  <si>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</si>
  <si>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</si>
  <si>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</si>
  <si>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</si>
  <si>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</si>
  <si>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</si>
  <si>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</si>
  <si>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</si>
  <si>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</si>
  <si>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</si>
  <si>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</si>
  <si>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</si>
  <si>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</si>
  <si>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</si>
  <si>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</si>
  <si>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</si>
  <si>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</si>
  <si>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</si>
  <si>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</si>
  <si>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</si>
  <si>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</si>
  <si>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</si>
  <si>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</si>
  <si>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</si>
  <si>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</si>
  <si>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</si>
  <si>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</si>
  <si>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</si>
  <si>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</si>
  <si>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</si>
  <si>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</si>
  <si>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</si>
  <si>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</si>
  <si>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</si>
  <si>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</si>
  <si>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</si>
  <si>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</si>
  <si>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</si>
  <si>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</si>
  <si>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</si>
  <si>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</si>
  <si>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</si>
  <si>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</si>
  <si>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</si>
  <si>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</si>
  <si>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</si>
  <si>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</si>
  <si>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</si>
  <si>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</si>
  <si>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</si>
  <si>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</si>
  <si>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</si>
  <si>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</si>
  <si>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</si>
  <si>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</si>
  <si>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</si>
  <si>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</si>
  <si>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</si>
  <si>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</si>
  <si>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</si>
  <si>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</si>
  <si>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</si>
  <si>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</si>
  <si>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</si>
  <si>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</si>
  <si>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</si>
  <si>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</si>
  <si>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</si>
  <si>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</si>
  <si>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</si>
  <si>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</si>
  <si>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</si>
  <si>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</si>
  <si>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</si>
  <si>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</si>
  <si>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</si>
  <si>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</si>
  <si>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</si>
  <si>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</si>
  <si>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</si>
  <si>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</si>
  <si>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</si>
  <si>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</si>
  <si>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</si>
  <si>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</si>
  <si>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</si>
  <si>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</si>
  <si>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</si>
  <si>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</si>
  <si>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</si>
  <si>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</si>
  <si>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</si>
  <si>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</si>
  <si>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</si>
  <si>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</si>
  <si>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</si>
  <si>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</si>
  <si>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</si>
  <si>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</si>
  <si>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</si>
  <si>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</si>
  <si>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</si>
  <si>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</si>
  <si>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</si>
  <si>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</si>
  <si>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</si>
  <si>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</si>
  <si>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</si>
  <si>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</si>
  <si>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</si>
  <si>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</si>
  <si>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</si>
  <si>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</si>
  <si>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</si>
  <si>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</si>
  <si>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</si>
  <si>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</si>
  <si>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</si>
  <si>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</si>
  <si>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</si>
  <si>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</si>
  <si>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</si>
  <si>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</si>
  <si>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</si>
  <si>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</si>
  <si>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</si>
  <si>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</si>
  <si>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</si>
  <si>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</si>
  <si>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</si>
  <si>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</si>
  <si>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</si>
  <si>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</si>
  <si>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</si>
  <si>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</si>
  <si>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</si>
  <si>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</si>
  <si>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</si>
  <si>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</si>
  <si>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</si>
  <si>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</si>
  <si>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</si>
  <si>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</si>
  <si>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</si>
  <si>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</si>
  <si>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</si>
  <si>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</si>
  <si>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</si>
  <si>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</si>
  <si>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</si>
  <si>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</si>
  <si>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</si>
  <si>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</si>
  <si>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</si>
  <si>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</si>
  <si>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</si>
  <si>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</si>
  <si>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</si>
  <si>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</si>
  <si>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</si>
  <si>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</si>
  <si>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</si>
  <si>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</si>
  <si>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</si>
  <si>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</si>
  <si>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</si>
  <si>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</si>
  <si>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</si>
  <si>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</si>
  <si>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</si>
  <si>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</si>
  <si>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</si>
  <si>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</si>
  <si>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</si>
  <si>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</si>
  <si>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</si>
  <si>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</si>
  <si>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</si>
  <si>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</si>
  <si>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</si>
  <si>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</si>
  <si>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</si>
  <si>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</si>
  <si>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</si>
  <si>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</si>
  <si>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</si>
  <si>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</si>
  <si>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</si>
  <si>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</si>
  <si>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</si>
  <si>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</si>
  <si>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</si>
  <si>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</si>
  <si>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</si>
  <si>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</si>
  <si>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</si>
  <si>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</si>
  <si>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</si>
  <si>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</si>
  <si>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</si>
  <si>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</si>
  <si>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</si>
  <si>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</si>
  <si>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</si>
  <si>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</si>
  <si>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</si>
  <si>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</si>
  <si>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</si>
  <si>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</si>
  <si>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</si>
  <si>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</si>
  <si>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</si>
  <si>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</si>
  <si>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</si>
  <si>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</si>
  <si>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</si>
  <si>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</si>
  <si>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</si>
  <si>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</si>
  <si>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</si>
  <si>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</si>
  <si>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</si>
  <si>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</si>
  <si>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</si>
  <si>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</si>
  <si>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</si>
  <si>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</si>
  <si>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</si>
  <si>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</si>
  <si>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</si>
  <si>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</si>
  <si>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</si>
  <si>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</si>
  <si>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</si>
  <si>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</si>
  <si>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</si>
  <si>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</si>
  <si>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</si>
  <si>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</si>
  <si>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</si>
  <si>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</si>
  <si>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</si>
  <si>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</si>
  <si>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</si>
  <si>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</si>
  <si>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</si>
  <si>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</si>
  <si>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</si>
  <si>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</si>
  <si>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</si>
  <si>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</si>
  <si>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</si>
  <si>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</si>
  <si>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</si>
  <si>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</si>
  <si>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</si>
  <si>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</si>
  <si>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</si>
  <si>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</si>
  <si>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</si>
  <si>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</si>
  <si>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</si>
  <si>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</si>
  <si>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</si>
  <si>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</si>
  <si>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</si>
  <si>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</si>
  <si>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</si>
  <si>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</si>
  <si>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</si>
  <si>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</si>
  <si>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</si>
  <si>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</si>
  <si>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</si>
  <si>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</si>
  <si>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</si>
  <si>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</si>
  <si>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</si>
  <si>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</si>
  <si>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</si>
  <si>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</si>
  <si>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</si>
  <si>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</si>
  <si>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</si>
  <si>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</si>
  <si>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</si>
  <si>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</si>
  <si>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</si>
  <si>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</si>
  <si>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</si>
  <si>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</si>
  <si>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</si>
  <si>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</si>
  <si>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</si>
  <si>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</si>
  <si>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</si>
  <si>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</si>
  <si>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</si>
  <si>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</si>
  <si>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</si>
  <si>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</si>
  <si>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</si>
  <si>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</si>
  <si>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</si>
  <si>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</si>
  <si>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</si>
  <si>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</si>
  <si>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</si>
  <si>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</si>
  <si>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</si>
  <si>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</si>
  <si>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</si>
  <si>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</si>
  <si>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</si>
  <si>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</si>
  <si>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</si>
  <si>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</si>
  <si>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</si>
  <si>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</si>
  <si>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</si>
  <si>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</si>
  <si>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</si>
  <si>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</si>
  <si>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</si>
  <si>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</si>
  <si>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</si>
  <si>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</si>
  <si>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</si>
  <si>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</si>
  <si>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</si>
  <si>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</si>
  <si>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</si>
  <si>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</si>
  <si>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</si>
  <si>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</si>
  <si>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</si>
  <si>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</si>
  <si>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</si>
  <si>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</si>
  <si>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</si>
  <si>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</si>
  <si>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</si>
  <si>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</si>
  <si>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</si>
  <si>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</si>
  <si>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</si>
  <si>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</si>
  <si>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</si>
  <si>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</si>
  <si>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</si>
  <si>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</si>
  <si>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</si>
  <si>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</si>
  <si>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</si>
  <si>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</si>
  <si>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</si>
  <si>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</si>
  <si>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</si>
  <si>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</si>
  <si>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</si>
  <si>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</si>
  <si>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</si>
  <si>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</si>
  <si>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</si>
  <si>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</si>
  <si>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</si>
  <si>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</si>
  <si>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</si>
  <si>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</si>
  <si>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</si>
  <si>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</si>
  <si>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</si>
  <si>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</si>
  <si>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</si>
  <si>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</si>
  <si>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</si>
  <si>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</si>
  <si>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</si>
  <si>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</si>
  <si>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</si>
  <si>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</si>
  <si>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</si>
  <si>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</si>
  <si>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</si>
  <si>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</si>
  <si>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</si>
  <si>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</si>
  <si>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</si>
  <si>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</si>
  <si>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</si>
  <si>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</si>
  <si>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</si>
  <si>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</si>
  <si>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</si>
  <si>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</si>
  <si>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</si>
  <si>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</si>
  <si>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</si>
  <si>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</si>
  <si>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</si>
  <si>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</si>
  <si>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</si>
  <si>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</si>
  <si>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</si>
  <si>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</si>
  <si>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</si>
  <si>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</si>
  <si>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</si>
  <si>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</si>
  <si>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</si>
  <si>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</si>
  <si>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</si>
  <si>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</si>
  <si>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</si>
  <si>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</si>
  <si>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</si>
  <si>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</si>
  <si>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</si>
  <si>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</si>
  <si>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</si>
  <si>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</si>
  <si>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</si>
  <si>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</si>
  <si>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</si>
  <si>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</si>
  <si>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</si>
  <si>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</si>
  <si>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</si>
  <si>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</si>
  <si>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</si>
  <si>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</si>
  <si>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</si>
  <si>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</si>
  <si>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</si>
  <si>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</si>
  <si>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</si>
  <si>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</si>
  <si>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</si>
  <si>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</si>
  <si>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</si>
  <si>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</si>
  <si>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</si>
  <si>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</si>
  <si>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</si>
  <si>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</si>
  <si>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</si>
  <si>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</si>
  <si>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</si>
  <si>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</si>
  <si>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</si>
  <si>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</si>
  <si>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</si>
  <si>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</si>
  <si>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</si>
  <si>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</si>
  <si>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</si>
  <si>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</si>
  <si>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</si>
  <si>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</si>
  <si>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</si>
  <si>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</si>
  <si>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</si>
  <si>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</si>
  <si>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</si>
  <si>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</si>
  <si>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</si>
  <si>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</si>
  <si>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</si>
  <si>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</si>
  <si>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</si>
  <si>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</si>
  <si>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</si>
  <si>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</si>
  <si>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</si>
  <si>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</si>
  <si>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</si>
  <si>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</si>
  <si>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</si>
  <si>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</si>
  <si>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</si>
  <si>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</si>
  <si>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</si>
  <si>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</si>
  <si>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</si>
  <si>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</si>
  <si>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</si>
  <si>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</si>
  <si>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</si>
  <si>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</si>
  <si>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</si>
  <si>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</si>
  <si>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</si>
  <si>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</si>
  <si>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</si>
  <si>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</si>
  <si>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</si>
  <si>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</si>
  <si>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</si>
  <si>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</si>
  <si>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</si>
  <si>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</si>
  <si>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</si>
  <si>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</si>
  <si>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</si>
  <si>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</si>
  <si>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</si>
  <si>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</si>
  <si>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</si>
  <si>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</si>
  <si>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</si>
  <si>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</si>
  <si>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</si>
  <si>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</si>
  <si>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</si>
  <si>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</si>
  <si>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</si>
  <si>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</si>
  <si>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</si>
  <si>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</si>
  <si>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</si>
  <si>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</si>
  <si>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</si>
  <si>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</si>
  <si>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</si>
  <si>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</si>
  <si>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</si>
  <si>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</si>
  <si>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</si>
  <si>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</si>
  <si>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</si>
  <si>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</si>
  <si>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</si>
  <si>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</si>
  <si>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</si>
  <si>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</si>
  <si>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</si>
  <si>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</si>
  <si>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</si>
  <si>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</si>
  <si>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</si>
  <si>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</si>
  <si>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</si>
  <si>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</si>
  <si>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</si>
  <si>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</si>
  <si>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</si>
  <si>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</si>
  <si>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</si>
  <si>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</si>
  <si>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</si>
  <si>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</si>
  <si>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</si>
  <si>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</si>
  <si>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</si>
  <si>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</si>
  <si>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</si>
  <si>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</si>
  <si>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</si>
  <si>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</si>
  <si>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</si>
  <si>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</si>
  <si>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</si>
  <si>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</si>
  <si>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</si>
  <si>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</si>
  <si>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</si>
  <si>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</si>
  <si>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</si>
  <si>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</si>
  <si>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</si>
  <si>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</si>
  <si>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</si>
  <si>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</si>
  <si>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</si>
  <si>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</si>
  <si>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</si>
  <si>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</si>
  <si>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</si>
  <si>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</si>
  <si>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</si>
  <si>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</si>
  <si>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</si>
  <si>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</si>
  <si>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</si>
  <si>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</si>
  <si>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</si>
  <si>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</si>
  <si>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</si>
  <si>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</si>
  <si>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</si>
  <si>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</si>
  <si>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</si>
  <si>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</si>
  <si>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</si>
  <si>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</si>
  <si>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</si>
  <si>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</si>
  <si>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</si>
  <si>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</si>
  <si>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</si>
  <si>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</si>
  <si>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</si>
  <si>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</si>
  <si>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</si>
  <si>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</si>
  <si>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</si>
  <si>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</si>
  <si>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</si>
  <si>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</si>
  <si>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</si>
  <si>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</si>
  <si>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</si>
  <si>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</si>
  <si>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</si>
  <si>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</si>
  <si>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</si>
  <si>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</si>
  <si>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</si>
  <si>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</si>
  <si>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</si>
  <si>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</si>
  <si>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</si>
  <si>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</si>
  <si>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</si>
  <si>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</si>
  <si>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</si>
  <si>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</si>
  <si>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</si>
  <si>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</si>
  <si>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</si>
  <si>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</si>
  <si>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</si>
  <si>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</si>
  <si>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</si>
  <si>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</si>
  <si>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</si>
  <si>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</si>
  <si>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</si>
  <si>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</si>
  <si>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</si>
  <si>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</si>
  <si>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</si>
  <si>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</si>
  <si>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</si>
  <si>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</si>
  <si>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</si>
  <si>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</si>
  <si>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</si>
  <si>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</si>
  <si>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</si>
  <si>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</si>
  <si>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</si>
  <si>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</si>
  <si>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</si>
  <si>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</si>
  <si>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</si>
  <si>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</si>
  <si>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</si>
  <si>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</si>
  <si>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</si>
  <si>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</si>
  <si>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</si>
  <si>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</si>
  <si>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</si>
  <si>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</si>
  <si>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</si>
  <si>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</si>
  <si>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</si>
  <si>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</si>
  <si>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</si>
  <si>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</si>
  <si>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</si>
  <si>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</si>
  <si>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</si>
  <si>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</si>
  <si>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</si>
  <si>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</si>
  <si>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</si>
  <si>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</si>
  <si>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</si>
  <si>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</si>
  <si>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</si>
  <si>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</si>
  <si>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</si>
  <si>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</si>
  <si>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</si>
  <si>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</si>
  <si>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</si>
  <si>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</si>
  <si>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</si>
  <si>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</si>
  <si>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</si>
  <si>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</si>
  <si>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</si>
  <si>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</si>
  <si>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</si>
  <si>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</si>
  <si>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</si>
  <si>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</si>
  <si>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</si>
  <si>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</si>
  <si>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</si>
  <si>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</si>
  <si>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</si>
  <si>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</si>
  <si>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</si>
  <si>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</si>
  <si>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</si>
  <si>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</si>
  <si>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</si>
  <si>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</si>
  <si>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</si>
  <si>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</si>
  <si>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</si>
  <si>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</si>
  <si>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</si>
  <si>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</si>
  <si>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</si>
  <si>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</si>
  <si>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</si>
  <si>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</si>
  <si>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</si>
  <si>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</si>
  <si>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</si>
  <si>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</si>
  <si>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</si>
  <si>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</si>
  <si>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</si>
  <si>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</si>
  <si>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</si>
  <si>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</si>
  <si>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</si>
  <si>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</si>
  <si>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</si>
  <si>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</si>
  <si>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</si>
  <si>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</si>
  <si>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</si>
  <si>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</si>
  <si>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</si>
  <si>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</si>
  <si>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</si>
  <si>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</si>
  <si>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</si>
  <si>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</si>
  <si>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</si>
  <si>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</si>
  <si>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</si>
  <si>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</si>
  <si>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</si>
  <si>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</si>
  <si>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</si>
  <si>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</si>
  <si>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</si>
  <si>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</si>
  <si>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</si>
  <si>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</si>
  <si>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</si>
  <si>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</si>
  <si>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</si>
  <si>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</si>
  <si>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</si>
  <si>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</si>
  <si>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</si>
  <si>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</si>
  <si>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</si>
  <si>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</si>
  <si>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</si>
  <si>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</si>
  <si>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</si>
  <si>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</si>
  <si>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</si>
  <si>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</si>
  <si>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</si>
  <si>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</si>
  <si>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</si>
  <si>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</si>
  <si>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</si>
  <si>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</si>
  <si>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</si>
  <si>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</si>
  <si>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</si>
  <si>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</si>
  <si>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</si>
  <si>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</si>
  <si>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</si>
  <si>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</si>
  <si>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</si>
  <si>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</si>
  <si>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</si>
  <si>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</si>
  <si>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</si>
  <si>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</si>
  <si>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</si>
  <si>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</si>
  <si>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</si>
  <si>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</si>
  <si>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</si>
  <si>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</si>
  <si>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</si>
  <si>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</si>
  <si>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</si>
  <si>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</si>
  <si>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</si>
  <si>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</si>
  <si>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</si>
  <si>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</si>
  <si>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</si>
  <si>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</si>
  <si>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</si>
  <si>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</si>
  <si>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</si>
  <si>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</si>
  <si>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</si>
  <si>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</si>
  <si>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</si>
  <si>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</si>
  <si>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</si>
  <si>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</si>
  <si>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</si>
  <si>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</si>
  <si>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</si>
  <si>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</si>
  <si>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</si>
  <si>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</si>
  <si>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</si>
  <si>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</si>
  <si>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</si>
  <si>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</si>
  <si>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</si>
  <si>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</si>
  <si>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</si>
  <si>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</si>
  <si>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</si>
  <si>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</si>
  <si>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</si>
  <si>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</si>
  <si>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</si>
  <si>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</si>
  <si>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</si>
  <si>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</si>
  <si>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</si>
  <si>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</si>
  <si>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</si>
  <si>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</si>
  <si>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</si>
  <si>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</si>
  <si>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</si>
  <si>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</si>
  <si>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</si>
  <si>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</si>
  <si>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</si>
  <si>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</si>
  <si>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</si>
  <si>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</si>
  <si>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</si>
  <si>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</si>
  <si>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</si>
  <si>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</si>
  <si>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</si>
  <si>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</si>
  <si>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</si>
  <si>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</si>
  <si>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</si>
  <si>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</si>
  <si>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</si>
  <si>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</si>
  <si>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</si>
  <si>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</si>
  <si>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</si>
  <si>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</si>
  <si>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</si>
  <si>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</si>
  <si>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</si>
  <si>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</si>
  <si>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</si>
  <si>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</si>
  <si>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</si>
  <si>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</si>
  <si>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</si>
  <si>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</si>
  <si>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</si>
  <si>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</si>
  <si>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</si>
  <si>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</si>
  <si>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</si>
  <si>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</si>
  <si>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</si>
  <si>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</si>
  <si>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</si>
  <si>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</si>
  <si>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</si>
  <si>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</si>
  <si>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</si>
  <si>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</si>
  <si>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</si>
  <si>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</si>
  <si>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</si>
  <si>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</si>
  <si>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</si>
  <si>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</si>
  <si>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</si>
  <si>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</si>
  <si>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</si>
  <si>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</si>
  <si>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</si>
  <si>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</si>
  <si>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</si>
  <si>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</si>
  <si>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</si>
  <si>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</si>
  <si>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</si>
  <si>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</si>
  <si>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</si>
  <si>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</si>
  <si>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</si>
  <si>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</si>
  <si>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</si>
  <si>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</si>
  <si>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</si>
  <si>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</si>
  <si>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</si>
  <si>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</si>
  <si>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</si>
  <si>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</si>
  <si>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</si>
  <si>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</si>
  <si>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</si>
  <si>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</si>
  <si>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</si>
  <si>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</si>
  <si>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</si>
  <si>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</si>
  <si>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</si>
  <si>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</si>
  <si>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</si>
  <si>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</si>
  <si>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</si>
  <si>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</si>
  <si>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</si>
  <si>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</si>
  <si>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</si>
  <si>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</si>
  <si>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</si>
  <si>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</si>
  <si>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</si>
  <si>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</si>
  <si>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</si>
  <si>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</si>
  <si>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</si>
  <si>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</si>
  <si>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</si>
  <si>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</si>
  <si>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</si>
  <si>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</si>
  <si>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</si>
  <si>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</si>
  <si>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</si>
  <si>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</si>
  <si>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</si>
  <si>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</si>
  <si>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</si>
  <si>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</si>
  <si>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</si>
  <si>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</si>
  <si>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</si>
  <si>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</si>
  <si>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</si>
  <si>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</si>
  <si>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</si>
  <si>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</si>
  <si>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</si>
  <si>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</si>
  <si>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</si>
  <si>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</si>
  <si>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</si>
  <si>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</si>
  <si>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</si>
  <si>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</si>
  <si>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</si>
  <si>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</si>
  <si>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</si>
  <si>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</si>
  <si>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</si>
  <si>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</si>
  <si>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</si>
  <si>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</si>
  <si>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</si>
  <si>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</si>
  <si>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</si>
  <si>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</si>
  <si>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</si>
  <si>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</si>
  <si>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</si>
  <si>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</si>
  <si>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</si>
  <si>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</si>
  <si>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</si>
  <si>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</si>
  <si>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</si>
  <si>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</si>
  <si>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</si>
  <si>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</si>
  <si>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</si>
  <si>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</si>
  <si>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</si>
  <si>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</si>
  <si>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</si>
  <si>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</si>
  <si>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</si>
  <si>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</si>
  <si>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</si>
  <si>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</si>
  <si>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</si>
  <si>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</si>
  <si>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</si>
  <si>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</si>
  <si>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</si>
  <si>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</si>
  <si>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</si>
  <si>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</si>
  <si>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</si>
  <si>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</si>
  <si>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</si>
  <si>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</si>
  <si>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</si>
  <si>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</si>
  <si>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</si>
  <si>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</si>
  <si>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</si>
  <si>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</si>
  <si>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</si>
  <si>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</si>
  <si>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</si>
  <si>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</si>
  <si>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</si>
  <si>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</si>
  <si>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</si>
  <si>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</si>
  <si>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</si>
  <si>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</si>
  <si>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</si>
  <si>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</si>
  <si>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</si>
  <si>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</si>
  <si>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</si>
  <si>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</si>
  <si>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</si>
  <si>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</si>
  <si>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</si>
  <si>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</si>
  <si>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</si>
  <si>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</si>
  <si>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</si>
  <si>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</si>
  <si>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</si>
  <si>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</si>
  <si>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</si>
  <si>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</si>
  <si>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</si>
  <si>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</si>
  <si>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</si>
  <si>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</si>
  <si>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</si>
  <si>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</si>
  <si>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</si>
  <si>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</si>
  <si>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</si>
  <si>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</si>
  <si>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</si>
  <si>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</si>
  <si>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</si>
  <si>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</si>
  <si>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</si>
  <si>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</si>
  <si>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</si>
  <si>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</si>
  <si>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</si>
  <si>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</si>
  <si>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</si>
  <si>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</si>
  <si>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</si>
  <si>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</si>
  <si>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</si>
  <si>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</si>
  <si>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</si>
  <si>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</si>
  <si>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</si>
  <si>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</si>
  <si>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</si>
  <si>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</si>
  <si>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</si>
  <si>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</si>
  <si>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</si>
  <si>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</si>
  <si>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</si>
  <si>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</si>
  <si>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</si>
  <si>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</si>
  <si>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</si>
  <si>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</si>
  <si>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</si>
  <si>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</si>
  <si>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</si>
  <si>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</si>
  <si>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</si>
  <si>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</si>
  <si>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</si>
  <si>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</si>
  <si>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</si>
  <si>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</si>
  <si>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</si>
  <si>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</si>
  <si>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</si>
  <si>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</si>
  <si>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</si>
  <si>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</si>
  <si>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</si>
  <si>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</si>
  <si>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</si>
  <si>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</si>
  <si>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</si>
  <si>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</si>
  <si>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</si>
  <si>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</si>
  <si>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</si>
  <si>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</si>
  <si>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</si>
  <si>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</si>
  <si>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</si>
  <si>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</si>
  <si>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</si>
  <si>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</si>
  <si>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</si>
  <si>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</si>
  <si>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</si>
  <si>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</si>
  <si>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</si>
  <si>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</si>
  <si>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</si>
  <si>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</si>
  <si>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</si>
  <si>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</si>
  <si>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</si>
  <si>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</si>
  <si>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</si>
  <si>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</si>
  <si>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</si>
  <si>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</si>
  <si>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</si>
  <si>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</si>
  <si>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</si>
  <si>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</si>
  <si>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</si>
  <si>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</si>
  <si>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</si>
  <si>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</si>
  <si>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</si>
  <si>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</si>
  <si>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</si>
  <si>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</si>
  <si>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</si>
  <si>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</si>
  <si>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</si>
  <si>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</si>
  <si>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</si>
  <si>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</si>
  <si>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</si>
  <si>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</si>
  <si>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</si>
  <si>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</si>
  <si>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</si>
  <si>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</si>
  <si>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</si>
  <si>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</si>
  <si>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</si>
  <si>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</si>
  <si>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</si>
  <si>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</si>
  <si>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</si>
  <si>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</si>
  <si>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</si>
  <si>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</si>
  <si>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</si>
  <si>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</si>
  <si>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</si>
  <si>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</si>
  <si>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</si>
  <si>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</si>
  <si>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</si>
  <si>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</si>
  <si>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</si>
  <si>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</si>
  <si>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</si>
  <si>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</si>
  <si>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</si>
  <si>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</si>
  <si>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</si>
  <si>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</si>
  <si>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</si>
  <si>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</si>
  <si>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</si>
  <si>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</si>
  <si>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</si>
  <si>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</si>
  <si>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</si>
  <si>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</si>
  <si>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</si>
  <si>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</si>
  <si>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</si>
  <si>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</si>
  <si>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</si>
  <si>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</si>
  <si>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</si>
  <si>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</si>
  <si>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</si>
  <si>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</si>
  <si>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</si>
  <si>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</si>
  <si>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</si>
  <si>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</si>
  <si>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</si>
  <si>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</si>
  <si>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</si>
  <si>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</si>
  <si>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</si>
  <si>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</si>
  <si>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</si>
  <si>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</si>
  <si>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</si>
  <si>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</si>
  <si>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</si>
  <si>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</si>
  <si>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</si>
  <si>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</si>
  <si>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</si>
  <si>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</si>
  <si>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</si>
  <si>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</si>
  <si>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</si>
  <si>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</si>
  <si>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</si>
  <si>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</si>
  <si>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</si>
  <si>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</si>
  <si>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</si>
  <si>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</si>
  <si>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</si>
  <si>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</si>
  <si>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</si>
  <si>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</si>
  <si>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</si>
  <si>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</si>
  <si>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</si>
  <si>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</si>
  <si>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</si>
  <si>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</si>
  <si>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</si>
  <si>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</si>
  <si>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</si>
  <si>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</si>
  <si>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</si>
  <si>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</si>
  <si>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</si>
  <si>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</si>
  <si>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</si>
  <si>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</si>
  <si>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</si>
  <si>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</si>
  <si>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</si>
  <si>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</si>
  <si>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</si>
  <si>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</si>
  <si>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</si>
  <si>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</si>
  <si>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</si>
  <si>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</si>
  <si>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</si>
  <si>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</si>
  <si>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</si>
  <si>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</si>
  <si>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</si>
  <si>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</si>
  <si>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</si>
  <si>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</si>
  <si>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</si>
  <si>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</si>
  <si>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</si>
  <si>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</si>
  <si>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</si>
  <si>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</si>
  <si>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</si>
  <si>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</si>
  <si>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</si>
  <si>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</si>
  <si>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</si>
  <si>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</si>
  <si>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</si>
  <si>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</si>
  <si>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</si>
  <si>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</si>
  <si>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</si>
  <si>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</si>
  <si>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</si>
  <si>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</si>
  <si>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</si>
  <si>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</si>
  <si>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</si>
  <si>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</si>
  <si>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</si>
  <si>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</si>
  <si>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</si>
  <si>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</si>
  <si>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</si>
  <si>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</si>
  <si>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</si>
  <si>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</si>
  <si>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</si>
  <si>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</si>
  <si>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</si>
  <si>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</si>
  <si>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</si>
  <si>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</si>
  <si>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</si>
  <si>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</si>
  <si>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</si>
  <si>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</si>
  <si>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</si>
  <si>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</si>
  <si>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</si>
  <si>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</si>
  <si>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</si>
  <si>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</si>
  <si>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</si>
  <si>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</si>
  <si>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</si>
  <si>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</si>
  <si>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</si>
  <si>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</si>
  <si>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</si>
  <si>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</si>
  <si>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</si>
  <si>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</si>
  <si>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</si>
  <si>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</si>
  <si>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</si>
  <si>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</si>
  <si>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</si>
  <si>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</si>
  <si>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</si>
  <si>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</si>
  <si>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</si>
  <si>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</si>
  <si>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</si>
  <si>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</si>
  <si>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</si>
  <si>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</si>
  <si>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</si>
  <si>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</si>
  <si>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</si>
  <si>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</si>
  <si>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</si>
  <si>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</si>
  <si>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</si>
  <si>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</si>
  <si>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</si>
  <si>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</si>
  <si>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</si>
  <si>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</si>
  <si>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</si>
  <si>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</si>
  <si>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</si>
  <si>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</si>
  <si>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</si>
  <si>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</si>
  <si>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</si>
  <si>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</si>
  <si>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</si>
  <si>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</si>
  <si>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</si>
  <si>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</si>
  <si>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</si>
  <si>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</si>
  <si>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</si>
  <si>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</si>
  <si>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</si>
  <si>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</si>
  <si>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</si>
  <si>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</si>
  <si>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</si>
  <si>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</si>
  <si>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</si>
  <si>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</si>
  <si>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</si>
  <si>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</si>
  <si>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</si>
  <si>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</si>
  <si>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</si>
  <si>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</si>
  <si>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</si>
  <si>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</si>
  <si>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</si>
  <si>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</si>
  <si>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</si>
  <si>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</si>
  <si>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</si>
  <si>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</si>
  <si>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</si>
  <si>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</si>
  <si>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</si>
  <si>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</si>
  <si>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</si>
  <si>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</si>
  <si>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</si>
  <si>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</si>
  <si>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</si>
  <si>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</si>
  <si>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</si>
  <si>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</si>
  <si>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</si>
  <si>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</si>
  <si>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</si>
  <si>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</si>
  <si>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</si>
  <si>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</si>
  <si>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</si>
  <si>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</si>
  <si>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</si>
  <si>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</si>
  <si>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</si>
  <si>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</si>
  <si>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</si>
  <si>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</si>
  <si>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</si>
  <si>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</si>
  <si>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</si>
  <si>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</si>
  <si>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</si>
  <si>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</si>
  <si>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</si>
  <si>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</si>
  <si>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</si>
  <si>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</si>
  <si>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</si>
  <si>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</si>
  <si>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</si>
  <si>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</si>
  <si>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</si>
  <si>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</si>
  <si>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</si>
  <si>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</si>
  <si>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</si>
  <si>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</si>
  <si>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</si>
  <si>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</si>
  <si>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</si>
  <si>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</si>
  <si>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</si>
  <si>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</si>
  <si>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</si>
  <si>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</si>
  <si>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</si>
  <si>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</si>
  <si>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</si>
  <si>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</si>
  <si>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</si>
  <si>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</si>
  <si>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</si>
  <si>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</si>
  <si>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</si>
  <si>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</si>
  <si>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</si>
  <si>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</si>
  <si>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</si>
  <si>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</si>
  <si>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</si>
  <si>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</si>
  <si>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</si>
  <si>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</si>
  <si>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</si>
  <si>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</si>
  <si>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</si>
  <si>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</si>
  <si>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</si>
  <si>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</si>
  <si>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</si>
  <si>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</si>
  <si>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</si>
  <si>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</si>
  <si>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</si>
  <si>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</si>
  <si>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</si>
  <si>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</si>
  <si>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</si>
  <si>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</si>
  <si>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</si>
  <si>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</si>
  <si>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</si>
  <si>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</si>
  <si>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</si>
  <si>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</si>
  <si>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</si>
  <si>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</si>
  <si>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</si>
  <si>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</si>
  <si>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</si>
  <si>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</si>
  <si>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</si>
  <si>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</si>
  <si>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</si>
  <si>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</si>
  <si>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</si>
  <si>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</si>
  <si>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</si>
  <si>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</si>
  <si>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</si>
  <si>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</si>
  <si>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</si>
  <si>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</si>
  <si>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</si>
  <si>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</si>
  <si>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</si>
  <si>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</si>
  <si>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</si>
  <si>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</si>
  <si>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</si>
  <si>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</si>
  <si>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</si>
  <si>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</si>
  <si>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</si>
  <si>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</si>
  <si>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</si>
  <si>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</si>
  <si>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</si>
  <si>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</si>
  <si>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</si>
  <si>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</si>
  <si>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</si>
  <si>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</si>
  <si>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</si>
  <si>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</si>
  <si>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</si>
  <si>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</si>
  <si>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</si>
  <si>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</si>
  <si>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</si>
  <si>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</si>
  <si>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</si>
  <si>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</si>
  <si>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</si>
  <si>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</si>
  <si>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</si>
  <si>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</si>
  <si>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</si>
  <si>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</si>
  <si>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</si>
  <si>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</si>
  <si>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</si>
  <si>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</si>
  <si>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</si>
  <si>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</si>
  <si>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</si>
  <si>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</si>
  <si>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</si>
  <si>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</si>
  <si>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</si>
  <si>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</si>
  <si>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</si>
  <si>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</si>
  <si>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</si>
  <si>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</si>
  <si>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</si>
  <si>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</si>
  <si>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</si>
  <si>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</si>
  <si>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</si>
  <si>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</si>
  <si>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</si>
  <si>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</si>
  <si>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</si>
  <si>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</si>
  <si>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</si>
  <si>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</si>
  <si>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</si>
  <si>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</si>
  <si>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</si>
  <si>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</si>
  <si>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</si>
  <si>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</si>
  <si>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</si>
  <si>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</si>
  <si>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</si>
  <si>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</si>
  <si>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</si>
  <si>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</si>
  <si>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</si>
  <si>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</si>
  <si>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</si>
  <si>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</si>
  <si>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</si>
  <si>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</si>
  <si>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</si>
  <si>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</si>
  <si>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</si>
  <si>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</si>
  <si>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</si>
  <si>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</si>
  <si>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</si>
  <si>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</si>
  <si>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</si>
  <si>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</si>
  <si>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</si>
  <si>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</si>
  <si>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</si>
  <si>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</si>
  <si>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</si>
  <si>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</si>
  <si>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</si>
  <si>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</si>
  <si>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</si>
  <si>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</si>
  <si>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</si>
  <si>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</si>
  <si>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</si>
  <si>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</si>
  <si>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</si>
  <si>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</si>
  <si>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</si>
  <si>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</si>
  <si>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</si>
  <si>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</si>
  <si>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</si>
  <si>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</si>
  <si>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</si>
  <si>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</si>
  <si>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</si>
  <si>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</si>
  <si>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</si>
  <si>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</si>
  <si>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</si>
  <si>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</si>
  <si>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</si>
  <si>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</si>
  <si>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</si>
  <si>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</si>
  <si>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</si>
  <si>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</si>
  <si>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</si>
  <si>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</si>
  <si>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</si>
  <si>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</si>
  <si>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</si>
  <si>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</si>
  <si>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</si>
  <si>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</si>
  <si>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</si>
  <si>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</si>
  <si>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</si>
  <si>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</si>
  <si>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</si>
  <si>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</si>
  <si>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</si>
  <si>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</si>
  <si>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</si>
  <si>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</si>
  <si>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</si>
  <si>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</si>
  <si>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</si>
  <si>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</si>
  <si>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</si>
  <si>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</si>
  <si>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</si>
  <si>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</si>
  <si>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</si>
  <si>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</si>
  <si>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</si>
  <si>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</si>
  <si>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</si>
  <si>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</si>
  <si>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</si>
  <si>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</si>
  <si>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</si>
  <si>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</si>
  <si>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</si>
  <si>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</si>
  <si>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</si>
  <si>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</si>
  <si>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</si>
  <si>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</si>
  <si>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</si>
  <si>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</si>
  <si>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</si>
  <si>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</si>
  <si>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</si>
  <si>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</si>
  <si>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</si>
  <si>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</si>
  <si>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</si>
  <si>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</si>
  <si>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</si>
  <si>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</si>
  <si>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</si>
  <si>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</si>
  <si>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</si>
  <si>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</si>
  <si>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</si>
  <si>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</si>
  <si>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</si>
  <si>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</si>
  <si>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</si>
  <si>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</si>
  <si>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</si>
  <si>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</si>
  <si>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</si>
  <si>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</si>
  <si>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</si>
  <si>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</si>
  <si>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</si>
  <si>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</si>
  <si>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</si>
  <si>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</si>
  <si>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</si>
  <si>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</si>
  <si>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</si>
  <si>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</si>
  <si>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</si>
  <si>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</si>
  <si>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</si>
  <si>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</si>
  <si>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</si>
  <si>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</si>
  <si>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</si>
  <si>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</si>
  <si>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</si>
  <si>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</si>
  <si>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</si>
  <si>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</si>
  <si>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</si>
  <si>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</si>
  <si>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</si>
  <si>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</si>
  <si>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</si>
  <si>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</si>
  <si>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</si>
  <si>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</si>
  <si>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</si>
  <si>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</si>
  <si>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</si>
  <si>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</si>
  <si>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</si>
  <si>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</si>
  <si>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</si>
  <si>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</si>
  <si>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</si>
  <si>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</si>
  <si>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</si>
  <si>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</si>
  <si>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</si>
  <si>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</si>
  <si>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</si>
  <si>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</si>
  <si>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</si>
  <si>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</si>
  <si>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</si>
  <si>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</si>
  <si>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</si>
  <si>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</si>
  <si>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</si>
  <si>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</si>
  <si>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</si>
  <si>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</si>
  <si>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</si>
  <si>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</si>
  <si>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</si>
  <si>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</si>
  <si>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</si>
  <si>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</si>
  <si>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</si>
  <si>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</si>
  <si>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</si>
  <si>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</si>
  <si>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</si>
  <si>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</si>
  <si>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</si>
  <si>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</si>
  <si>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</si>
  <si>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</si>
  <si>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</si>
  <si>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</si>
  <si>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</si>
  <si>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</si>
  <si>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</si>
  <si>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</si>
  <si>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</si>
  <si>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</si>
  <si>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</si>
  <si>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</si>
  <si>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</si>
  <si>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</si>
  <si>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</si>
  <si>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</si>
  <si>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</si>
  <si>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</si>
  <si>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</si>
  <si>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</si>
  <si>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</si>
  <si>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</si>
  <si>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</si>
  <si>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</si>
  <si>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</si>
  <si>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</si>
  <si>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</si>
  <si>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</si>
  <si>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</si>
  <si>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</si>
  <si>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</si>
  <si>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</si>
  <si>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</si>
  <si>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</si>
  <si>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</si>
  <si>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</si>
  <si>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</si>
  <si>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</si>
  <si>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</si>
  <si>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</si>
  <si>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</si>
  <si>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</si>
  <si>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</si>
  <si>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</si>
  <si>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</si>
  <si>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</si>
  <si>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</si>
  <si>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</si>
  <si>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</si>
  <si>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</si>
  <si>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</si>
  <si>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</si>
  <si>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</si>
  <si>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</si>
  <si>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</si>
  <si>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</si>
  <si>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</si>
  <si>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</si>
  <si>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</si>
  <si>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</si>
  <si>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</si>
  <si>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</si>
  <si>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</si>
  <si>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</si>
  <si>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</si>
  <si>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</si>
  <si>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</si>
  <si>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</si>
  <si>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</si>
  <si>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</si>
  <si>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</si>
  <si>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</si>
  <si>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</si>
  <si>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</si>
  <si>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</si>
  <si>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</si>
  <si>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</si>
  <si>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</si>
  <si>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</si>
  <si>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</si>
  <si>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</si>
  <si>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</si>
  <si>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</si>
  <si>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</si>
  <si>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</si>
  <si>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</si>
  <si>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</si>
  <si>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</si>
  <si>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</si>
  <si>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</si>
  <si>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</si>
  <si>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</si>
  <si>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</si>
  <si>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</si>
  <si>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</si>
  <si>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</si>
  <si>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</si>
  <si>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</si>
  <si>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</si>
  <si>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</si>
  <si>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</si>
  <si>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</si>
  <si>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</si>
  <si>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</si>
  <si>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</si>
  <si>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</si>
  <si>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</si>
  <si>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</si>
  <si>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</si>
  <si>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</si>
  <si>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</si>
  <si>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</si>
  <si>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</si>
  <si>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</si>
  <si>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</si>
  <si>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</si>
  <si>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</si>
  <si>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</si>
  <si>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</si>
  <si>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</si>
  <si>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</si>
  <si>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</si>
  <si>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</si>
  <si>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</si>
  <si>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</si>
  <si>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</si>
  <si>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</si>
  <si>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</si>
  <si>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</si>
  <si>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</si>
  <si>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</si>
  <si>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</si>
  <si>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</si>
  <si>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</si>
  <si>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</si>
  <si>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</si>
  <si>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</si>
  <si>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</si>
  <si>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</si>
  <si>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</si>
  <si>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</si>
  <si>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</si>
  <si>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</si>
  <si>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</si>
  <si>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</si>
  <si>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</si>
  <si>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</si>
  <si>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</si>
  <si>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</si>
  <si>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</si>
  <si>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</si>
  <si>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</si>
  <si>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</si>
  <si>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</si>
  <si>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</si>
  <si>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</si>
  <si>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</si>
  <si>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</si>
  <si>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</si>
  <si>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</si>
  <si>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</si>
  <si>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</si>
  <si>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</si>
  <si>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</si>
  <si>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</si>
  <si>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</si>
  <si>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</si>
  <si>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</si>
  <si>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</si>
  <si>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</si>
  <si>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</si>
  <si>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</si>
  <si>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</si>
  <si>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</si>
  <si>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</si>
  <si>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</si>
  <si>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</si>
  <si>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</si>
  <si>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</si>
  <si>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</si>
  <si>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</si>
  <si>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</si>
  <si>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</si>
  <si>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</si>
  <si>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</si>
  <si>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</si>
  <si>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</si>
  <si>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</si>
  <si>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</si>
  <si>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</si>
  <si>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</si>
  <si>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</si>
  <si>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</si>
  <si>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</si>
  <si>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</si>
  <si>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</si>
  <si>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</si>
  <si>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</si>
  <si>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</si>
  <si>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</si>
  <si>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</si>
  <si>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</si>
  <si>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</si>
  <si>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</si>
  <si>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</si>
  <si>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</si>
  <si>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</si>
  <si>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</si>
  <si>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</si>
  <si>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</si>
  <si>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</si>
  <si>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</si>
  <si>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</si>
  <si>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</si>
  <si>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</si>
  <si>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</si>
  <si>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</si>
  <si>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</si>
  <si>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</si>
  <si>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</si>
  <si>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</si>
  <si>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</si>
  <si>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</si>
  <si>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</si>
  <si>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</si>
  <si>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</si>
  <si>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</si>
  <si>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</si>
  <si>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</si>
  <si>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</si>
  <si>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</si>
  <si>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</si>
  <si>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</si>
  <si>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</si>
  <si>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</si>
  <si>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</si>
  <si>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</si>
  <si>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</si>
  <si>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</si>
  <si>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</si>
  <si>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</si>
  <si>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</si>
  <si>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</si>
  <si>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</si>
  <si>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</si>
  <si>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</si>
  <si>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</si>
  <si>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</si>
  <si>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</si>
  <si>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</si>
  <si>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</si>
  <si>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</si>
  <si>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</si>
  <si>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</si>
  <si>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</si>
  <si>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</si>
  <si>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</si>
  <si>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</si>
  <si>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</si>
  <si>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</si>
  <si>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</si>
  <si>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</si>
  <si>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</si>
  <si>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</si>
  <si>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</si>
  <si>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</si>
  <si>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</si>
  <si>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</si>
  <si>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</si>
  <si>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</si>
  <si>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</si>
  <si>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</si>
  <si>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</si>
  <si>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</si>
  <si>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</si>
  <si>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</si>
  <si>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</si>
  <si>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</si>
  <si>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</si>
  <si>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</si>
  <si>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</si>
  <si>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</si>
  <si>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</si>
  <si>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</si>
  <si>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</si>
  <si>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</si>
  <si>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</si>
  <si>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</si>
  <si>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</si>
  <si>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</si>
  <si>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</si>
  <si>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</si>
  <si>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</si>
  <si>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</si>
  <si>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</si>
  <si>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</si>
  <si>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</si>
  <si>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</si>
  <si>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</si>
  <si>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</si>
  <si>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</si>
  <si>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</si>
  <si>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</si>
  <si>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</si>
  <si>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</si>
  <si>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</si>
  <si>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</si>
  <si>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</si>
  <si>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</si>
  <si>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</si>
  <si>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</si>
  <si>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</si>
  <si>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</si>
  <si>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</si>
  <si>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</si>
  <si>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</si>
  <si>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</si>
  <si>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</si>
  <si>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</si>
  <si>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</si>
  <si>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</si>
  <si>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</si>
  <si>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</si>
  <si>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</si>
  <si>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</si>
  <si>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</si>
  <si>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</si>
  <si>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</si>
  <si>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</si>
  <si>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</si>
  <si>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</si>
  <si>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</si>
  <si>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</si>
  <si>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</si>
  <si>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</si>
  <si>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</si>
  <si>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</si>
  <si>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</si>
  <si>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</si>
  <si>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</si>
  <si>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</si>
  <si>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</si>
  <si>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</si>
  <si>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</si>
  <si>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</si>
  <si>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</si>
  <si>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</si>
  <si>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</si>
  <si>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</si>
  <si>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</si>
  <si>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</si>
  <si>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</si>
  <si>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</si>
  <si>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</si>
  <si>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</si>
  <si>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</si>
  <si>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</si>
  <si>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</si>
  <si>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</si>
  <si>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</si>
  <si>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</si>
  <si>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</si>
  <si>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</si>
  <si>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</si>
  <si>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</si>
  <si>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</si>
  <si>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</si>
  <si>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</si>
  <si>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</si>
  <si>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</si>
  <si>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</si>
  <si>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</si>
  <si>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</si>
  <si>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</si>
  <si>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</si>
  <si>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</si>
  <si>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</si>
  <si>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</si>
  <si>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</si>
  <si>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</si>
  <si>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</si>
  <si>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</si>
  <si>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</si>
  <si>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</si>
  <si>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</si>
  <si>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</si>
  <si>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</si>
  <si>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</si>
  <si>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</si>
  <si>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</si>
  <si>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</si>
  <si>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</si>
  <si>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</si>
  <si>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</si>
  <si>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</si>
  <si>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</si>
  <si>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</si>
  <si>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</si>
  <si>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</si>
  <si>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</si>
  <si>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</si>
  <si>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</si>
  <si>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</si>
  <si>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</si>
  <si>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</si>
  <si>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</si>
  <si>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</si>
  <si>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</si>
  <si>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</si>
  <si>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</si>
  <si>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</si>
  <si>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</si>
  <si>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</si>
  <si>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</si>
  <si>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</si>
  <si>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</si>
  <si>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</si>
  <si>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</si>
  <si>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</si>
  <si>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</si>
  <si>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</si>
  <si>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</si>
  <si>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</si>
  <si>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</si>
  <si>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</si>
  <si>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</si>
  <si>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</si>
  <si>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</si>
  <si>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</si>
  <si>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</si>
  <si>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</si>
  <si>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</si>
  <si>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</si>
  <si>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</si>
  <si>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</si>
  <si>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</si>
  <si>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</si>
  <si>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</si>
  <si>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</si>
  <si>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</si>
  <si>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</si>
  <si>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</si>
  <si>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</si>
  <si>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</si>
  <si>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</si>
  <si>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</si>
  <si>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</si>
  <si>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</si>
  <si>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</si>
  <si>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</si>
  <si>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</si>
  <si>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</si>
  <si>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</si>
  <si>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</si>
  <si>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</si>
  <si>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</si>
  <si>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</si>
  <si>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</si>
  <si>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</si>
  <si>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</si>
  <si>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</si>
  <si>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</si>
  <si>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</si>
  <si>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</si>
  <si>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</si>
  <si>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</si>
  <si>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</si>
  <si>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</si>
  <si>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</si>
  <si>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</si>
  <si>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</si>
  <si>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</si>
  <si>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</si>
  <si>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</si>
  <si>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</si>
  <si>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</si>
  <si>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</si>
  <si>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</si>
  <si>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</si>
  <si>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</si>
  <si>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</si>
  <si>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</si>
  <si>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</si>
  <si>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</si>
  <si>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</si>
  <si>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</si>
  <si>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</si>
  <si>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</si>
  <si>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</si>
  <si>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</si>
  <si>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</si>
  <si>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</si>
  <si>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</si>
  <si>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</si>
  <si>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</si>
  <si>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</si>
  <si>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</si>
  <si>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</si>
  <si>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</si>
  <si>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</si>
  <si>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</si>
  <si>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</si>
  <si>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</si>
  <si>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</si>
  <si>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</si>
  <si>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</si>
  <si>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</si>
  <si>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</si>
  <si>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</si>
  <si>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</si>
  <si>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</si>
  <si>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</si>
  <si>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</si>
  <si>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</si>
  <si>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</si>
  <si>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</si>
  <si>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</si>
  <si>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</si>
  <si>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</si>
  <si>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</si>
  <si>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</si>
  <si>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</si>
  <si>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</si>
  <si>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</si>
  <si>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</si>
  <si>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</si>
  <si>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</si>
  <si>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</si>
  <si>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</si>
  <si>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</si>
  <si>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</si>
  <si>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</si>
  <si>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</si>
  <si>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</si>
  <si>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</si>
  <si>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</si>
  <si>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</si>
  <si>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</si>
  <si>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</si>
  <si>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</si>
  <si>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</si>
  <si>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</si>
  <si>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</si>
  <si>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</si>
  <si>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</si>
  <si>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</si>
  <si>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</si>
  <si>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</si>
  <si>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</si>
  <si>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</si>
  <si>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</si>
  <si>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</si>
  <si>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</si>
  <si>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</si>
  <si>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</si>
  <si>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</si>
  <si>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</si>
  <si>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</si>
  <si>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</si>
  <si>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</si>
  <si>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</si>
  <si>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</si>
  <si>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</si>
  <si>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</si>
  <si>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</si>
  <si>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</si>
  <si>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</si>
  <si>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</si>
  <si>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</si>
  <si>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</si>
  <si>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</si>
  <si>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</si>
  <si>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</si>
  <si>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</si>
  <si>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</si>
  <si>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</si>
  <si>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</si>
  <si>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</si>
  <si>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</si>
  <si>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</si>
  <si>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</si>
  <si>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</si>
  <si>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</si>
  <si>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</si>
  <si>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</si>
  <si>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</si>
  <si>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</si>
  <si>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</si>
  <si>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</si>
  <si>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</si>
  <si>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</si>
  <si>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</si>
  <si>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</si>
  <si>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</si>
  <si>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</si>
  <si>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</si>
  <si>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</si>
  <si>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</si>
  <si>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</si>
  <si>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</si>
  <si>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</si>
  <si>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</si>
  <si>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</si>
  <si>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</si>
  <si>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</si>
  <si>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</si>
  <si>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</si>
  <si>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</si>
  <si>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</si>
  <si>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</si>
  <si>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</si>
  <si>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</si>
  <si>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</si>
  <si>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</si>
  <si>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</si>
  <si>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</si>
  <si>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</si>
  <si>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</si>
  <si>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</si>
  <si>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</si>
  <si>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</si>
  <si>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</si>
  <si>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</si>
  <si>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</si>
  <si>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</si>
  <si>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</si>
  <si>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</si>
  <si>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</si>
  <si>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</si>
  <si>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</si>
  <si>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</si>
  <si>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</si>
  <si>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</si>
  <si>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</si>
  <si>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</si>
  <si>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</si>
  <si>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</si>
  <si>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</si>
  <si>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</si>
  <si>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</si>
  <si>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</si>
  <si>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</si>
  <si>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</si>
  <si>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</si>
  <si>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</si>
  <si>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</si>
  <si>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</si>
  <si>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</si>
  <si>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</si>
  <si>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</si>
  <si>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</si>
  <si>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</si>
  <si>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</si>
  <si>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</si>
  <si>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</si>
  <si>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</si>
  <si>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</si>
  <si>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</si>
  <si>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</si>
  <si>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</si>
  <si>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</si>
  <si>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</si>
  <si>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</si>
  <si>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</si>
  <si>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</si>
  <si>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</si>
  <si>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</si>
  <si>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</si>
  <si>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</si>
  <si>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</si>
  <si>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</si>
  <si>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</si>
  <si>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</si>
  <si>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</si>
  <si>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</si>
  <si>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</si>
  <si>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</si>
  <si>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</si>
  <si>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</si>
  <si>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</si>
  <si>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</si>
  <si>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</si>
  <si>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</si>
  <si>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</si>
  <si>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</si>
  <si>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</si>
  <si>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</si>
  <si>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</si>
  <si>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</si>
  <si>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</si>
  <si>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</si>
  <si>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</si>
  <si>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</si>
  <si>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</si>
  <si>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</si>
  <si>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</si>
  <si>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</si>
  <si>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</si>
  <si>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</si>
  <si>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</si>
  <si>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</si>
  <si>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</si>
  <si>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</si>
  <si>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</si>
  <si>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</si>
  <si>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</si>
  <si>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</si>
  <si>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</si>
  <si>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</si>
  <si>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</si>
  <si>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</si>
  <si>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</si>
  <si>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</si>
  <si>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</si>
  <si>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</si>
  <si>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</si>
  <si>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</si>
  <si>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</si>
  <si>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</si>
  <si>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</si>
  <si>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</si>
  <si>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</si>
  <si>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</si>
  <si>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</si>
  <si>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</si>
  <si>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</si>
  <si>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</si>
  <si>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</si>
  <si>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</si>
  <si>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</si>
  <si>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</si>
  <si>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</si>
  <si>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</si>
  <si>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</si>
  <si>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</si>
  <si>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</si>
  <si>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</si>
  <si>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</si>
  <si>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</si>
  <si>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</si>
  <si>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</si>
  <si>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</si>
  <si>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</si>
  <si>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</si>
  <si>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</si>
  <si>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</si>
  <si>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</si>
  <si>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</si>
  <si>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</si>
  <si>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</si>
  <si>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</si>
  <si>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</si>
  <si>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</si>
  <si>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</si>
  <si>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</si>
  <si>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</si>
  <si>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</si>
  <si>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</si>
  <si>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</si>
  <si>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</si>
  <si>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</si>
  <si>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</si>
  <si>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</si>
  <si>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</si>
  <si>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</si>
  <si>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</si>
  <si>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</si>
  <si>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</si>
  <si>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</si>
  <si>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</si>
  <si>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</si>
  <si>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</si>
  <si>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</si>
  <si>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</si>
  <si>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</si>
  <si>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</si>
  <si>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</si>
  <si>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</si>
  <si>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</si>
  <si>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</si>
  <si>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</si>
  <si>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</si>
  <si>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</si>
  <si>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</si>
  <si>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</si>
  <si>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</si>
  <si>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</si>
  <si>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</si>
  <si>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</si>
  <si>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</si>
  <si>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</si>
  <si>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</si>
  <si>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</si>
  <si>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</si>
  <si>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</si>
  <si>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</si>
  <si>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</si>
  <si>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</si>
  <si>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</si>
  <si>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</si>
  <si>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</si>
  <si>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</si>
  <si>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</si>
  <si>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</si>
  <si>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</si>
  <si>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</si>
  <si>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</si>
  <si>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</si>
  <si>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</si>
  <si>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</si>
  <si>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</si>
  <si>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</si>
  <si>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</si>
  <si>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</si>
  <si>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</si>
  <si>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</si>
  <si>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</si>
  <si>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</si>
  <si>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</si>
  <si>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</si>
  <si>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</si>
  <si>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</si>
  <si>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</si>
  <si>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</si>
  <si>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</si>
  <si>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</si>
  <si>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</si>
  <si>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</si>
  <si>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</si>
  <si>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</si>
  <si>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</si>
  <si>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</si>
  <si>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</si>
  <si>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</si>
  <si>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</si>
  <si>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</si>
  <si>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</si>
  <si>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</si>
  <si>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</si>
  <si>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</si>
  <si>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</si>
  <si>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</si>
  <si>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</si>
  <si>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</si>
  <si>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</si>
  <si>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</si>
  <si>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</si>
  <si>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</si>
  <si>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</si>
  <si>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</si>
  <si>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</si>
  <si>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</si>
  <si>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</si>
  <si>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</si>
  <si>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</si>
  <si>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</si>
  <si>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</si>
  <si>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</si>
  <si>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</si>
  <si>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</si>
  <si>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</si>
  <si>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</si>
  <si>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</si>
  <si>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</si>
  <si>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</si>
  <si>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</si>
  <si>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</si>
  <si>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</si>
  <si>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</si>
  <si>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</si>
  <si>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</si>
  <si>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</si>
  <si>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</si>
  <si>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</si>
  <si>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</si>
  <si>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</si>
  <si>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</si>
  <si>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</si>
  <si>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</si>
  <si>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</si>
  <si>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</si>
  <si>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</si>
  <si>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</si>
  <si>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</si>
  <si>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</si>
  <si>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</si>
  <si>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</si>
  <si>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</si>
  <si>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</si>
  <si>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</si>
  <si>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</si>
  <si>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</si>
  <si>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</si>
  <si>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</si>
  <si>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</si>
  <si>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</si>
  <si>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</si>
  <si>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</si>
  <si>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</si>
  <si>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</si>
  <si>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</si>
  <si>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</si>
  <si>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</si>
  <si>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</si>
  <si>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</si>
  <si>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</si>
  <si>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</si>
  <si>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</si>
  <si>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</si>
  <si>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</si>
  <si>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</si>
  <si>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</si>
  <si>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</si>
  <si>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</si>
  <si>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</si>
  <si>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</si>
  <si>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</si>
  <si>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</si>
  <si>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</si>
  <si>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</si>
  <si>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</si>
  <si>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</si>
  <si>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</si>
  <si>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</si>
  <si>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</si>
  <si>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</si>
  <si>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</si>
  <si>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</si>
  <si>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</si>
  <si>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</si>
  <si>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</si>
  <si>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</si>
  <si>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</si>
  <si>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</si>
  <si>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</si>
  <si>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</si>
  <si>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</si>
  <si>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</si>
  <si>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</si>
  <si>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</si>
  <si>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</si>
  <si>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</si>
  <si>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</si>
  <si>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</si>
  <si>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</si>
  <si>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</si>
  <si>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</si>
  <si>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</si>
  <si>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</si>
  <si>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</si>
  <si>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</si>
  <si>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</si>
  <si>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</si>
  <si>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</si>
  <si>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</si>
  <si>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</si>
  <si>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</si>
  <si>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</si>
  <si>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</si>
  <si>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</si>
  <si>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</si>
  <si>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</si>
  <si>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</si>
  <si>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</si>
  <si>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</si>
  <si>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</si>
  <si>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</si>
  <si>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</si>
  <si>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</si>
  <si>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</si>
  <si>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</si>
  <si>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</si>
  <si>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</si>
  <si>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</si>
  <si>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</si>
  <si>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</si>
  <si>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</si>
  <si>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</si>
  <si>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</si>
  <si>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</si>
  <si>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</si>
  <si>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</si>
  <si>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</si>
  <si>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</si>
  <si>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</si>
  <si>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</si>
  <si>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</si>
  <si>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</si>
  <si>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</si>
  <si>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</si>
  <si>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</si>
  <si>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</si>
  <si>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</si>
  <si>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</si>
  <si>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</si>
  <si>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</si>
  <si>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</si>
  <si>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</si>
  <si>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</si>
  <si>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</si>
  <si>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</si>
  <si>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</si>
  <si>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</si>
  <si>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</si>
  <si>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</si>
  <si>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</si>
  <si>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</si>
  <si>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</si>
  <si>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</si>
  <si>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</si>
  <si>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</si>
  <si>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</si>
  <si>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</si>
  <si>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</si>
  <si>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</si>
  <si>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</si>
  <si>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</si>
  <si>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</si>
  <si>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</si>
  <si>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</si>
  <si>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</si>
  <si>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</si>
  <si>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</si>
  <si>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</si>
  <si>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</si>
  <si>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</si>
  <si>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</si>
  <si>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</si>
  <si>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</si>
  <si>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</si>
  <si>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</si>
  <si>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</si>
  <si>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</si>
  <si>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</si>
  <si>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</si>
  <si>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</si>
  <si>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</si>
  <si>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</si>
  <si>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</si>
  <si>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</si>
  <si>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</si>
  <si>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</si>
  <si>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</si>
  <si>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</si>
  <si>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</si>
  <si>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</si>
  <si>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</si>
  <si>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</si>
  <si>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</si>
  <si>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</si>
  <si>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</si>
  <si>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</si>
  <si>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</si>
  <si>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</si>
  <si>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</si>
  <si>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</si>
  <si>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</si>
  <si>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</si>
  <si>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</si>
  <si>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</si>
  <si>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</si>
  <si>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</si>
  <si>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</si>
  <si>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</si>
  <si>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</si>
  <si>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</si>
  <si>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</si>
  <si>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</si>
  <si>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</si>
  <si>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</si>
  <si>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</si>
  <si>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</si>
  <si>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</si>
  <si>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</si>
  <si>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</si>
  <si>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</si>
  <si>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</si>
  <si>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</si>
  <si>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</si>
  <si>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</si>
  <si>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</si>
  <si>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</si>
  <si>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</si>
  <si>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</si>
  <si>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</si>
  <si>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</si>
  <si>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</si>
  <si>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</si>
  <si>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</si>
  <si>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</si>
  <si>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</si>
  <si>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</si>
  <si>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</si>
  <si>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</si>
  <si>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</si>
  <si>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</si>
  <si>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</si>
  <si>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</si>
  <si>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</si>
  <si>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</si>
  <si>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</si>
  <si>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</si>
  <si>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</si>
  <si>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</si>
  <si>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</si>
  <si>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</si>
  <si>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</si>
  <si>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</si>
  <si>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</si>
  <si>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</si>
  <si>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</si>
  <si>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</si>
  <si>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</si>
  <si>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</si>
  <si>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</si>
  <si>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</si>
  <si>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</si>
  <si>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</si>
  <si>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</si>
  <si>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</si>
  <si>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</si>
  <si>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</si>
  <si>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</si>
  <si>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</si>
  <si>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</si>
  <si>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</si>
  <si>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</si>
  <si>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</si>
  <si>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</si>
  <si>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</si>
  <si>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</si>
  <si>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</si>
  <si>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</si>
  <si>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</si>
  <si>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</si>
  <si>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</si>
  <si>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</si>
  <si>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</si>
  <si>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</si>
  <si>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</si>
  <si>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</si>
  <si>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</si>
  <si>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</si>
  <si>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</si>
  <si>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</si>
  <si>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</si>
  <si>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</si>
  <si>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</si>
  <si>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</si>
  <si>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</si>
  <si>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</si>
  <si>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</si>
  <si>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</si>
  <si>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</si>
  <si>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</si>
  <si>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</si>
  <si>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</si>
  <si>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</si>
  <si>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</si>
  <si>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</si>
  <si>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</si>
  <si>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</si>
  <si>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</si>
  <si>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</si>
  <si>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</si>
  <si>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</si>
  <si>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</si>
  <si>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</si>
  <si>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</si>
  <si>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</si>
  <si>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</si>
  <si>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</si>
  <si>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</si>
  <si>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</si>
  <si>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</si>
  <si>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</si>
  <si>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</si>
  <si>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</si>
  <si>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</si>
  <si>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</si>
  <si>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</si>
  <si>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</si>
  <si>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</si>
  <si>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</si>
  <si>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</si>
  <si>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</si>
  <si>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</si>
  <si>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</si>
  <si>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</si>
  <si>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</si>
  <si>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</si>
  <si>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</si>
  <si>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</si>
  <si>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</si>
  <si>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</si>
  <si>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</si>
  <si>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</si>
  <si>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</si>
  <si>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</si>
  <si>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</si>
  <si>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</si>
  <si>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</si>
  <si>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</si>
  <si>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</si>
  <si>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</si>
  <si>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</si>
  <si>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</si>
  <si>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</si>
  <si>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</si>
  <si>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</si>
  <si>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</si>
  <si>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</si>
  <si>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</si>
  <si>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</si>
  <si>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</si>
  <si>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</si>
  <si>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</si>
  <si>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</si>
  <si>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</si>
  <si>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</si>
  <si>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</si>
  <si>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</si>
  <si>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</si>
  <si>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</si>
  <si>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</si>
  <si>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</si>
  <si>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</si>
  <si>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</si>
  <si>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</si>
  <si>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</si>
  <si>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</si>
  <si>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</si>
  <si>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</si>
  <si>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</si>
  <si>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</si>
  <si>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</si>
  <si>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</si>
  <si>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</si>
  <si>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</si>
  <si>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</si>
  <si>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</si>
  <si>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</si>
  <si>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</si>
  <si>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</si>
  <si>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</si>
  <si>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</si>
  <si>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</si>
  <si>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</si>
  <si>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</si>
  <si>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</si>
  <si>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</si>
  <si>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</si>
  <si>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</si>
  <si>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</si>
  <si>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</si>
  <si>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</si>
  <si>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</si>
  <si>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</si>
  <si>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</si>
  <si>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</si>
  <si>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</si>
  <si>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</si>
  <si>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</si>
  <si>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</si>
  <si>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</si>
  <si>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</si>
  <si>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</si>
  <si>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</si>
  <si>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</si>
  <si>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</si>
  <si>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</si>
  <si>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</si>
  <si>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</si>
  <si>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</si>
  <si>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</si>
  <si>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</si>
  <si>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</si>
  <si>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</si>
  <si>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</si>
  <si>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</si>
  <si>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</si>
  <si>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</si>
  <si>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</si>
  <si>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</si>
  <si>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</si>
  <si>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</si>
  <si>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</si>
  <si>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</si>
  <si>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</si>
  <si>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</si>
  <si>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</si>
  <si>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</si>
  <si>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</si>
  <si>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</si>
  <si>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</si>
  <si>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</si>
  <si>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</si>
  <si>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</si>
  <si>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</si>
  <si>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</si>
  <si>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</si>
  <si>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</si>
  <si>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</si>
  <si>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</si>
  <si>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</si>
  <si>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</si>
  <si>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</si>
  <si>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</si>
  <si>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</si>
  <si>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</si>
  <si>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</si>
  <si>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</si>
  <si>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</si>
  <si>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</si>
  <si>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</si>
  <si>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</si>
  <si>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</si>
  <si>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</si>
  <si>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</si>
  <si>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</si>
  <si>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</si>
  <si>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</si>
  <si>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</si>
  <si>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</si>
  <si>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</si>
  <si>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</si>
  <si>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</si>
  <si>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</si>
  <si>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</si>
  <si>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</si>
  <si>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</si>
  <si>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</si>
  <si>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</si>
  <si>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</si>
  <si>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</si>
  <si>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</si>
  <si>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</si>
  <si>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</si>
  <si>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</si>
  <si>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</si>
  <si>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</si>
  <si>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</si>
  <si>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</si>
  <si>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</si>
  <si>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</si>
  <si>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</si>
  <si>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</si>
  <si>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</si>
  <si>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</si>
  <si>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</si>
  <si>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</si>
  <si>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</si>
  <si>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</si>
  <si>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</si>
  <si>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</si>
  <si>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</si>
  <si>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</si>
  <si>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</si>
  <si>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</si>
  <si>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</si>
  <si>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</si>
  <si>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</si>
  <si>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</si>
  <si>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</si>
  <si>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</si>
  <si>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</si>
  <si>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</si>
  <si>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</si>
  <si>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</si>
  <si>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</si>
  <si>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</si>
  <si>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</si>
  <si>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</si>
  <si>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</si>
  <si>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</si>
  <si>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</si>
  <si>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</si>
  <si>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</si>
  <si>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</si>
  <si>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</si>
  <si>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</si>
  <si>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</si>
  <si>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</si>
  <si>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</si>
  <si>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</si>
  <si>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</si>
  <si>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</si>
  <si>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</si>
  <si>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</si>
  <si>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</si>
  <si>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</si>
  <si>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</si>
  <si>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</si>
  <si>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</si>
  <si>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</si>
  <si>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</si>
  <si>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</si>
  <si>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</si>
  <si>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</si>
  <si>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</si>
  <si>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</si>
  <si>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</si>
  <si>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</si>
  <si>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</si>
  <si>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</si>
  <si>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</si>
  <si>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</si>
  <si>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</si>
  <si>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</si>
  <si>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</si>
  <si>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</si>
  <si>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</si>
  <si>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</si>
  <si>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</si>
  <si>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</si>
  <si>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</si>
  <si>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</si>
  <si>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</si>
  <si>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</si>
  <si>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</si>
  <si>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</si>
  <si>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</si>
  <si>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</si>
  <si>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</si>
  <si>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</si>
  <si>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</si>
  <si>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</si>
  <si>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</si>
  <si>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</si>
  <si>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</si>
  <si>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</si>
  <si>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</si>
  <si>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</si>
  <si>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</si>
  <si>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</si>
  <si>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</si>
  <si>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</si>
  <si>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</si>
  <si>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</si>
  <si>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</si>
  <si>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</si>
  <si>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</si>
  <si>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</si>
  <si>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</si>
  <si>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</si>
  <si>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</si>
  <si>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</si>
  <si>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</si>
  <si>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</si>
  <si>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</si>
  <si>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</si>
  <si>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</si>
  <si>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</si>
  <si>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</si>
  <si>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</si>
  <si>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</si>
  <si>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</si>
  <si>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</si>
  <si>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</si>
  <si>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</si>
  <si>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</si>
  <si>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</si>
  <si>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</si>
  <si>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</si>
  <si>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</si>
  <si>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</si>
  <si>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</si>
  <si>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</si>
  <si>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</si>
  <si>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</si>
  <si>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</si>
  <si>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</si>
  <si>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</si>
  <si>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</si>
  <si>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</si>
  <si>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</si>
  <si>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</si>
  <si>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</si>
  <si>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</si>
  <si>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</si>
  <si>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</si>
  <si>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</si>
  <si>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</si>
  <si>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</si>
  <si>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</si>
  <si>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</si>
  <si>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</si>
  <si>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</si>
  <si>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</si>
  <si>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</si>
  <si>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</si>
  <si>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</si>
  <si>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</si>
  <si>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</si>
  <si>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</si>
  <si>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</si>
  <si>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</si>
  <si>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</si>
  <si>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</si>
  <si>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</si>
  <si>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</si>
  <si>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</si>
  <si>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</si>
  <si>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</si>
  <si>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</si>
  <si>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</si>
  <si>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</si>
  <si>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</si>
  <si>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</si>
  <si>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</si>
  <si>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</si>
  <si>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</si>
  <si>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</si>
  <si>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</si>
  <si>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</si>
  <si>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</si>
  <si>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</si>
  <si>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</si>
  <si>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</si>
  <si>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</si>
  <si>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</si>
  <si>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</si>
  <si>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</si>
  <si>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</si>
  <si>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</si>
  <si>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</si>
  <si>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</si>
  <si>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</si>
  <si>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</si>
  <si>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</si>
  <si>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</si>
  <si>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</si>
  <si>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</si>
  <si>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</si>
  <si>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</si>
  <si>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</si>
  <si>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</si>
  <si>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</si>
  <si>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</si>
  <si>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</si>
  <si>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</si>
  <si>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</si>
  <si>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</si>
  <si>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</si>
  <si>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</si>
  <si>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</si>
  <si>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</si>
  <si>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</si>
  <si>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</si>
  <si>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</si>
  <si>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</si>
  <si>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</si>
  <si>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</si>
  <si>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</si>
  <si>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</si>
  <si>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</si>
  <si>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</si>
  <si>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</si>
  <si>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</si>
  <si>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</si>
  <si>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</si>
  <si>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</si>
  <si>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</si>
  <si>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</si>
  <si>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</si>
  <si>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</si>
  <si>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</si>
  <si>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</si>
  <si>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</si>
  <si>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</si>
  <si>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</si>
  <si>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</si>
  <si>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</si>
  <si>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</si>
  <si>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</si>
  <si>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</si>
  <si>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</si>
  <si>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</si>
  <si>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</si>
  <si>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</si>
  <si>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</si>
  <si>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</si>
  <si>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</si>
  <si>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</si>
  <si>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Names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</si>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</sst>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2B2B2B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2" borderId="0" xfId="0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/>
    <xf numFmtId="9" fontId="4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04-4350-B302-8DD707DF859D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04-4350-B302-8DD707DF859D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04-4350-B302-8DD707DF8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9863743"/>
        <c:axId val="1819859999"/>
      </c:lineChart>
      <c:catAx>
        <c:axId val="18198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859999"/>
        <c:crosses val="autoZero"/>
        <c:auto val="1"/>
        <c:lblAlgn val="ctr"/>
        <c:lblOffset val="100"/>
        <c:noMultiLvlLbl val="0"/>
      </c:catAx>
      <c:valAx>
        <c:axId val="181985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86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Challenge.xlsx]Theatre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CF-480E-A5D8-D02CA8C541C0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94-4915-A03B-5AE2EBFF97D4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94-4915-A03B-5AE2EBFF9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9423263"/>
        <c:axId val="1279421599"/>
      </c:lineChart>
      <c:catAx>
        <c:axId val="127942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421599"/>
        <c:crosses val="autoZero"/>
        <c:auto val="1"/>
        <c:lblAlgn val="ctr"/>
        <c:lblOffset val="100"/>
        <c:noMultiLvlLbl val="0"/>
      </c:catAx>
      <c:valAx>
        <c:axId val="127942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42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85-4017-98D8-927D5FA3E92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85-4017-98D8-927D5FA3E92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85-4017-98D8-927D5FA3E92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85-4017-98D8-927D5FA3E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909087"/>
        <c:axId val="1819907423"/>
      </c:barChart>
      <c:catAx>
        <c:axId val="181990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907423"/>
        <c:crosses val="autoZero"/>
        <c:auto val="1"/>
        <c:lblAlgn val="ctr"/>
        <c:lblOffset val="100"/>
        <c:noMultiLvlLbl val="0"/>
      </c:catAx>
      <c:valAx>
        <c:axId val="181990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90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Challenge.xlsx]Subcatetgory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'Subcatetgory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'Subcatetgory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'Subcatetgory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9-45D2-BA50-7251FFBA2F9A}"/>
            </c:ext>
          </c:extLst>
        </c:ser>
        <c:ser>
          <c:idx val="1"/>
          <c:order val="1"/>
          <c:tx>
            <c:strRef>
              <c:f>'Subcatetgory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'Subcatetgory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'Subcatetgory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9-45D2-BA50-7251FFBA2F9A}"/>
            </c:ext>
          </c:extLst>
        </c:ser>
        <c:ser>
          <c:idx val="2"/>
          <c:order val="2"/>
          <c:tx>
            <c:strRef>
              <c:f>'Subcatetgory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'Subcatetgory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'Subcatetgory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39-45D2-BA50-7251FFBA2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830879"/>
        <c:axId val="1819843359"/>
      </c:barChart>
      <c:catAx>
        <c:axId val="181983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843359"/>
        <c:crosses val="autoZero"/>
        <c:auto val="1"/>
        <c:lblAlgn val="ctr"/>
        <c:lblOffset val="100"/>
        <c:noMultiLvlLbl val="0"/>
      </c:catAx>
      <c:valAx>
        <c:axId val="181984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83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Challenge.xlsx]Date Statistics!PivotTable8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1-457B-8E66-0C8B7335EE6C}"/>
            </c:ext>
          </c:extLst>
        </c:ser>
        <c:ser>
          <c:idx val="1"/>
          <c:order val="1"/>
          <c:tx>
            <c:strRef>
              <c:f>'Date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01-457B-8E66-0C8B7335EE6C}"/>
            </c:ext>
          </c:extLst>
        </c:ser>
        <c:ser>
          <c:idx val="2"/>
          <c:order val="2"/>
          <c:tx>
            <c:strRef>
              <c:f>'Date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01-457B-8E66-0C8B7335EE6C}"/>
            </c:ext>
          </c:extLst>
        </c:ser>
        <c:ser>
          <c:idx val="3"/>
          <c:order val="3"/>
          <c:tx>
            <c:strRef>
              <c:f>'Date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01-457B-8E66-0C8B7335E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134127"/>
        <c:axId val="226134543"/>
      </c:lineChart>
      <c:catAx>
        <c:axId val="22613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134543"/>
        <c:crosses val="autoZero"/>
        <c:auto val="1"/>
        <c:lblAlgn val="ctr"/>
        <c:lblOffset val="100"/>
        <c:noMultiLvlLbl val="0"/>
      </c:catAx>
      <c:valAx>
        <c:axId val="22613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13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1504950</xdr:colOff>
      <xdr:row>13</xdr:row>
      <xdr:rowOff>214311</xdr:rowOff>
    </xdr:from>
    <xdr:to>
      <xdr:col>6</xdr:col>
      <xdr:colOff>47625</xdr:colOff>
      <xdr:row>28</xdr:row>
      <xdr:rowOff>228599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722E2369-9967-4151-B104-69892102E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95250</xdr:rowOff>
    </xdr:from>
    <xdr:to>
      <xdr:col>19</xdr:col>
      <xdr:colOff>57150</xdr:colOff>
      <xdr:row>22</xdr:row>
      <xdr:rowOff>42862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9C7E5086-11CF-4D7C-9E11-77EB42351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2</xdr:row>
      <xdr:rowOff>33337</xdr:rowOff>
    </xdr:from>
    <xdr:to>
      <xdr:col>15</xdr:col>
      <xdr:colOff>590549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F10126-32D1-49E3-925E-95D44F4B1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10</xdr:row>
      <xdr:rowOff>119062</xdr:rowOff>
    </xdr:from>
    <xdr:to>
      <xdr:col>19</xdr:col>
      <xdr:colOff>533399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6049FA-015F-4C2B-9846-8E45D4FC0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5</xdr:row>
      <xdr:rowOff>33337</xdr:rowOff>
    </xdr:from>
    <xdr:to>
      <xdr:col>14</xdr:col>
      <xdr:colOff>485775</xdr:colOff>
      <xdr:row>19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8BE3CB-10E2-4EE9-9552-2D635E3B9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os, Alejandro" refreshedDate="44449.595187615741" createdVersion="6" refreshedVersion="6" minRefreshableVersion="3" recordCount="4114" xr:uid="{ADBA0392-9327-4802-B80F-5CD8F2539E58}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os, Alejandro" refreshedDate="44449.600440393522" createdVersion="6" refreshedVersion="6" minRefreshableVersion="3" recordCount="4114" xr:uid="{4C6E107F-95AF-432F-A403-78EA4D638B75}">
  <cacheSource type="worksheet">
    <worksheetSource ref="A1:T4115" sheet="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os, Alejandro" refreshedDate="44450.446462615742" createdVersion="6" refreshedVersion="6" minRefreshableVersion="3" recordCount="4114" xr:uid="{BADE4A7E-FF59-4FD4-9A80-B723A42A7B1F}">
  <cacheSource type="worksheet">
    <worksheetSource ref="A1:U4115" sheet="Raw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ECE4A3-66E5-4987-BD96-721A5E868217}" name="PivotTable9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73993-D305-43E7-B1C6-770115F78BF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00008-96DD-48AB-AB8D-A65CAA6C5C9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606DC-38B0-4963-9D7E-001FEA5C07E9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D047D-C0AA-43A3-B6BF-FB5BEF906B03}">
  <dimension ref="A1:H13"/>
  <sheetViews>
    <sheetView workbookViewId="0">
      <selection activeCell="B2" sqref="B2"/>
    </sheetView>
  </sheetViews>
  <sheetFormatPr defaultRowHeight="18.75" x14ac:dyDescent="0.3"/>
  <cols>
    <col min="1" max="8" width="26.5703125" style="18" customWidth="1"/>
  </cols>
  <sheetData>
    <row r="1" spans="1:8" ht="37.5" x14ac:dyDescent="0.25">
      <c r="A1" s="17" t="s">
        <v>8381</v>
      </c>
      <c r="B1" s="17" t="s">
        <v>8383</v>
      </c>
      <c r="C1" s="17" t="s">
        <v>8384</v>
      </c>
      <c r="D1" s="17" t="s">
        <v>8385</v>
      </c>
      <c r="E1" s="17" t="s">
        <v>8386</v>
      </c>
      <c r="F1" s="17" t="s">
        <v>8387</v>
      </c>
      <c r="G1" s="17" t="s">
        <v>8388</v>
      </c>
      <c r="H1" s="17" t="s">
        <v>8389</v>
      </c>
    </row>
    <row r="2" spans="1:8" x14ac:dyDescent="0.3">
      <c r="A2" s="18" t="s">
        <v>8390</v>
      </c>
      <c r="B2" s="18">
        <f>COUNTIFS(Raw!D:D,"&lt;1000",Raw!R:R,"plays",Raw!F:F,"Successful")</f>
        <v>141</v>
      </c>
      <c r="C2" s="18">
        <f>COUNTIFS(Raw!D:D,"&lt;1000",Raw!R:R,"plays",Raw!F:F,"Failed")</f>
        <v>45</v>
      </c>
      <c r="D2" s="18">
        <f>COUNTIFS(Raw!D:D,"&lt;1000",Raw!R:R,"plays",Raw!F:F,"Canceled")</f>
        <v>0</v>
      </c>
      <c r="E2" s="18">
        <f>SUM(B2:D2)</f>
        <v>186</v>
      </c>
      <c r="F2" s="19">
        <f>B2/$E2</f>
        <v>0.75806451612903225</v>
      </c>
      <c r="G2" s="19">
        <f>C2/$E2</f>
        <v>0.24193548387096775</v>
      </c>
      <c r="H2" s="19">
        <f>D2/$E2</f>
        <v>0</v>
      </c>
    </row>
    <row r="3" spans="1:8" x14ac:dyDescent="0.3">
      <c r="A3" s="18" t="s">
        <v>8391</v>
      </c>
      <c r="B3" s="18">
        <f>COUNTIFS(Raw!$D:$D,"&gt;=1000",Raw!$D:$D,"&lt;5000",Raw!$R:$R,"plays",Raw!$F:$F,"Successful")</f>
        <v>388</v>
      </c>
      <c r="C3" s="18">
        <f>COUNTIFS(Raw!$D:$D,"&gt;=1000",Raw!$D:$D,"&lt;5000",Raw!$R:$R,"plays",Raw!$F:$F,"Failed")</f>
        <v>146</v>
      </c>
      <c r="D3" s="18">
        <f>COUNTIFS(Raw!$D:$D,"&gt;=1000",Raw!$D:$D,"&lt;5000",Raw!$R:$R,"plays",Raw!$F:$F,"Canceled")</f>
        <v>0</v>
      </c>
      <c r="E3" s="18">
        <f t="shared" ref="E3:E13" si="0">SUM(B3:D3)</f>
        <v>534</v>
      </c>
      <c r="F3" s="19">
        <f t="shared" ref="F3:F13" si="1">B3/$E3</f>
        <v>0.72659176029962547</v>
      </c>
      <c r="G3" s="19">
        <f t="shared" ref="G3:G13" si="2">C3/$E3</f>
        <v>0.27340823970037453</v>
      </c>
      <c r="H3" s="19">
        <f t="shared" ref="H3:H13" si="3">D3/$E3</f>
        <v>0</v>
      </c>
    </row>
    <row r="4" spans="1:8" x14ac:dyDescent="0.3">
      <c r="A4" s="18" t="s">
        <v>8392</v>
      </c>
      <c r="B4" s="18">
        <f>COUNTIFS(Raw!$D:$D,"&gt;=5000",Raw!$D:$D,"&lt;10000",Raw!$R:$R,"plays",Raw!$F:$F,"Successful")</f>
        <v>93</v>
      </c>
      <c r="C4" s="18">
        <f>COUNTIFS(Raw!$D:$D,"&gt;=5000",Raw!$D:$D,"&lt;10000",Raw!$R:$R,"plays",Raw!$F:$F,"Failed")</f>
        <v>76</v>
      </c>
      <c r="D4" s="18">
        <f>COUNTIFS(Raw!$D:$D,"&gt;=5000",Raw!$D:$D,"&lt;10000",Raw!$R:$R,"plays",Raw!$F:$F,"Canceled")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s="18" t="s">
        <v>8393</v>
      </c>
      <c r="B5" s="18">
        <f>COUNTIFS(Raw!$D:$D,"&gt;=10000",Raw!$D:$D,"&lt;15000",Raw!$R:$R,"plays",Raw!$F:$F,"Successful")</f>
        <v>39</v>
      </c>
      <c r="C5" s="18">
        <f>COUNTIFS(Raw!$D:$D,"&gt;=10000",Raw!$D:$D,"&lt;15000",Raw!$R:$R,"plays",Raw!$F:$F,"Failed")</f>
        <v>33</v>
      </c>
      <c r="D5" s="18">
        <f>COUNTIFS(Raw!$D:$D,"&gt;=10000",Raw!$D:$D,"&lt;15000",Raw!$R:$R,"plays",Raw!$F:$F,"Canceled")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s="18" t="s">
        <v>8394</v>
      </c>
      <c r="B6" s="18">
        <f>COUNTIFS(Raw!$D:$D,"&gt;=15000",Raw!$D:$D,"&lt;20000",Raw!$R:$R,"plays",Raw!$F:$F,"Successful")</f>
        <v>12</v>
      </c>
      <c r="C6" s="18">
        <f>COUNTIFS(Raw!$D:$D,"&gt;=15000",Raw!$D:$D,"&lt;20000",Raw!$R:$R,"plays",Raw!$F:$F,"Failed")</f>
        <v>12</v>
      </c>
      <c r="D6" s="18">
        <f>COUNTIFS(Raw!$D:$D,"&gt;=15000",Raw!$D:$D,"&lt;20000",Raw!$R:$R,"plays",Raw!$F:$F,"Canceled")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s="18" t="s">
        <v>8395</v>
      </c>
      <c r="B7" s="18">
        <f>COUNTIFS(Raw!$D:$D,"&gt;=20000",Raw!$D:$D,"&lt;25000",Raw!$R:$R,"plays",Raw!$F:$F,"Successful")</f>
        <v>9</v>
      </c>
      <c r="C7" s="18">
        <f>COUNTIFS(Raw!$D:$D,"&gt;=20000",Raw!$D:$D,"&lt;25000",Raw!$R:$R,"plays",Raw!$F:$F,"Failed")</f>
        <v>11</v>
      </c>
      <c r="D7" s="18">
        <f>COUNTIFS(Raw!$D:$D,"&gt;=20000",Raw!$D:$D,"&lt;25000",Raw!$R:$R,"plays",Raw!$F:$F,"Canceled")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s="18" t="s">
        <v>8396</v>
      </c>
      <c r="B8" s="18">
        <f>COUNTIFS(Raw!$D:$D,"&gt;=25000",Raw!$D:$D,"&lt;30000",Raw!$R:$R,"plays",Raw!$F:$F,"Successful")</f>
        <v>1</v>
      </c>
      <c r="C8" s="18">
        <f>COUNTIFS(Raw!$D:$D,"&gt;=25000",Raw!$D:$D,"&lt;30000",Raw!$R:$R,"plays",Raw!$F:$F,"Failed")</f>
        <v>4</v>
      </c>
      <c r="D8" s="18">
        <f>COUNTIFS(Raw!$D:$D,"&gt;=25000",Raw!$D:$D,"&lt;30000",Raw!$R:$R,"plays",Raw!$F:$F,"Canceled")</f>
        <v>0</v>
      </c>
      <c r="E8" s="1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s="18" t="s">
        <v>8397</v>
      </c>
      <c r="B9" s="18">
        <f>COUNTIFS(Raw!$D:$D,"&gt;=30000",Raw!$D:$D,"&lt;35000",Raw!$R:$R,"plays",Raw!$F:$F,"Successful")</f>
        <v>3</v>
      </c>
      <c r="C9" s="18">
        <f>COUNTIFS(Raw!$D:$D,"&gt;=30000",Raw!$D:$D,"&lt;35000",Raw!$R:$R,"plays",Raw!$F:$F,"Failed")</f>
        <v>8</v>
      </c>
      <c r="D9" s="18">
        <f>COUNTIFS(Raw!$D:$D,"&gt;=30000",Raw!$D:$D,"&lt;35000",Raw!$R:$R,"plays",Raw!$F:$F,"Canceled")</f>
        <v>0</v>
      </c>
      <c r="E9" s="18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s="18" t="s">
        <v>8398</v>
      </c>
      <c r="B10" s="18">
        <f>COUNTIFS(Raw!$D:$D,"&gt;=35000",Raw!$D:$D,"&lt;40000",Raw!$R:$R,"plays",Raw!$F:$F,"Successful")</f>
        <v>4</v>
      </c>
      <c r="C10" s="18">
        <f>COUNTIFS(Raw!$D:$D,"&gt;=35000",Raw!$D:$D,"&lt;40000",Raw!$R:$R,"plays",Raw!$F:$F,"Failed")</f>
        <v>2</v>
      </c>
      <c r="D10" s="18">
        <f>COUNTIFS(Raw!$D:$D,"&gt;=35000",Raw!$D:$D,"&lt;40000",Raw!$R:$R,"plays",Raw!$F:$F,"Canceled")</f>
        <v>0</v>
      </c>
      <c r="E10" s="18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s="18" t="s">
        <v>8399</v>
      </c>
      <c r="B11" s="18">
        <f>COUNTIFS(Raw!$D:$D,"&gt;=40000",Raw!$D:$D,"&lt;45000",Raw!$R:$R,"plays",Raw!$F:$F,"Successful")</f>
        <v>2</v>
      </c>
      <c r="C11" s="18">
        <f>COUNTIFS(Raw!$D:$D,"&gt;=40000",Raw!$D:$D,"&lt;45000",Raw!$R:$R,"plays",Raw!$F:$F,"Failed")</f>
        <v>1</v>
      </c>
      <c r="D11" s="18">
        <f>COUNTIFS(Raw!$D:$D,"&gt;=40000",Raw!$D:$D,"&lt;45000",Raw!$R:$R,"plays",Raw!$F:$F,"Canceled")</f>
        <v>0</v>
      </c>
      <c r="E11" s="18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">
      <c r="A12" s="18" t="s">
        <v>8400</v>
      </c>
      <c r="B12" s="18">
        <f>COUNTIFS(Raw!$D:$D,"&gt;=45000",Raw!$D:$D,"&lt;50000",Raw!$R:$R,"plays",Raw!$F:$F,"Successful")</f>
        <v>0</v>
      </c>
      <c r="C12" s="18">
        <f>COUNTIFS(Raw!$D:$D,"&gt;=45000",Raw!$D:$D,"&lt;50000",Raw!$R:$R,"plays",Raw!$F:$F,"Failed")</f>
        <v>1</v>
      </c>
      <c r="D12" s="18">
        <f>COUNTIFS(Raw!$D:$D,"&gt;=45000",Raw!$D:$D,"&lt;50000",Raw!$R:$R,"plays",Raw!$F:$F,"Canceled")</f>
        <v>0</v>
      </c>
      <c r="E12" s="18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">
      <c r="A13" s="18" t="s">
        <v>8401</v>
      </c>
      <c r="B13" s="18">
        <f>COUNTIFS(Raw!$D:$D,"&gt;=50000",Raw!$R:$R,"plays",Raw!$F:$F,"Successful")</f>
        <v>2</v>
      </c>
      <c r="C13" s="18">
        <f>COUNTIFS(Raw!$D:$D,"&gt;=50000",Raw!$R:$R,"plays",Raw!$F:$F,"Failed")</f>
        <v>14</v>
      </c>
      <c r="D13" s="18">
        <f>COUNTIFS(Raw!$D:$D,"&gt;=50000",Raw!$R:$R,"plays",Raw!$F:$F,"Canceled")</f>
        <v>0</v>
      </c>
      <c r="E13" s="18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215D3-7DA0-4A19-BE67-7797F6E9893C}">
  <dimension ref="A1:E18"/>
  <sheetViews>
    <sheetView workbookViewId="0">
      <selection activeCell="B36" sqref="B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8403</v>
      </c>
      <c r="B1" t="s">
        <v>8315</v>
      </c>
    </row>
    <row r="2" spans="1:5" x14ac:dyDescent="0.25">
      <c r="A2" s="12" t="s">
        <v>8402</v>
      </c>
      <c r="B2" t="s">
        <v>8362</v>
      </c>
    </row>
    <row r="4" spans="1:5" x14ac:dyDescent="0.25">
      <c r="A4" s="12" t="s">
        <v>8361</v>
      </c>
      <c r="B4" s="12" t="s">
        <v>8358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topLeftCell="K1" zoomScale="95" zoomScaleNormal="95" workbookViewId="0">
      <selection activeCell="U3" sqref="U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8403</v>
      </c>
      <c r="R1" s="10" t="s">
        <v>8364</v>
      </c>
      <c r="S1" s="1" t="s">
        <v>8365</v>
      </c>
      <c r="T1" s="1" t="s">
        <v>8366</v>
      </c>
      <c r="U1" s="1" t="s">
        <v>8402</v>
      </c>
      <c r="V1" s="1"/>
    </row>
    <row r="2" spans="1:22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(((J2/60)/60/24)+DATE(1970,1,1))</f>
        <v>42177.007071759261</v>
      </c>
      <c r="T2" s="15">
        <f>(((I2/60)/60)/24)+DATE(1970,1,1)</f>
        <v>42208.125</v>
      </c>
      <c r="U2">
        <f>YEAR(S2)</f>
        <v>2015</v>
      </c>
    </row>
    <row r="3" spans="1:22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(((J3/60)/60/24)+DATE(1970,1,1))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2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2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2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2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2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2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2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2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2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2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2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2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2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(((J67/60)/60/24)+DATE(1970,1,1))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(((J131/60)/60/24)+DATE(1970,1,1))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(((J195/60)/60/24)+DATE(1970,1,1))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(((J259/60)/60/24)+DATE(1970,1,1))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(((J323/60)/60/24)+DATE(1970,1,1))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(((J387/60)/60/24)+DATE(1970,1,1))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(((J451/60)/60/24)+DATE(1970,1,1))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(((J515/60)/60/24)+DATE(1970,1,1))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(((J579/60)/60/24)+DATE(1970,1,1))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(((J643/60)/60/24)+DATE(1970,1,1))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(((J707/60)/60/24)+DATE(1970,1,1))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(((J771/60)/60/24)+DATE(1970,1,1))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(((J835/60)/60/24)+DATE(1970,1,1))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(((J899/60)/60/24)+DATE(1970,1,1))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(((J963/60)/60/24)+DATE(1970,1,1))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(((J1027/60)/60/24)+DATE(1970,1,1))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(((J1091/60)/60/24)+DATE(1970,1,1))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(((J1155/60)/60/24)+DATE(1970,1,1))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(((J1219/60)/60/24)+DATE(1970,1,1))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(((J1283/60)/60/24)+DATE(1970,1,1))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(((J1347/60)/60/24)+DATE(1970,1,1))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(((J1411/60)/60/24)+DATE(1970,1,1))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(((J1475/60)/60/24)+DATE(1970,1,1))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(((J1539/60)/60/24)+DATE(1970,1,1))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(((J1603/60)/60/24)+DATE(1970,1,1))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(((J1667/60)/60/24)+DATE(1970,1,1))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(((J1731/60)/60/24)+DATE(1970,1,1))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(((J1795/60)/60/24)+DATE(1970,1,1))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(((J1859/60)/60/24)+DATE(1970,1,1))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(((J1923/60)/60/24)+DATE(1970,1,1))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(((J1987/60)/60/24)+DATE(1970,1,1))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(((J2051/60)/60/24)+DATE(1970,1,1))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(((J2115/60)/60/24)+DATE(1970,1,1))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(((J2179/60)/60/24)+DATE(1970,1,1))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(((J2243/60)/60/24)+DATE(1970,1,1))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(((J2307/60)/60/24)+DATE(1970,1,1))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(((J2371/60)/60/24)+DATE(1970,1,1))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(((J2435/60)/60/24)+DATE(1970,1,1))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(((J2499/60)/60/24)+DATE(1970,1,1))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(((J2563/60)/60/24)+DATE(1970,1,1))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(((J2627/60)/60/24)+DATE(1970,1,1))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(((J2691/60)/60/24)+DATE(1970,1,1))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(((J2755/60)/60/24)+DATE(1970,1,1))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(((J2819/60)/60/24)+DATE(1970,1,1))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(((J2883/60)/60/24)+DATE(1970,1,1))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(((J2947/60)/60/24)+DATE(1970,1,1))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(((J3011/60)/60/24)+DATE(1970,1,1))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(((J3075/60)/60/24)+DATE(1970,1,1))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(((J3139/60)/60/24)+DATE(1970,1,1))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(((J3203/60)/60/24)+DATE(1970,1,1))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(((J3267/60)/60/24)+DATE(1970,1,1))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(((J3331/60)/60/24)+DATE(1970,1,1))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(((J3395/60)/60/24)+DATE(1970,1,1))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(((J3459/60)/60/24)+DATE(1970,1,1))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(((J3523/60)/60/24)+DATE(1970,1,1))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(((J3587/60)/60/24)+DATE(1970,1,1))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(((J3651/60)/60/24)+DATE(1970,1,1))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(((J3715/60)/60/24)+DATE(1970,1,1))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(((J3779/60)/60/24)+DATE(1970,1,1))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(((J3843/60)/60/24)+DATE(1970,1,1))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(((J3907/60)/60/24)+DATE(1970,1,1))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(((J3971/60)/60/24)+DATE(1970,1,1))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(((J4035/60)/60/24)+DATE(1970,1,1))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(((J4099/60)/60/24)+DATE(1970,1,1))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5A206C3E-254F-432D-8EE6-7FA5D0311B8E}">
    <filterColumn colId="16">
      <filters>
        <filter val="theater"/>
      </filters>
    </filterColumn>
  </autoFilter>
  <sortState xmlns:xlrd2="http://schemas.microsoft.com/office/spreadsheetml/2017/richdata2" ref="A2:O4115">
    <sortCondition ref="A2:A4115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96D81-F618-420C-9413-AB3FA102EA1E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8362</v>
      </c>
    </row>
    <row r="3" spans="1:6" x14ac:dyDescent="0.25">
      <c r="A3" s="12" t="s">
        <v>8361</v>
      </c>
      <c r="B3" s="12" t="s">
        <v>8358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8359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B82F0-937E-45D9-A30B-45DE433D7522}">
  <dimension ref="A2:E7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2" t="s">
        <v>8222</v>
      </c>
      <c r="B2" t="s">
        <v>8362</v>
      </c>
    </row>
    <row r="4" spans="1:5" x14ac:dyDescent="0.25">
      <c r="A4" s="12" t="s">
        <v>8361</v>
      </c>
      <c r="B4" s="12" t="s">
        <v>8358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8359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C1FF1-3EF0-43B6-8F5A-F369DD746F48}">
  <dimension ref="A2:F18"/>
  <sheetViews>
    <sheetView workbookViewId="0">
      <selection activeCell="E15" sqref="E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8363</v>
      </c>
      <c r="B2" t="s">
        <v>8315</v>
      </c>
    </row>
    <row r="4" spans="1:6" x14ac:dyDescent="0.25">
      <c r="A4" s="12" t="s">
        <v>8361</v>
      </c>
      <c r="B4" s="12" t="s">
        <v>8358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10E60-738F-4DCA-9141-42998A41D0A4}">
  <dimension ref="A1:D6"/>
  <sheetViews>
    <sheetView workbookViewId="0">
      <selection activeCell="A2" sqref="A2"/>
    </sheetView>
  </sheetViews>
  <sheetFormatPr defaultRowHeight="15" x14ac:dyDescent="0.25"/>
  <cols>
    <col min="1" max="1" width="29.7109375" bestFit="1" customWidth="1"/>
    <col min="2" max="2" width="59.140625" customWidth="1"/>
  </cols>
  <sheetData>
    <row r="1" spans="1:4" x14ac:dyDescent="0.25">
      <c r="A1" t="s">
        <v>8379</v>
      </c>
      <c r="B1" t="s">
        <v>8380</v>
      </c>
      <c r="C1" t="s">
        <v>8381</v>
      </c>
      <c r="D1" t="s">
        <v>8382</v>
      </c>
    </row>
    <row r="2" spans="1:4" ht="45" x14ac:dyDescent="0.25">
      <c r="A2" t="s">
        <v>3473</v>
      </c>
      <c r="B2" s="3" t="str">
        <f>VLOOKUP(A2,Raw!$B$1:$E$4115,2,FALSE)</f>
        <v>Help us get actor-writer Ian Bonar's debut play - a hilarious, heartbreaking story of grief and loss - to the 2016 Edinburgh Fringe.</v>
      </c>
      <c r="C2" s="3">
        <f>VLOOKUP($A2,Raw!$B$1:$E$4115,3,FALSE)</f>
        <v>2000</v>
      </c>
      <c r="D2" s="3">
        <f>VLOOKUP($A2,Raw!$B$1:$E$4115,4,FALSE)</f>
        <v>2020</v>
      </c>
    </row>
    <row r="3" spans="1:4" ht="45" x14ac:dyDescent="0.25">
      <c r="A3" t="s">
        <v>3616</v>
      </c>
      <c r="B3" s="3" t="str">
        <f>VLOOKUP(A3,Raw!$B$1:$E$4115,2,FALSE)</f>
        <v>The play yet to be described as "A surefire Edinburgh Fringe Festival Cult Hit". Coming to the Underbelly, Edinburgh, 5th-30th August.</v>
      </c>
      <c r="C3" s="3">
        <f>VLOOKUP($A3,Raw!$B$1:$E$4115,3,FALSE)</f>
        <v>2000</v>
      </c>
      <c r="D3" s="3">
        <f>VLOOKUP($A3,Raw!$B$1:$E$4115,4,FALSE)</f>
        <v>2020</v>
      </c>
    </row>
    <row r="4" spans="1:4" ht="45" x14ac:dyDescent="0.25">
      <c r="A4" t="s">
        <v>3178</v>
      </c>
      <c r="B4" s="3" t="str">
        <f>VLOOKUP(A4,Raw!$B$1:$E$4115,2,FALSE)</f>
        <v>Cutting Off Kate Bush is a one-woman show written &amp; performed by Lucy Benson-Brown, premiering at the Edinburgh Fringe Festival 2014</v>
      </c>
      <c r="C4" s="3">
        <f>VLOOKUP($A4,Raw!$B$1:$E$4115,3,FALSE)</f>
        <v>1500</v>
      </c>
      <c r="D4" s="3">
        <f>VLOOKUP($A4,Raw!$B$1:$E$4115,4,FALSE)</f>
        <v>2576</v>
      </c>
    </row>
    <row r="5" spans="1:4" ht="30" x14ac:dyDescent="0.25">
      <c r="A5" t="s">
        <v>3329</v>
      </c>
      <c r="B5" s="3" t="str">
        <f>VLOOKUP(A5,Raw!$B$1:$E$4115,2,FALSE)</f>
        <v>Jestia and Raedon is a brand new romantic comedy play going to the Edinburgh Fringe Festival this summer.</v>
      </c>
      <c r="C5" s="3">
        <f>VLOOKUP($A5,Raw!$B$1:$E$4115,3,FALSE)</f>
        <v>1000</v>
      </c>
      <c r="D5" s="3">
        <f>VLOOKUP($A5,Raw!$B$1:$E$4115,4,FALSE)</f>
        <v>1168</v>
      </c>
    </row>
    <row r="6" spans="1:4" ht="45" x14ac:dyDescent="0.25">
      <c r="A6" t="s">
        <v>3221</v>
      </c>
      <c r="B6" s="3" t="str">
        <f>VLOOKUP(A6,Raw!$B$1:$E$4115,2,FALSE)</f>
        <v>A one-man show about love, loss, and motorways, written &amp; performed by Ben Norris. Help us get to the 2015 Edinburgh Fringe and beyond!</v>
      </c>
      <c r="C6" s="3">
        <f>VLOOKUP($A6,Raw!$B$1:$E$4115,3,FALSE)</f>
        <v>4000</v>
      </c>
      <c r="D6" s="3">
        <f>VLOOKUP($A6,Raw!$B$1:$E$4115,4,FALSE)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Theatre Outcomes by Launch Date</vt:lpstr>
      <vt:lpstr>Raw</vt:lpstr>
      <vt:lpstr>Category Statistics</vt:lpstr>
      <vt:lpstr>Subcatetgory Statistics</vt:lpstr>
      <vt:lpstr>Date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Rios, Alejandro</cp:lastModifiedBy>
  <dcterms:created xsi:type="dcterms:W3CDTF">2017-04-20T15:17:24Z</dcterms:created>
  <dcterms:modified xsi:type="dcterms:W3CDTF">2021-09-17T01:34:24Z</dcterms:modified>
</cp:coreProperties>
</file>