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fileSharing readOnlyRecommended="1"/>
  <workbookPr hidePivotFieldList="1"/>
  <mc:AlternateContent xmlns:mc="http://schemas.openxmlformats.org/markup-compatibility/2006">
    <mc:Choice Requires="x15">
      <x15ac:absPath xmlns:x15ac="http://schemas.microsoft.com/office/spreadsheetml/2010/11/ac" url="https://d.docs.live.net/f1ab8fc9145a6b6a/Desktop/"/>
    </mc:Choice>
  </mc:AlternateContent>
  <xr:revisionPtr revIDLastSave="3" documentId="8_{D5B7B819-6DB1-447B-897B-C90EB7691493}" xr6:coauthVersionLast="47" xr6:coauthVersionMax="47" xr10:uidLastSave="{86FCFDBA-55DC-4D8B-A8C8-393E08467821}"/>
  <bookViews>
    <workbookView xWindow="-110" yWindow="-110" windowWidth="25820" windowHeight="13900" tabRatio="602" activeTab="10" xr2:uid="{00000000-000D-0000-FFFF-FFFF00000000}"/>
  </bookViews>
  <sheets>
    <sheet name="Company Comparison" sheetId="1" r:id="rId1"/>
    <sheet name="Master Summary Comparison" sheetId="18" r:id="rId2"/>
    <sheet name="Fiscal Year Breakdown" sheetId="2" r:id="rId3"/>
    <sheet name="Line Item Comparison Seperate" sheetId="14" state="hidden" r:id="rId4"/>
    <sheet name="Category Comparison Pivot" sheetId="16" r:id="rId5"/>
    <sheet name="Line Item All" sheetId="17" state="hidden" r:id="rId6"/>
    <sheet name="Category Comparison Seperate" sheetId="8" r:id="rId7"/>
    <sheet name="Category Comparison All" sheetId="15" state="hidden" r:id="rId8"/>
    <sheet name="2023 IC" sheetId="5" r:id="rId9"/>
    <sheet name="2024 IC" sheetId="3" r:id="rId10"/>
    <sheet name="2025 IC" sheetId="4" r:id="rId11"/>
    <sheet name="2023-25 IA" sheetId="7" r:id="rId12"/>
    <sheet name="2025 COL" sheetId="6" r:id="rId13"/>
  </sheets>
  <definedNames>
    <definedName name="_xlchart.v1.0" hidden="1">'Master Summary Comparison'!$F$5:$J$11</definedName>
    <definedName name="_xlchart.v1.1" hidden="1">'Master Summary Comparison'!$K$3:$K$4</definedName>
    <definedName name="_xlchart.v1.2" hidden="1">'Master Summary Comparison'!$K$5:$K$11</definedName>
    <definedName name="_xlchart.v1.3" hidden="1">'Master Summary Comparison'!$L$3:$L$4</definedName>
    <definedName name="_xlchart.v1.4" hidden="1">'Master Summary Comparison'!$L$5:$L$11</definedName>
    <definedName name="_xlchart.v1.5" hidden="1">'Master Summary Comparison'!$F$5:$J$11</definedName>
    <definedName name="_xlchart.v1.6" hidden="1">'Master Summary Comparison'!$K$3:$K$4</definedName>
    <definedName name="_xlchart.v1.7" hidden="1">'Master Summary Comparison'!$K$5:$K$11</definedName>
    <definedName name="_xlchart.v1.8" hidden="1">'Master Summary Comparison'!$L$3:$L$4</definedName>
    <definedName name="_xlchart.v1.9" hidden="1">'Master Summary Comparison'!$L$5:$L$11</definedName>
  </definedName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7" i="2" l="1"/>
  <c r="L25" i="2"/>
  <c r="L23" i="2"/>
  <c r="H25" i="2"/>
  <c r="H23" i="2"/>
  <c r="L13" i="18" l="1"/>
  <c r="L6" i="18"/>
  <c r="L7" i="18"/>
  <c r="L8" i="18"/>
  <c r="L9" i="18"/>
  <c r="L10" i="18"/>
  <c r="L11" i="18"/>
  <c r="L5" i="18"/>
  <c r="Q29" i="3" l="1"/>
  <c r="Q30" i="4"/>
  <c r="Q31" i="4"/>
  <c r="Q32" i="4"/>
  <c r="Q33" i="4"/>
  <c r="Q34" i="4"/>
  <c r="Q35" i="4"/>
  <c r="Q36" i="4"/>
  <c r="Q37" i="4"/>
  <c r="Q38" i="4"/>
  <c r="Q39" i="4"/>
  <c r="Q40" i="4"/>
  <c r="Q41" i="4"/>
  <c r="Q42" i="4"/>
  <c r="Q31" i="3"/>
  <c r="Q32" i="3"/>
  <c r="Q33" i="3"/>
  <c r="Q34" i="3"/>
  <c r="Q35" i="3"/>
  <c r="Q36" i="3"/>
  <c r="Q37" i="3"/>
  <c r="Q38" i="3"/>
  <c r="Q39" i="3"/>
  <c r="Q40" i="3"/>
  <c r="Q41" i="3"/>
  <c r="R32" i="5"/>
  <c r="R33" i="5"/>
  <c r="R34" i="5"/>
  <c r="R35" i="5"/>
  <c r="R36" i="5"/>
  <c r="R37" i="5"/>
  <c r="R38" i="5"/>
  <c r="R39" i="5"/>
  <c r="R40" i="5"/>
  <c r="R41" i="5"/>
  <c r="R42" i="5"/>
  <c r="R43" i="5"/>
  <c r="R7" i="5"/>
  <c r="R8" i="5"/>
  <c r="R9" i="5"/>
  <c r="R10" i="5"/>
  <c r="R11" i="5"/>
  <c r="R12" i="5"/>
  <c r="R13" i="5"/>
  <c r="R14" i="5"/>
  <c r="R15" i="5"/>
  <c r="R16" i="5"/>
  <c r="R17" i="5"/>
  <c r="R18" i="5"/>
  <c r="R19" i="5"/>
  <c r="R20" i="5"/>
  <c r="R22" i="5"/>
  <c r="R23" i="5"/>
  <c r="R24" i="5"/>
  <c r="R25" i="5"/>
  <c r="R26" i="5"/>
  <c r="R27" i="5"/>
  <c r="R28" i="5"/>
  <c r="R29" i="5"/>
  <c r="R30" i="5"/>
  <c r="R31" i="5"/>
  <c r="H7" i="3"/>
  <c r="H8" i="3"/>
  <c r="H10" i="3"/>
  <c r="H11" i="3"/>
  <c r="H12" i="3"/>
  <c r="H13" i="3"/>
  <c r="H14" i="3"/>
  <c r="H15" i="3"/>
  <c r="H16" i="3"/>
  <c r="H17" i="3"/>
  <c r="H18" i="3"/>
  <c r="H19" i="3"/>
  <c r="H20" i="3"/>
  <c r="H22" i="3"/>
  <c r="H23" i="3"/>
  <c r="H24" i="3"/>
  <c r="H25" i="3"/>
  <c r="H26" i="3"/>
  <c r="H27" i="3"/>
  <c r="H28" i="3"/>
  <c r="H29" i="3"/>
  <c r="H30" i="3"/>
  <c r="H31" i="3"/>
  <c r="H32" i="3"/>
  <c r="H33" i="3"/>
  <c r="H34" i="3"/>
  <c r="H35" i="3"/>
  <c r="H36" i="3"/>
  <c r="H37" i="3"/>
  <c r="H38" i="3"/>
  <c r="H39" i="3"/>
  <c r="I40" i="3"/>
  <c r="Q29" i="4"/>
  <c r="H29" i="6" l="1"/>
  <c r="L28" i="7"/>
  <c r="J28" i="7"/>
  <c r="H28" i="7"/>
  <c r="AA29" i="7"/>
  <c r="Y29" i="7"/>
  <c r="W29" i="7"/>
  <c r="Z31" i="6"/>
  <c r="Z32" i="6"/>
  <c r="H27" i="6"/>
  <c r="Q26" i="6"/>
  <c r="Q27" i="6"/>
  <c r="H28" i="6"/>
  <c r="G37" i="1" l="1"/>
  <c r="H20" i="5" l="1"/>
  <c r="Q14" i="4"/>
  <c r="Q14" i="3"/>
  <c r="AA35" i="5"/>
  <c r="Z29" i="4"/>
  <c r="Z28" i="4"/>
  <c r="Z29" i="3"/>
  <c r="Z28" i="3"/>
  <c r="G66" i="18" l="1"/>
  <c r="G67" i="18"/>
  <c r="G65" i="18"/>
  <c r="G17" i="18"/>
  <c r="G18" i="18"/>
  <c r="G16" i="18"/>
  <c r="C17" i="18"/>
  <c r="C18" i="18"/>
  <c r="C16" i="18"/>
  <c r="D38" i="8" l="1"/>
  <c r="X5" i="4" l="1"/>
  <c r="X5" i="3"/>
  <c r="Z5" i="3" s="1"/>
  <c r="Y5" i="5"/>
  <c r="O5" i="4"/>
  <c r="O5" i="3"/>
  <c r="F5" i="4"/>
  <c r="F5" i="3"/>
  <c r="AJ5" i="7"/>
  <c r="P5" i="5"/>
  <c r="R5" i="5" s="1"/>
  <c r="F5" i="5"/>
  <c r="O21" i="3" l="1"/>
  <c r="F21" i="3"/>
  <c r="H21" i="3" s="1"/>
  <c r="F21" i="4"/>
  <c r="O21" i="4"/>
  <c r="F21" i="5"/>
  <c r="P21" i="5"/>
  <c r="R21" i="5" s="1"/>
  <c r="Q13" i="4" l="1"/>
  <c r="Y40" i="17"/>
  <c r="T40" i="17"/>
  <c r="S40" i="17"/>
  <c r="Y38" i="17"/>
  <c r="X38" i="17"/>
  <c r="W38" i="17"/>
  <c r="V38" i="17"/>
  <c r="U38" i="17"/>
  <c r="T38" i="17"/>
  <c r="S38" i="17"/>
  <c r="Y37" i="17"/>
  <c r="V35" i="17"/>
  <c r="Y34" i="17"/>
  <c r="X34" i="17"/>
  <c r="W34" i="17"/>
  <c r="V34" i="17"/>
  <c r="U34" i="17"/>
  <c r="T34" i="17"/>
  <c r="S34" i="17"/>
  <c r="Y31" i="17"/>
  <c r="X31" i="17"/>
  <c r="W31" i="17"/>
  <c r="V31" i="17"/>
  <c r="U31" i="17"/>
  <c r="T31" i="17"/>
  <c r="S31" i="17"/>
  <c r="Y30" i="17"/>
  <c r="X30" i="17"/>
  <c r="W30" i="17"/>
  <c r="V30" i="17"/>
  <c r="U30" i="17"/>
  <c r="T30" i="17"/>
  <c r="S30" i="17"/>
  <c r="Y29" i="17"/>
  <c r="Y28" i="17"/>
  <c r="X28" i="17"/>
  <c r="W28" i="17"/>
  <c r="V28" i="17"/>
  <c r="T28" i="17"/>
  <c r="S28" i="17"/>
  <c r="Y26" i="17"/>
  <c r="X26" i="17"/>
  <c r="W26" i="17"/>
  <c r="V26" i="17"/>
  <c r="U26" i="17"/>
  <c r="T26" i="17"/>
  <c r="S26" i="17"/>
  <c r="Y25" i="17"/>
  <c r="X25" i="17"/>
  <c r="W25" i="17"/>
  <c r="V25" i="17"/>
  <c r="U25" i="17"/>
  <c r="T25" i="17"/>
  <c r="S25" i="17"/>
  <c r="Y22" i="17"/>
  <c r="Y21" i="17"/>
  <c r="X21" i="17"/>
  <c r="W21" i="17"/>
  <c r="V21" i="17"/>
  <c r="U21" i="17"/>
  <c r="T21" i="17"/>
  <c r="S21" i="17"/>
  <c r="Y19" i="17"/>
  <c r="X19" i="17"/>
  <c r="W19" i="17"/>
  <c r="V19" i="17"/>
  <c r="U19" i="17"/>
  <c r="T19" i="17"/>
  <c r="S19" i="17"/>
  <c r="Y18" i="17"/>
  <c r="X18" i="17"/>
  <c r="W18" i="17"/>
  <c r="V18" i="17"/>
  <c r="U18" i="17"/>
  <c r="T18" i="17"/>
  <c r="S18" i="17"/>
  <c r="Y15" i="17"/>
  <c r="X15" i="17"/>
  <c r="W15" i="17"/>
  <c r="V15" i="17"/>
  <c r="U15" i="17"/>
  <c r="T15" i="17"/>
  <c r="S15" i="17"/>
  <c r="Y13" i="17"/>
  <c r="X13" i="17"/>
  <c r="W13" i="17"/>
  <c r="V13" i="17"/>
  <c r="T13" i="17"/>
  <c r="S13" i="17"/>
  <c r="Y12" i="17"/>
  <c r="X12" i="17"/>
  <c r="W12" i="17"/>
  <c r="V12" i="17"/>
  <c r="U12" i="17"/>
  <c r="T12" i="17"/>
  <c r="S12" i="17"/>
  <c r="Y11" i="17"/>
  <c r="X11" i="17"/>
  <c r="W11" i="17"/>
  <c r="U11" i="17"/>
  <c r="T11" i="17"/>
  <c r="S11" i="17"/>
  <c r="Y10" i="17"/>
  <c r="X10" i="17"/>
  <c r="W10" i="17"/>
  <c r="V10" i="17"/>
  <c r="U10" i="17"/>
  <c r="T10" i="17"/>
  <c r="S10" i="17"/>
  <c r="Y6" i="17"/>
  <c r="Y5" i="17"/>
  <c r="Y4" i="17"/>
  <c r="X4" i="17"/>
  <c r="W4" i="17"/>
  <c r="V4" i="17"/>
  <c r="U4" i="17"/>
  <c r="T4" i="17"/>
  <c r="S4" i="17"/>
  <c r="Q40" i="17"/>
  <c r="K39" i="17"/>
  <c r="Q38" i="17"/>
  <c r="Q37" i="17"/>
  <c r="Q35" i="17"/>
  <c r="Q34" i="17"/>
  <c r="P34" i="17"/>
  <c r="O34" i="17"/>
  <c r="N34" i="17"/>
  <c r="M34" i="17"/>
  <c r="L34" i="17"/>
  <c r="K34" i="17"/>
  <c r="Q31" i="17"/>
  <c r="P30" i="17"/>
  <c r="O30" i="17"/>
  <c r="N30" i="17"/>
  <c r="M30" i="17"/>
  <c r="L30" i="17"/>
  <c r="K30" i="17"/>
  <c r="Q29" i="17"/>
  <c r="Q28" i="17"/>
  <c r="P28" i="17"/>
  <c r="O28" i="17"/>
  <c r="N28" i="17"/>
  <c r="L28" i="17"/>
  <c r="K28" i="17"/>
  <c r="Q27" i="17"/>
  <c r="Q26" i="17"/>
  <c r="P26" i="17"/>
  <c r="O26" i="17"/>
  <c r="N26" i="17"/>
  <c r="K26" i="17"/>
  <c r="Q25" i="17"/>
  <c r="P25" i="17"/>
  <c r="O25" i="17"/>
  <c r="N25" i="17"/>
  <c r="M25" i="17"/>
  <c r="L25" i="17"/>
  <c r="K25" i="17"/>
  <c r="Q22" i="17"/>
  <c r="P22" i="17"/>
  <c r="O22" i="17"/>
  <c r="N22" i="17"/>
  <c r="M22" i="17"/>
  <c r="L22" i="17"/>
  <c r="K22" i="17"/>
  <c r="Q21" i="17"/>
  <c r="Q20" i="17"/>
  <c r="Q19" i="17"/>
  <c r="P18" i="17"/>
  <c r="O18" i="17"/>
  <c r="N18" i="17"/>
  <c r="M18" i="17"/>
  <c r="L18" i="17"/>
  <c r="K18" i="17"/>
  <c r="Q15" i="17"/>
  <c r="P15" i="17"/>
  <c r="O15" i="17"/>
  <c r="N15" i="17"/>
  <c r="M15" i="17"/>
  <c r="L15" i="17"/>
  <c r="K15" i="17"/>
  <c r="Q14" i="17"/>
  <c r="M14" i="17"/>
  <c r="K14" i="17"/>
  <c r="Q13" i="17"/>
  <c r="P13" i="17"/>
  <c r="O13" i="17"/>
  <c r="N13" i="17"/>
  <c r="L13" i="17"/>
  <c r="K13" i="17"/>
  <c r="Q12" i="17"/>
  <c r="P12" i="17"/>
  <c r="O12" i="17"/>
  <c r="N12" i="17"/>
  <c r="M12" i="17"/>
  <c r="L12" i="17"/>
  <c r="K12" i="17"/>
  <c r="Q11" i="17"/>
  <c r="P11" i="17"/>
  <c r="O11" i="17"/>
  <c r="N11" i="17"/>
  <c r="M11" i="17"/>
  <c r="L11" i="17"/>
  <c r="K11" i="17"/>
  <c r="Q6" i="17"/>
  <c r="Q5" i="17"/>
  <c r="K5" i="17"/>
  <c r="Q4" i="17"/>
  <c r="P4" i="17"/>
  <c r="O4" i="17"/>
  <c r="N4" i="17"/>
  <c r="M4" i="17"/>
  <c r="L4" i="17"/>
  <c r="K4" i="17"/>
  <c r="I40" i="17"/>
  <c r="I38" i="17"/>
  <c r="I37" i="17"/>
  <c r="I35" i="17"/>
  <c r="I34" i="17"/>
  <c r="H34" i="17"/>
  <c r="G34" i="17"/>
  <c r="F34" i="17"/>
  <c r="E34" i="17"/>
  <c r="D34" i="17"/>
  <c r="C34" i="17"/>
  <c r="I31" i="17"/>
  <c r="H31" i="17"/>
  <c r="G31" i="17"/>
  <c r="F31" i="17"/>
  <c r="E31" i="17"/>
  <c r="D31" i="17"/>
  <c r="C31" i="17"/>
  <c r="I30" i="17"/>
  <c r="H30" i="17"/>
  <c r="G30" i="17"/>
  <c r="F30" i="17"/>
  <c r="E30" i="17"/>
  <c r="D30" i="17"/>
  <c r="C30" i="17"/>
  <c r="I29" i="17"/>
  <c r="I28" i="17"/>
  <c r="H28" i="17"/>
  <c r="G28" i="17"/>
  <c r="F28" i="17"/>
  <c r="E28" i="17"/>
  <c r="D28" i="17"/>
  <c r="C28" i="17"/>
  <c r="I27" i="17"/>
  <c r="I26" i="17"/>
  <c r="D26" i="17"/>
  <c r="I25" i="17"/>
  <c r="I22" i="17"/>
  <c r="G22" i="17"/>
  <c r="F22" i="17"/>
  <c r="I21" i="17"/>
  <c r="H21" i="17"/>
  <c r="G21" i="17"/>
  <c r="F21" i="17"/>
  <c r="E21" i="17"/>
  <c r="D21" i="17"/>
  <c r="C21" i="17"/>
  <c r="I20" i="17"/>
  <c r="I19" i="17"/>
  <c r="H19" i="17"/>
  <c r="G19" i="17"/>
  <c r="F19" i="17"/>
  <c r="E19" i="17"/>
  <c r="D19" i="17"/>
  <c r="C19" i="17"/>
  <c r="I18" i="17"/>
  <c r="H18" i="17"/>
  <c r="G18" i="17"/>
  <c r="F18" i="17"/>
  <c r="E18" i="17"/>
  <c r="D18" i="17"/>
  <c r="C18" i="17"/>
  <c r="I15" i="17"/>
  <c r="H15" i="17"/>
  <c r="G15" i="17"/>
  <c r="F15" i="17"/>
  <c r="E15" i="17"/>
  <c r="D15" i="17"/>
  <c r="C15" i="17"/>
  <c r="I14" i="17"/>
  <c r="H14" i="17"/>
  <c r="G14" i="17"/>
  <c r="F14" i="17"/>
  <c r="D14" i="17"/>
  <c r="C14" i="17"/>
  <c r="I13" i="17"/>
  <c r="H13" i="17"/>
  <c r="G13" i="17"/>
  <c r="F13" i="17"/>
  <c r="I12" i="17"/>
  <c r="H12" i="17"/>
  <c r="G12" i="17"/>
  <c r="F12" i="17"/>
  <c r="E12" i="17"/>
  <c r="D12" i="17"/>
  <c r="C12" i="17"/>
  <c r="I11" i="17"/>
  <c r="H11" i="17"/>
  <c r="G11" i="17"/>
  <c r="F11" i="17"/>
  <c r="E11" i="17"/>
  <c r="D11" i="17"/>
  <c r="C11" i="17"/>
  <c r="I6" i="17"/>
  <c r="I5" i="17"/>
  <c r="Z38" i="17" l="1"/>
  <c r="R12" i="17"/>
  <c r="R15" i="17"/>
  <c r="Z25" i="17"/>
  <c r="Z15" i="17"/>
  <c r="R4" i="17"/>
  <c r="Z12" i="17"/>
  <c r="Z19" i="17"/>
  <c r="Z21" i="17"/>
  <c r="Z31" i="17"/>
  <c r="R22" i="17"/>
  <c r="Z4" i="17"/>
  <c r="Z18" i="17"/>
  <c r="Z26" i="17"/>
  <c r="Z10" i="17"/>
  <c r="Z34" i="17"/>
  <c r="Z30" i="17"/>
  <c r="R11" i="17"/>
  <c r="R25" i="17"/>
  <c r="R34" i="17"/>
  <c r="J34" i="17"/>
  <c r="J11" i="17"/>
  <c r="J18" i="17"/>
  <c r="J21" i="17"/>
  <c r="J28" i="17"/>
  <c r="J31" i="17"/>
  <c r="J12" i="17"/>
  <c r="J15" i="17"/>
  <c r="J19" i="17"/>
  <c r="J30" i="17"/>
  <c r="Y9" i="15" l="1"/>
  <c r="Q9" i="15"/>
  <c r="I9" i="15"/>
  <c r="Q4" i="15"/>
  <c r="I4" i="15"/>
  <c r="AC47" i="14" l="1"/>
  <c r="X47" i="14"/>
  <c r="W47" i="14"/>
  <c r="AC45" i="14"/>
  <c r="AB45" i="14"/>
  <c r="AA45" i="14"/>
  <c r="Z45" i="14"/>
  <c r="Y45" i="14"/>
  <c r="X45" i="14"/>
  <c r="W45" i="14"/>
  <c r="AC44" i="14"/>
  <c r="AB44" i="14"/>
  <c r="AA44" i="14"/>
  <c r="Z44" i="14"/>
  <c r="Y44" i="14"/>
  <c r="X44" i="14"/>
  <c r="W44" i="14"/>
  <c r="AC43" i="14"/>
  <c r="AB43" i="14"/>
  <c r="AA43" i="14"/>
  <c r="Z43" i="14"/>
  <c r="Y43" i="14"/>
  <c r="X43" i="14"/>
  <c r="W43" i="14"/>
  <c r="AC42" i="14"/>
  <c r="AC41" i="14"/>
  <c r="AB41" i="14"/>
  <c r="AA41" i="14"/>
  <c r="Z41" i="14"/>
  <c r="Y41" i="14"/>
  <c r="X41" i="14"/>
  <c r="W41" i="14"/>
  <c r="Z39" i="14"/>
  <c r="AC38" i="14"/>
  <c r="AB38" i="14"/>
  <c r="AA38" i="14"/>
  <c r="Z38" i="14"/>
  <c r="Y38" i="14"/>
  <c r="X38" i="14"/>
  <c r="W38" i="14"/>
  <c r="AC35" i="14"/>
  <c r="AB35" i="14"/>
  <c r="AA35" i="14"/>
  <c r="Z35" i="14"/>
  <c r="Y35" i="14"/>
  <c r="X35" i="14"/>
  <c r="W35" i="14"/>
  <c r="AC34" i="14"/>
  <c r="AB34" i="14"/>
  <c r="AA34" i="14"/>
  <c r="Z34" i="14"/>
  <c r="Y34" i="14"/>
  <c r="X34" i="14"/>
  <c r="W34" i="14"/>
  <c r="AC33" i="14"/>
  <c r="AB33" i="14"/>
  <c r="AA33" i="14"/>
  <c r="Z33" i="14"/>
  <c r="Y33" i="14"/>
  <c r="X33" i="14"/>
  <c r="W33" i="14"/>
  <c r="AC32" i="14"/>
  <c r="AC31" i="14"/>
  <c r="AB31" i="14"/>
  <c r="AA31" i="14"/>
  <c r="Z31" i="14"/>
  <c r="X31" i="14"/>
  <c r="W31" i="14"/>
  <c r="AC30" i="14"/>
  <c r="AB30" i="14"/>
  <c r="AA30" i="14"/>
  <c r="Z30" i="14"/>
  <c r="Y30" i="14"/>
  <c r="X30" i="14"/>
  <c r="W30" i="14"/>
  <c r="AC28" i="14"/>
  <c r="AB28" i="14"/>
  <c r="AA28" i="14"/>
  <c r="Z28" i="14"/>
  <c r="Y28" i="14"/>
  <c r="X28" i="14"/>
  <c r="W28" i="14"/>
  <c r="AC27" i="14"/>
  <c r="AB27" i="14"/>
  <c r="AA27" i="14"/>
  <c r="Z27" i="14"/>
  <c r="Y27" i="14"/>
  <c r="X27" i="14"/>
  <c r="W27" i="14"/>
  <c r="AC24" i="14"/>
  <c r="AC23" i="14"/>
  <c r="AB23" i="14"/>
  <c r="AA23" i="14"/>
  <c r="Z23" i="14"/>
  <c r="Y23" i="14"/>
  <c r="X23" i="14"/>
  <c r="W23" i="14"/>
  <c r="AC21" i="14"/>
  <c r="AB21" i="14"/>
  <c r="AA21" i="14"/>
  <c r="Z21" i="14"/>
  <c r="Y21" i="14"/>
  <c r="X21" i="14"/>
  <c r="W21" i="14"/>
  <c r="AC20" i="14"/>
  <c r="AB20" i="14"/>
  <c r="AA20" i="14"/>
  <c r="Z20" i="14"/>
  <c r="Y20" i="14"/>
  <c r="X20" i="14"/>
  <c r="W20" i="14"/>
  <c r="AC19" i="14"/>
  <c r="AB19" i="14"/>
  <c r="AA19" i="14"/>
  <c r="Z19" i="14"/>
  <c r="Y19" i="14"/>
  <c r="X19" i="14"/>
  <c r="W19" i="14"/>
  <c r="AC16" i="14"/>
  <c r="AB16" i="14"/>
  <c r="AA16" i="14"/>
  <c r="Z16" i="14"/>
  <c r="Y16" i="14"/>
  <c r="X16" i="14"/>
  <c r="W16" i="14"/>
  <c r="AC14" i="14"/>
  <c r="AB14" i="14"/>
  <c r="AA14" i="14"/>
  <c r="Z14" i="14"/>
  <c r="X14" i="14"/>
  <c r="W14" i="14"/>
  <c r="AC13" i="14"/>
  <c r="AB13" i="14"/>
  <c r="AA13" i="14"/>
  <c r="Z13" i="14"/>
  <c r="Y13" i="14"/>
  <c r="X13" i="14"/>
  <c r="W13" i="14"/>
  <c r="AC12" i="14"/>
  <c r="AB12" i="14"/>
  <c r="AA12" i="14"/>
  <c r="Z12" i="14"/>
  <c r="Y12" i="14"/>
  <c r="X12" i="14"/>
  <c r="W12" i="14"/>
  <c r="AC11" i="14"/>
  <c r="AB11" i="14"/>
  <c r="AA11" i="14"/>
  <c r="Y11" i="14"/>
  <c r="X11" i="14"/>
  <c r="W11" i="14"/>
  <c r="AC10" i="14"/>
  <c r="AB10" i="14"/>
  <c r="AA10" i="14"/>
  <c r="Z10" i="14"/>
  <c r="Y10" i="14"/>
  <c r="X10" i="14"/>
  <c r="W10" i="14"/>
  <c r="AC6" i="14"/>
  <c r="AC5" i="14"/>
  <c r="AC4" i="14"/>
  <c r="AB4" i="14"/>
  <c r="AA4" i="14"/>
  <c r="Z4" i="14"/>
  <c r="Y4" i="14"/>
  <c r="X4" i="14"/>
  <c r="W4" i="14"/>
  <c r="P4" i="14"/>
  <c r="P11" i="14"/>
  <c r="P12" i="14"/>
  <c r="P13" i="14"/>
  <c r="P14" i="14"/>
  <c r="P16" i="14"/>
  <c r="P19" i="14"/>
  <c r="P21" i="14"/>
  <c r="P24" i="14"/>
  <c r="P27" i="14"/>
  <c r="P28" i="14"/>
  <c r="P30" i="14"/>
  <c r="P31" i="14"/>
  <c r="P33" i="14"/>
  <c r="P38" i="14"/>
  <c r="P41" i="14"/>
  <c r="M5" i="14"/>
  <c r="S5" i="14"/>
  <c r="S6" i="14"/>
  <c r="M11" i="14"/>
  <c r="N11" i="14"/>
  <c r="O11" i="14"/>
  <c r="Q11" i="14"/>
  <c r="R11" i="14"/>
  <c r="S11" i="14"/>
  <c r="M12" i="14"/>
  <c r="N12" i="14"/>
  <c r="O12" i="14"/>
  <c r="Q12" i="14"/>
  <c r="R12" i="14"/>
  <c r="S12" i="14"/>
  <c r="N13" i="14"/>
  <c r="O13" i="14"/>
  <c r="Q13" i="14"/>
  <c r="R13" i="14"/>
  <c r="S13" i="14"/>
  <c r="M14" i="14"/>
  <c r="N14" i="14"/>
  <c r="Q14" i="14"/>
  <c r="R14" i="14"/>
  <c r="S14" i="14"/>
  <c r="M15" i="14"/>
  <c r="O15" i="14"/>
  <c r="S15" i="14"/>
  <c r="M16" i="14"/>
  <c r="N16" i="14"/>
  <c r="O16" i="14"/>
  <c r="Q16" i="14"/>
  <c r="R16" i="14"/>
  <c r="S16" i="14"/>
  <c r="M19" i="14"/>
  <c r="N19" i="14"/>
  <c r="O19" i="14"/>
  <c r="Q19" i="14"/>
  <c r="R19" i="14"/>
  <c r="S20" i="14"/>
  <c r="M21" i="14"/>
  <c r="N21" i="14"/>
  <c r="Q21" i="14"/>
  <c r="R21" i="14"/>
  <c r="S21" i="14"/>
  <c r="S22" i="14"/>
  <c r="S23" i="14"/>
  <c r="M24" i="14"/>
  <c r="N24" i="14"/>
  <c r="O24" i="14"/>
  <c r="Q24" i="14"/>
  <c r="R24" i="14"/>
  <c r="S24" i="14"/>
  <c r="M27" i="14"/>
  <c r="N27" i="14"/>
  <c r="O27" i="14"/>
  <c r="Q27" i="14"/>
  <c r="R27" i="14"/>
  <c r="S27" i="14"/>
  <c r="M28" i="14"/>
  <c r="Q28" i="14"/>
  <c r="R28" i="14"/>
  <c r="S28" i="14"/>
  <c r="S29" i="14"/>
  <c r="M30" i="14"/>
  <c r="N30" i="14"/>
  <c r="Q30" i="14"/>
  <c r="R30" i="14"/>
  <c r="S30" i="14"/>
  <c r="M31" i="14"/>
  <c r="N31" i="14"/>
  <c r="Q31" i="14"/>
  <c r="R31" i="14"/>
  <c r="S31" i="14"/>
  <c r="S32" i="14"/>
  <c r="M33" i="14"/>
  <c r="N33" i="14"/>
  <c r="O33" i="14"/>
  <c r="Q33" i="14"/>
  <c r="R33" i="14"/>
  <c r="S34" i="14"/>
  <c r="S35" i="14"/>
  <c r="M38" i="14"/>
  <c r="N38" i="14"/>
  <c r="O38" i="14"/>
  <c r="Q38" i="14"/>
  <c r="R38" i="14"/>
  <c r="S38" i="14"/>
  <c r="S39" i="14"/>
  <c r="M41" i="14"/>
  <c r="N41" i="14"/>
  <c r="O41" i="14"/>
  <c r="Q41" i="14"/>
  <c r="R41" i="14"/>
  <c r="S41" i="14"/>
  <c r="S42" i="14"/>
  <c r="S43" i="14"/>
  <c r="S44" i="14"/>
  <c r="S45" i="14"/>
  <c r="M46" i="14"/>
  <c r="S47" i="14"/>
  <c r="M4" i="14"/>
  <c r="N4" i="14"/>
  <c r="O4" i="14"/>
  <c r="Q4" i="14"/>
  <c r="R4" i="14"/>
  <c r="S4" i="14"/>
  <c r="I47" i="14"/>
  <c r="I45" i="14"/>
  <c r="I44" i="14"/>
  <c r="I43" i="14"/>
  <c r="I42" i="14"/>
  <c r="I41" i="14"/>
  <c r="H41" i="14"/>
  <c r="G41" i="14"/>
  <c r="F41" i="14"/>
  <c r="D41" i="14"/>
  <c r="C41" i="14"/>
  <c r="I39" i="14"/>
  <c r="I38" i="14"/>
  <c r="H38" i="14"/>
  <c r="G38" i="14"/>
  <c r="F38" i="14"/>
  <c r="E38" i="14"/>
  <c r="D38" i="14"/>
  <c r="C38" i="14"/>
  <c r="I35" i="14"/>
  <c r="H35" i="14"/>
  <c r="G35" i="14"/>
  <c r="F35" i="14"/>
  <c r="E35" i="14"/>
  <c r="D35" i="14"/>
  <c r="C35" i="14"/>
  <c r="I34" i="14"/>
  <c r="H34" i="14"/>
  <c r="G34" i="14"/>
  <c r="F34" i="14"/>
  <c r="E34" i="14"/>
  <c r="D34" i="14"/>
  <c r="C34" i="14"/>
  <c r="I33" i="14"/>
  <c r="H33" i="14"/>
  <c r="G33" i="14"/>
  <c r="F33" i="14"/>
  <c r="E33" i="14"/>
  <c r="D33" i="14"/>
  <c r="C33" i="14"/>
  <c r="I32" i="14"/>
  <c r="I31" i="14"/>
  <c r="H31" i="14"/>
  <c r="G31" i="14"/>
  <c r="F31" i="14"/>
  <c r="E31" i="14"/>
  <c r="D31" i="14"/>
  <c r="C31" i="14"/>
  <c r="I30" i="14"/>
  <c r="H30" i="14"/>
  <c r="G30" i="14"/>
  <c r="F30" i="14"/>
  <c r="E30" i="14"/>
  <c r="D30" i="14"/>
  <c r="C30" i="14"/>
  <c r="I29" i="14"/>
  <c r="I28" i="14"/>
  <c r="D28" i="14"/>
  <c r="I27" i="14"/>
  <c r="I24" i="14"/>
  <c r="G24" i="14"/>
  <c r="F24" i="14"/>
  <c r="I23" i="14"/>
  <c r="H23" i="14"/>
  <c r="G23" i="14"/>
  <c r="F23" i="14"/>
  <c r="E23" i="14"/>
  <c r="D23" i="14"/>
  <c r="C23" i="14"/>
  <c r="I22" i="14"/>
  <c r="I21" i="14"/>
  <c r="H21" i="14"/>
  <c r="G21" i="14"/>
  <c r="F21" i="14"/>
  <c r="E21" i="14"/>
  <c r="D21" i="14"/>
  <c r="C21" i="14"/>
  <c r="I20" i="14"/>
  <c r="H20" i="14"/>
  <c r="G20" i="14"/>
  <c r="F20" i="14"/>
  <c r="E20" i="14"/>
  <c r="D20" i="14"/>
  <c r="C20" i="14"/>
  <c r="I19" i="14"/>
  <c r="H19" i="14"/>
  <c r="G19" i="14"/>
  <c r="F19" i="14"/>
  <c r="E19" i="14"/>
  <c r="D19" i="14"/>
  <c r="C19" i="14"/>
  <c r="I16" i="14"/>
  <c r="H16" i="14"/>
  <c r="G16" i="14"/>
  <c r="F16" i="14"/>
  <c r="E16" i="14"/>
  <c r="D16" i="14"/>
  <c r="C16" i="14"/>
  <c r="I15" i="14"/>
  <c r="H15" i="14"/>
  <c r="G15" i="14"/>
  <c r="F15" i="14"/>
  <c r="D15" i="14"/>
  <c r="C15" i="14"/>
  <c r="I14" i="14"/>
  <c r="H14" i="14"/>
  <c r="G14" i="14"/>
  <c r="F14" i="14"/>
  <c r="I13" i="14"/>
  <c r="H13" i="14"/>
  <c r="G13" i="14"/>
  <c r="F13" i="14"/>
  <c r="E13" i="14"/>
  <c r="D13" i="14"/>
  <c r="C13" i="14"/>
  <c r="I12" i="14"/>
  <c r="H12" i="14"/>
  <c r="G12" i="14"/>
  <c r="F12" i="14"/>
  <c r="E12" i="14"/>
  <c r="D12" i="14"/>
  <c r="C12" i="14"/>
  <c r="I11" i="14"/>
  <c r="H11" i="14"/>
  <c r="G11" i="14"/>
  <c r="F11" i="14"/>
  <c r="E11" i="14"/>
  <c r="D11" i="14"/>
  <c r="C11" i="14"/>
  <c r="I6" i="14"/>
  <c r="I5" i="14"/>
  <c r="T4" i="14" l="1"/>
  <c r="AD45" i="14"/>
  <c r="AD41" i="14"/>
  <c r="AD21" i="14"/>
  <c r="AD33" i="14"/>
  <c r="AD10" i="14"/>
  <c r="AD12" i="14"/>
  <c r="AD13" i="14"/>
  <c r="AD16" i="14"/>
  <c r="AD19" i="14"/>
  <c r="AD20" i="14"/>
  <c r="AD23" i="14"/>
  <c r="AD27" i="14"/>
  <c r="AD28" i="14"/>
  <c r="AD30" i="14"/>
  <c r="AD34" i="14"/>
  <c r="AD35" i="14"/>
  <c r="AD43" i="14"/>
  <c r="AD44" i="14"/>
  <c r="J30" i="14"/>
  <c r="J34" i="14"/>
  <c r="J38" i="14"/>
  <c r="J21" i="14"/>
  <c r="J33" i="14"/>
  <c r="J11" i="14"/>
  <c r="J19" i="14"/>
  <c r="J23" i="14"/>
  <c r="J31" i="14"/>
  <c r="J35" i="14"/>
  <c r="T38" i="14"/>
  <c r="T24" i="14"/>
  <c r="T16" i="14"/>
  <c r="T12" i="14"/>
  <c r="AD38" i="14"/>
  <c r="J13" i="14"/>
  <c r="J12" i="14"/>
  <c r="J16" i="14"/>
  <c r="J20" i="14"/>
  <c r="T27" i="14"/>
  <c r="T11" i="14"/>
  <c r="AD4" i="14"/>
  <c r="T41" i="14"/>
  <c r="J21" i="8"/>
  <c r="J23" i="8"/>
  <c r="D25" i="8"/>
  <c r="J34" i="8"/>
  <c r="J10" i="8"/>
  <c r="J8" i="8"/>
  <c r="I40" i="4"/>
  <c r="R43" i="4"/>
  <c r="AA40" i="4"/>
  <c r="R42" i="3"/>
  <c r="AA40" i="3"/>
  <c r="O38" i="7"/>
  <c r="AB39" i="7"/>
  <c r="AO38" i="7"/>
  <c r="I30" i="6"/>
  <c r="R28" i="6"/>
  <c r="AA33" i="6"/>
  <c r="AJ29" i="7"/>
  <c r="AL29" i="7"/>
  <c r="AN29" i="7"/>
  <c r="H5" i="6"/>
  <c r="Z30" i="6"/>
  <c r="Z29" i="6"/>
  <c r="Z28" i="6"/>
  <c r="Z27" i="6"/>
  <c r="Z26" i="6"/>
  <c r="Z25" i="6"/>
  <c r="Z24" i="6"/>
  <c r="Z23" i="6"/>
  <c r="Z22" i="6"/>
  <c r="Z21" i="6"/>
  <c r="Z20" i="6"/>
  <c r="Z19" i="6"/>
  <c r="Y7" i="15" s="1"/>
  <c r="Z16" i="6"/>
  <c r="Z15" i="6"/>
  <c r="Z14" i="6"/>
  <c r="Z13" i="6"/>
  <c r="Z12" i="6"/>
  <c r="Z11" i="6"/>
  <c r="Z10" i="6"/>
  <c r="Z9" i="6"/>
  <c r="Z8" i="6"/>
  <c r="Z7" i="6"/>
  <c r="Z6" i="6"/>
  <c r="Z5" i="6"/>
  <c r="Q25" i="6"/>
  <c r="Q24" i="6"/>
  <c r="Q23" i="6"/>
  <c r="Q22" i="6"/>
  <c r="Q21" i="6"/>
  <c r="Q20" i="6"/>
  <c r="Q19" i="6"/>
  <c r="Q18" i="6"/>
  <c r="Q17" i="6"/>
  <c r="Q16" i="6"/>
  <c r="Q15" i="6"/>
  <c r="J22" i="8" s="1"/>
  <c r="Q14" i="6"/>
  <c r="Q13" i="6"/>
  <c r="Q12" i="6"/>
  <c r="Q11" i="6"/>
  <c r="Q10" i="6"/>
  <c r="Q9" i="6"/>
  <c r="Q8" i="6"/>
  <c r="Q7" i="6"/>
  <c r="Q6" i="6"/>
  <c r="Q5" i="6"/>
  <c r="H26" i="6"/>
  <c r="H25" i="6"/>
  <c r="H24" i="6"/>
  <c r="H23" i="6"/>
  <c r="H22" i="6"/>
  <c r="H21" i="6"/>
  <c r="H20" i="6"/>
  <c r="H19" i="6"/>
  <c r="H18" i="6"/>
  <c r="H17" i="6"/>
  <c r="H16" i="6"/>
  <c r="H15" i="6"/>
  <c r="H14" i="6"/>
  <c r="H13" i="6"/>
  <c r="H12" i="6"/>
  <c r="H11" i="6"/>
  <c r="H10" i="6"/>
  <c r="H9" i="6"/>
  <c r="H8" i="6"/>
  <c r="H7" i="6"/>
  <c r="H6" i="6"/>
  <c r="AN37" i="7"/>
  <c r="I32" i="8" s="1"/>
  <c r="AL37" i="7"/>
  <c r="AJ37" i="7"/>
  <c r="AN36" i="7"/>
  <c r="AL36" i="7"/>
  <c r="AJ36" i="7"/>
  <c r="AN35" i="7"/>
  <c r="AL35" i="7"/>
  <c r="AJ35" i="7"/>
  <c r="G32" i="8" s="1"/>
  <c r="AN34" i="7"/>
  <c r="AL34" i="7"/>
  <c r="AJ34" i="7"/>
  <c r="AN33" i="7"/>
  <c r="AL33" i="7"/>
  <c r="W11" i="15" s="1"/>
  <c r="AJ33" i="7"/>
  <c r="G38" i="8" s="1"/>
  <c r="AN32" i="7"/>
  <c r="AL32" i="7"/>
  <c r="AJ32" i="7"/>
  <c r="AN31" i="7"/>
  <c r="AL31" i="7"/>
  <c r="AJ31" i="7"/>
  <c r="AN30" i="7"/>
  <c r="AL30" i="7"/>
  <c r="AJ30" i="7"/>
  <c r="AN28" i="7"/>
  <c r="AL28" i="7"/>
  <c r="AJ28" i="7"/>
  <c r="AN27" i="7"/>
  <c r="AL27" i="7"/>
  <c r="AJ27" i="7"/>
  <c r="AN26" i="7"/>
  <c r="AL26" i="7"/>
  <c r="AJ26" i="7"/>
  <c r="AN25" i="7"/>
  <c r="AL25" i="7"/>
  <c r="AJ25" i="7"/>
  <c r="AN24" i="7"/>
  <c r="AL24" i="7"/>
  <c r="AJ24" i="7"/>
  <c r="AN23" i="7"/>
  <c r="AL23" i="7"/>
  <c r="AJ23" i="7"/>
  <c r="AN22" i="7"/>
  <c r="X7" i="15" s="1"/>
  <c r="AL22" i="7"/>
  <c r="W7" i="15" s="1"/>
  <c r="AJ22" i="7"/>
  <c r="G33" i="8" s="1"/>
  <c r="AJ20" i="7"/>
  <c r="AN19" i="7"/>
  <c r="AL19" i="7"/>
  <c r="AJ19" i="7"/>
  <c r="AN18" i="7"/>
  <c r="AL18" i="7"/>
  <c r="AJ18" i="7"/>
  <c r="AN17" i="7"/>
  <c r="AL17" i="7"/>
  <c r="AJ17" i="7"/>
  <c r="AN16" i="7"/>
  <c r="AL16" i="7"/>
  <c r="AJ16" i="7"/>
  <c r="AN15" i="7"/>
  <c r="AL15" i="7"/>
  <c r="AJ15" i="7"/>
  <c r="AN14" i="7"/>
  <c r="AL14" i="7"/>
  <c r="AJ14" i="7"/>
  <c r="AN13" i="7"/>
  <c r="AL13" i="7"/>
  <c r="AJ13" i="7"/>
  <c r="AN12" i="7"/>
  <c r="AL12" i="7"/>
  <c r="AJ12" i="7"/>
  <c r="AN11" i="7"/>
  <c r="AL11" i="7"/>
  <c r="AJ11" i="7"/>
  <c r="AN10" i="7"/>
  <c r="AL10" i="7"/>
  <c r="AJ10" i="7"/>
  <c r="AN9" i="7"/>
  <c r="AL9" i="7"/>
  <c r="AJ9" i="7"/>
  <c r="AN8" i="7"/>
  <c r="AL8" i="7"/>
  <c r="AJ8" i="7"/>
  <c r="AN7" i="7"/>
  <c r="AL7" i="7"/>
  <c r="AJ7" i="7"/>
  <c r="AN6" i="7"/>
  <c r="AL6" i="7"/>
  <c r="AJ6" i="7"/>
  <c r="AN5" i="7"/>
  <c r="AL5" i="7"/>
  <c r="AA38" i="7"/>
  <c r="Y38" i="7"/>
  <c r="W38" i="7"/>
  <c r="AA37" i="7"/>
  <c r="Y37" i="7"/>
  <c r="W37" i="7"/>
  <c r="AA36" i="7"/>
  <c r="Y36" i="7"/>
  <c r="W36" i="7"/>
  <c r="AA35" i="7"/>
  <c r="Y35" i="7"/>
  <c r="O12" i="15" s="1"/>
  <c r="W35" i="7"/>
  <c r="AA34" i="7"/>
  <c r="I25" i="8" s="1"/>
  <c r="Y34" i="7"/>
  <c r="O11" i="15" s="1"/>
  <c r="W34" i="7"/>
  <c r="G25" i="8" s="1"/>
  <c r="AA33" i="7"/>
  <c r="Y33" i="7"/>
  <c r="W33" i="7"/>
  <c r="AA32" i="7"/>
  <c r="Y32" i="7"/>
  <c r="W32" i="7"/>
  <c r="AA31" i="7"/>
  <c r="Y31" i="7"/>
  <c r="W31" i="7"/>
  <c r="AA30" i="7"/>
  <c r="Y30" i="7"/>
  <c r="W30" i="7"/>
  <c r="AA28" i="7"/>
  <c r="Y28" i="7"/>
  <c r="W28" i="7"/>
  <c r="AA27" i="7"/>
  <c r="Y27" i="7"/>
  <c r="W27" i="7"/>
  <c r="AA26" i="7"/>
  <c r="Y26" i="7"/>
  <c r="W26" i="7"/>
  <c r="AA25" i="7"/>
  <c r="Y25" i="7"/>
  <c r="W25" i="7"/>
  <c r="AA24" i="7"/>
  <c r="Y24" i="7"/>
  <c r="W24" i="7"/>
  <c r="AA23" i="7"/>
  <c r="Y23" i="7"/>
  <c r="H22" i="8" s="1"/>
  <c r="W23" i="7"/>
  <c r="AA22" i="7"/>
  <c r="Y22" i="7"/>
  <c r="W22" i="7"/>
  <c r="AA21" i="7"/>
  <c r="Y21" i="7"/>
  <c r="W21" i="7"/>
  <c r="G20" i="8" s="1"/>
  <c r="AA20" i="7"/>
  <c r="Y20" i="7"/>
  <c r="W20" i="7"/>
  <c r="AA19" i="7"/>
  <c r="Y19" i="7"/>
  <c r="W19" i="7"/>
  <c r="AA18" i="7"/>
  <c r="Y18" i="7"/>
  <c r="W18" i="7"/>
  <c r="AA17" i="7"/>
  <c r="Y17" i="7"/>
  <c r="W17" i="7"/>
  <c r="AA16" i="7"/>
  <c r="Y16" i="7"/>
  <c r="W16" i="7"/>
  <c r="AA15" i="7"/>
  <c r="Y15" i="7"/>
  <c r="W15" i="7"/>
  <c r="AA14" i="7"/>
  <c r="Y14" i="7"/>
  <c r="W14" i="7"/>
  <c r="AA13" i="7"/>
  <c r="Y13" i="7"/>
  <c r="W13" i="7"/>
  <c r="AA12" i="7"/>
  <c r="Y12" i="7"/>
  <c r="W12" i="7"/>
  <c r="AA11" i="7"/>
  <c r="I18" i="8" s="1"/>
  <c r="Y11" i="7"/>
  <c r="W11" i="7"/>
  <c r="AA10" i="7"/>
  <c r="Y10" i="7"/>
  <c r="W10" i="7"/>
  <c r="AA9" i="7"/>
  <c r="Y9" i="7"/>
  <c r="W9" i="7"/>
  <c r="AA8" i="7"/>
  <c r="Y8" i="7"/>
  <c r="W8" i="7"/>
  <c r="AA7" i="7"/>
  <c r="Y7" i="7"/>
  <c r="W7" i="7"/>
  <c r="AA6" i="7"/>
  <c r="Y6" i="7"/>
  <c r="W6" i="7"/>
  <c r="AA5" i="7"/>
  <c r="Y5" i="7"/>
  <c r="W5" i="7"/>
  <c r="N37" i="7"/>
  <c r="L37" i="7"/>
  <c r="J37" i="7"/>
  <c r="H37" i="7"/>
  <c r="N36" i="7"/>
  <c r="L36" i="7"/>
  <c r="J36" i="7"/>
  <c r="H36" i="7"/>
  <c r="N35" i="7"/>
  <c r="L35" i="7"/>
  <c r="J35" i="7"/>
  <c r="H35" i="7"/>
  <c r="N34" i="7"/>
  <c r="I6" i="8" s="1"/>
  <c r="L34" i="7"/>
  <c r="H6" i="8" s="1"/>
  <c r="J34" i="7"/>
  <c r="G6" i="8" s="1"/>
  <c r="N33" i="7"/>
  <c r="L33" i="7"/>
  <c r="H12" i="8" s="1"/>
  <c r="J33" i="7"/>
  <c r="G12" i="8" s="1"/>
  <c r="H33" i="7"/>
  <c r="N32" i="7"/>
  <c r="L32" i="7"/>
  <c r="J32" i="7"/>
  <c r="H32" i="7"/>
  <c r="N31" i="7"/>
  <c r="L31" i="7"/>
  <c r="J31" i="7"/>
  <c r="N30" i="7"/>
  <c r="L30" i="7"/>
  <c r="J30" i="7"/>
  <c r="H30" i="7"/>
  <c r="N29" i="7"/>
  <c r="L29" i="7"/>
  <c r="J29" i="7"/>
  <c r="H29" i="7"/>
  <c r="N28" i="7"/>
  <c r="N27" i="7"/>
  <c r="L27" i="7"/>
  <c r="J27" i="7"/>
  <c r="H27" i="7"/>
  <c r="N26" i="7"/>
  <c r="L26" i="7"/>
  <c r="J26" i="7"/>
  <c r="N25" i="7"/>
  <c r="L25" i="7"/>
  <c r="H8" i="8" s="1"/>
  <c r="J25" i="7"/>
  <c r="N24" i="7"/>
  <c r="L24" i="7"/>
  <c r="H9" i="8" s="1"/>
  <c r="J24" i="7"/>
  <c r="N23" i="7"/>
  <c r="L23" i="7"/>
  <c r="J23" i="7"/>
  <c r="G9" i="8" s="1"/>
  <c r="N22" i="7"/>
  <c r="L22" i="7"/>
  <c r="J22" i="7"/>
  <c r="H22" i="7"/>
  <c r="N21" i="7"/>
  <c r="L21" i="7"/>
  <c r="J21" i="7"/>
  <c r="H21" i="7"/>
  <c r="N20" i="7"/>
  <c r="L20" i="7"/>
  <c r="J20" i="7"/>
  <c r="G7" i="8" s="1"/>
  <c r="N19" i="7"/>
  <c r="L19" i="7"/>
  <c r="J19" i="7"/>
  <c r="N18" i="7"/>
  <c r="L18" i="7"/>
  <c r="J18" i="7"/>
  <c r="N17" i="7"/>
  <c r="L17" i="7"/>
  <c r="J17" i="7"/>
  <c r="N16" i="7"/>
  <c r="L16" i="7"/>
  <c r="J16" i="7"/>
  <c r="N15" i="7"/>
  <c r="L15" i="7"/>
  <c r="J15" i="7"/>
  <c r="N14" i="7"/>
  <c r="L14" i="7"/>
  <c r="J14" i="7"/>
  <c r="H14" i="7"/>
  <c r="N13" i="7"/>
  <c r="L13" i="7"/>
  <c r="J13" i="7"/>
  <c r="H13" i="7"/>
  <c r="N12" i="7"/>
  <c r="L12" i="7"/>
  <c r="J12" i="7"/>
  <c r="N11" i="7"/>
  <c r="L11" i="7"/>
  <c r="J11" i="7"/>
  <c r="N10" i="7"/>
  <c r="L10" i="7"/>
  <c r="J10" i="7"/>
  <c r="N9" i="7"/>
  <c r="L9" i="7"/>
  <c r="J9" i="7"/>
  <c r="N8" i="7"/>
  <c r="L8" i="7"/>
  <c r="J8" i="7"/>
  <c r="H8" i="7"/>
  <c r="N7" i="7"/>
  <c r="L7" i="7"/>
  <c r="J7" i="7"/>
  <c r="H7" i="7"/>
  <c r="N5" i="7"/>
  <c r="I10" i="8" s="1"/>
  <c r="L5" i="7"/>
  <c r="H10" i="8" s="1"/>
  <c r="J5" i="7"/>
  <c r="H5" i="7"/>
  <c r="H34" i="7"/>
  <c r="H31" i="7"/>
  <c r="H26" i="7"/>
  <c r="H25" i="7"/>
  <c r="H24" i="7"/>
  <c r="H23" i="7"/>
  <c r="H20" i="7"/>
  <c r="H19" i="7"/>
  <c r="H18" i="7"/>
  <c r="H17" i="7"/>
  <c r="H16" i="7"/>
  <c r="H15" i="7"/>
  <c r="H12" i="7"/>
  <c r="H11" i="7"/>
  <c r="H10" i="7"/>
  <c r="H9" i="7"/>
  <c r="AA39" i="5"/>
  <c r="AA38" i="5"/>
  <c r="AA37" i="5"/>
  <c r="AA36" i="5"/>
  <c r="AA34" i="5"/>
  <c r="AA33" i="5"/>
  <c r="AA32" i="5"/>
  <c r="AA31" i="5"/>
  <c r="AA30" i="5"/>
  <c r="AA29" i="5"/>
  <c r="AA28" i="5"/>
  <c r="AA27" i="5"/>
  <c r="AA26" i="5"/>
  <c r="AA25" i="5"/>
  <c r="AA24" i="5"/>
  <c r="AA23" i="5"/>
  <c r="AA20" i="5"/>
  <c r="AA19" i="5"/>
  <c r="AA18" i="5"/>
  <c r="AA17" i="5"/>
  <c r="AA16" i="5"/>
  <c r="AA15" i="5"/>
  <c r="AA14" i="5"/>
  <c r="AA13" i="5"/>
  <c r="AA12" i="5"/>
  <c r="AA11" i="5"/>
  <c r="AA10" i="5"/>
  <c r="AA9" i="5"/>
  <c r="AA8" i="5"/>
  <c r="AA7" i="5"/>
  <c r="AA6" i="5"/>
  <c r="AA5" i="5"/>
  <c r="I4" i="8" l="1"/>
  <c r="H23" i="8"/>
  <c r="H32" i="8"/>
  <c r="H38" i="8"/>
  <c r="D33" i="8"/>
  <c r="H5" i="8"/>
  <c r="I11" i="8"/>
  <c r="J38" i="7"/>
  <c r="AA39" i="7"/>
  <c r="I21" i="8"/>
  <c r="U22" i="17"/>
  <c r="Y24" i="14"/>
  <c r="H22" i="17"/>
  <c r="H24" i="14"/>
  <c r="G34" i="8"/>
  <c r="X22" i="17"/>
  <c r="W22" i="17"/>
  <c r="AA24" i="14"/>
  <c r="AB24" i="14"/>
  <c r="V22" i="17"/>
  <c r="Z24" i="14"/>
  <c r="L38" i="7"/>
  <c r="I5" i="8"/>
  <c r="I23" i="8"/>
  <c r="G24" i="8"/>
  <c r="H20" i="8"/>
  <c r="H17" i="8"/>
  <c r="W39" i="7"/>
  <c r="I19" i="8"/>
  <c r="I37" i="8"/>
  <c r="H30" i="8"/>
  <c r="Y39" i="7"/>
  <c r="H24" i="8"/>
  <c r="I20" i="8"/>
  <c r="H31" i="8"/>
  <c r="G30" i="8"/>
  <c r="G10" i="8"/>
  <c r="I33" i="8"/>
  <c r="H33" i="8"/>
  <c r="H19" i="8"/>
  <c r="F8" i="17"/>
  <c r="F5" i="15"/>
  <c r="F8" i="14"/>
  <c r="G5" i="8"/>
  <c r="G23" i="17"/>
  <c r="G25" i="14"/>
  <c r="H29" i="17"/>
  <c r="H32" i="14"/>
  <c r="F6" i="15"/>
  <c r="F24" i="17"/>
  <c r="F26" i="14"/>
  <c r="G11" i="8"/>
  <c r="G6" i="17"/>
  <c r="G6" i="14"/>
  <c r="H7" i="17"/>
  <c r="H7" i="14"/>
  <c r="F26" i="17"/>
  <c r="F28" i="14"/>
  <c r="G10" i="17"/>
  <c r="G7" i="15"/>
  <c r="G10" i="14"/>
  <c r="H7" i="8"/>
  <c r="H32" i="17"/>
  <c r="H8" i="15"/>
  <c r="H36" i="14"/>
  <c r="I9" i="8"/>
  <c r="F37" i="17"/>
  <c r="F9" i="15"/>
  <c r="F42" i="14"/>
  <c r="G8" i="8"/>
  <c r="G40" i="17"/>
  <c r="G47" i="14"/>
  <c r="G39" i="17"/>
  <c r="G10" i="15"/>
  <c r="G46" i="14"/>
  <c r="H4" i="8"/>
  <c r="G9" i="17"/>
  <c r="G9" i="14"/>
  <c r="H38" i="17"/>
  <c r="H45" i="14"/>
  <c r="H44" i="14"/>
  <c r="H43" i="14"/>
  <c r="H16" i="17"/>
  <c r="H11" i="15"/>
  <c r="H17" i="14"/>
  <c r="I12" i="8"/>
  <c r="N38" i="7"/>
  <c r="N35" i="17"/>
  <c r="N4" i="15"/>
  <c r="P39" i="14"/>
  <c r="G23" i="8"/>
  <c r="P20" i="17"/>
  <c r="O20" i="17"/>
  <c r="Q22" i="14"/>
  <c r="R22" i="14"/>
  <c r="N8" i="17"/>
  <c r="N5" i="15"/>
  <c r="P8" i="14"/>
  <c r="G18" i="8"/>
  <c r="P29" i="17"/>
  <c r="O29" i="17"/>
  <c r="R32" i="14"/>
  <c r="Q32" i="14"/>
  <c r="N19" i="17"/>
  <c r="P20" i="14"/>
  <c r="O24" i="17"/>
  <c r="P24" i="17"/>
  <c r="P6" i="15"/>
  <c r="Q26" i="14"/>
  <c r="R26" i="14"/>
  <c r="I24" i="8"/>
  <c r="N7" i="17"/>
  <c r="P7" i="14"/>
  <c r="O32" i="17"/>
  <c r="P32" i="17"/>
  <c r="P8" i="15"/>
  <c r="Q36" i="14"/>
  <c r="R36" i="14"/>
  <c r="I22" i="8"/>
  <c r="N37" i="17"/>
  <c r="N9" i="15"/>
  <c r="P42" i="14"/>
  <c r="G21" i="8"/>
  <c r="O31" i="17"/>
  <c r="P31" i="17"/>
  <c r="R34" i="14"/>
  <c r="Q35" i="14"/>
  <c r="Q34" i="14"/>
  <c r="R35" i="14"/>
  <c r="N39" i="17"/>
  <c r="N10" i="15"/>
  <c r="P46" i="14"/>
  <c r="G17" i="8"/>
  <c r="O38" i="17"/>
  <c r="P38" i="17"/>
  <c r="Q44" i="14"/>
  <c r="R45" i="14"/>
  <c r="Q43" i="14"/>
  <c r="R44" i="14"/>
  <c r="R43" i="14"/>
  <c r="Q45" i="14"/>
  <c r="N16" i="17"/>
  <c r="N11" i="15"/>
  <c r="P17" i="14"/>
  <c r="P36" i="17"/>
  <c r="O36" i="17"/>
  <c r="Q40" i="14"/>
  <c r="R40" i="14"/>
  <c r="X35" i="17"/>
  <c r="W35" i="17"/>
  <c r="X4" i="15"/>
  <c r="AA39" i="14"/>
  <c r="AB39" i="14"/>
  <c r="I36" i="8"/>
  <c r="V20" i="17"/>
  <c r="Z22" i="14"/>
  <c r="X8" i="17"/>
  <c r="W8" i="17"/>
  <c r="X5" i="15"/>
  <c r="AA8" i="14"/>
  <c r="AB8" i="14"/>
  <c r="I31" i="8"/>
  <c r="V29" i="17"/>
  <c r="Z32" i="14"/>
  <c r="V24" i="17"/>
  <c r="V6" i="15"/>
  <c r="Z26" i="14"/>
  <c r="G37" i="8"/>
  <c r="X7" i="17"/>
  <c r="W7" i="17"/>
  <c r="AA7" i="14"/>
  <c r="AB7" i="14"/>
  <c r="W8" i="15"/>
  <c r="H35" i="8"/>
  <c r="W33" i="17"/>
  <c r="X33" i="17"/>
  <c r="AB37" i="14"/>
  <c r="AA37" i="14"/>
  <c r="W16" i="17"/>
  <c r="X16" i="17"/>
  <c r="X11" i="15"/>
  <c r="AB17" i="14"/>
  <c r="AA17" i="14"/>
  <c r="I38" i="8"/>
  <c r="V36" i="17"/>
  <c r="Z40" i="14"/>
  <c r="X39" i="17"/>
  <c r="W39" i="17"/>
  <c r="X10" i="15"/>
  <c r="AB46" i="14"/>
  <c r="AA46" i="14"/>
  <c r="I30" i="8"/>
  <c r="G35" i="17"/>
  <c r="G4" i="15"/>
  <c r="G39" i="14"/>
  <c r="H8" i="17"/>
  <c r="H5" i="15"/>
  <c r="H8" i="14"/>
  <c r="G5" i="17"/>
  <c r="G5" i="14"/>
  <c r="H24" i="17"/>
  <c r="H6" i="15"/>
  <c r="H26" i="14"/>
  <c r="H26" i="17"/>
  <c r="H28" i="14"/>
  <c r="G33" i="17"/>
  <c r="G37" i="14"/>
  <c r="G17" i="17"/>
  <c r="G12" i="15"/>
  <c r="G18" i="14"/>
  <c r="O35" i="17"/>
  <c r="P35" i="17"/>
  <c r="P4" i="15"/>
  <c r="R39" i="14"/>
  <c r="Q39" i="14"/>
  <c r="P8" i="17"/>
  <c r="O8" i="17"/>
  <c r="P5" i="15"/>
  <c r="Q8" i="14"/>
  <c r="R8" i="14"/>
  <c r="N29" i="17"/>
  <c r="P32" i="14"/>
  <c r="P19" i="17"/>
  <c r="O19" i="17"/>
  <c r="Q20" i="14"/>
  <c r="R20" i="14"/>
  <c r="N24" i="17"/>
  <c r="N6" i="15"/>
  <c r="P26" i="14"/>
  <c r="P7" i="17"/>
  <c r="O7" i="17"/>
  <c r="R7" i="14"/>
  <c r="Q7" i="14"/>
  <c r="N32" i="17"/>
  <c r="N8" i="15"/>
  <c r="P36" i="14"/>
  <c r="O37" i="17"/>
  <c r="P37" i="17"/>
  <c r="P9" i="15"/>
  <c r="Q42" i="14"/>
  <c r="R42" i="14"/>
  <c r="O39" i="17"/>
  <c r="P39" i="17"/>
  <c r="P10" i="15"/>
  <c r="R46" i="14"/>
  <c r="Q46" i="14"/>
  <c r="V8" i="17"/>
  <c r="V5" i="15"/>
  <c r="Z8" i="14"/>
  <c r="X29" i="17"/>
  <c r="W29" i="17"/>
  <c r="AB32" i="14"/>
  <c r="AA32" i="14"/>
  <c r="X24" i="17"/>
  <c r="W24" i="17"/>
  <c r="X6" i="15"/>
  <c r="AA26" i="14"/>
  <c r="AB26" i="14"/>
  <c r="V7" i="17"/>
  <c r="Z7" i="14"/>
  <c r="V33" i="17"/>
  <c r="Z37" i="14"/>
  <c r="AN38" i="7"/>
  <c r="V16" i="17"/>
  <c r="V11" i="15"/>
  <c r="Z17" i="14"/>
  <c r="X36" i="17"/>
  <c r="W36" i="17"/>
  <c r="AB40" i="14"/>
  <c r="AA40" i="14"/>
  <c r="G31" i="8"/>
  <c r="F35" i="17"/>
  <c r="F4" i="15"/>
  <c r="F39" i="14"/>
  <c r="F20" i="17"/>
  <c r="F22" i="14"/>
  <c r="F27" i="17"/>
  <c r="F29" i="14"/>
  <c r="G8" i="17"/>
  <c r="G5" i="15"/>
  <c r="G8" i="14"/>
  <c r="H23" i="17"/>
  <c r="H25" i="14"/>
  <c r="F5" i="17"/>
  <c r="F5" i="14"/>
  <c r="G24" i="17"/>
  <c r="G6" i="15"/>
  <c r="G26" i="14"/>
  <c r="H6" i="17"/>
  <c r="H6" i="14"/>
  <c r="F25" i="17"/>
  <c r="F27" i="14"/>
  <c r="G26" i="17"/>
  <c r="G28" i="14"/>
  <c r="H10" i="17"/>
  <c r="H7" i="15"/>
  <c r="H10" i="14"/>
  <c r="F33" i="17"/>
  <c r="F37" i="14"/>
  <c r="G37" i="17"/>
  <c r="G9" i="15"/>
  <c r="G42" i="14"/>
  <c r="H40" i="17"/>
  <c r="H47" i="14"/>
  <c r="H39" i="17"/>
  <c r="H10" i="15"/>
  <c r="H46" i="14"/>
  <c r="H9" i="17"/>
  <c r="H9" i="14"/>
  <c r="F17" i="17"/>
  <c r="F12" i="15"/>
  <c r="F18" i="14"/>
  <c r="F36" i="17"/>
  <c r="F40" i="14"/>
  <c r="O4" i="15"/>
  <c r="P14" i="17"/>
  <c r="O14" i="17"/>
  <c r="Q15" i="14"/>
  <c r="R15" i="14"/>
  <c r="N27" i="17"/>
  <c r="P29" i="14"/>
  <c r="O5" i="15"/>
  <c r="P23" i="17"/>
  <c r="O23" i="17"/>
  <c r="Q25" i="14"/>
  <c r="R25" i="14"/>
  <c r="N5" i="17"/>
  <c r="P5" i="14"/>
  <c r="N6" i="17"/>
  <c r="P6" i="14"/>
  <c r="N10" i="17"/>
  <c r="N7" i="15"/>
  <c r="P10" i="14"/>
  <c r="N33" i="17"/>
  <c r="P37" i="14"/>
  <c r="O9" i="15"/>
  <c r="O40" i="17"/>
  <c r="P40" i="17"/>
  <c r="R47" i="14"/>
  <c r="Q47" i="14"/>
  <c r="N21" i="17"/>
  <c r="P23" i="14"/>
  <c r="O10" i="15"/>
  <c r="O9" i="17"/>
  <c r="P9" i="17"/>
  <c r="R9" i="14"/>
  <c r="Q9" i="14"/>
  <c r="O17" i="17"/>
  <c r="P17" i="17"/>
  <c r="P12" i="15"/>
  <c r="R18" i="14"/>
  <c r="Q18" i="14"/>
  <c r="V14" i="17"/>
  <c r="V4" i="15"/>
  <c r="Z15" i="14"/>
  <c r="X27" i="17"/>
  <c r="W27" i="17"/>
  <c r="AB29" i="14"/>
  <c r="AA29" i="14"/>
  <c r="V23" i="17"/>
  <c r="Z25" i="14"/>
  <c r="X5" i="17"/>
  <c r="W5" i="17"/>
  <c r="AA5" i="14"/>
  <c r="AB5" i="14"/>
  <c r="W6" i="15"/>
  <c r="X6" i="17"/>
  <c r="W6" i="17"/>
  <c r="AB6" i="14"/>
  <c r="AA6" i="14"/>
  <c r="X32" i="17"/>
  <c r="W32" i="17"/>
  <c r="X8" i="15"/>
  <c r="AB36" i="14"/>
  <c r="AA36" i="14"/>
  <c r="V37" i="17"/>
  <c r="Z42" i="14"/>
  <c r="W9" i="15"/>
  <c r="V9" i="17"/>
  <c r="Z9" i="14"/>
  <c r="V17" i="17"/>
  <c r="V12" i="15"/>
  <c r="Z18" i="14"/>
  <c r="W10" i="15"/>
  <c r="I8" i="8"/>
  <c r="H25" i="8"/>
  <c r="H37" i="8"/>
  <c r="G20" i="17"/>
  <c r="G22" i="14"/>
  <c r="G27" i="17"/>
  <c r="G29" i="14"/>
  <c r="F29" i="17"/>
  <c r="F32" i="14"/>
  <c r="F7" i="17"/>
  <c r="F7" i="14"/>
  <c r="G25" i="17"/>
  <c r="G27" i="14"/>
  <c r="F32" i="17"/>
  <c r="F8" i="15"/>
  <c r="F36" i="14"/>
  <c r="H37" i="17"/>
  <c r="H9" i="15"/>
  <c r="H42" i="14"/>
  <c r="F38" i="17"/>
  <c r="F45" i="14"/>
  <c r="F44" i="14"/>
  <c r="F43" i="14"/>
  <c r="F16" i="17"/>
  <c r="F11" i="15"/>
  <c r="F17" i="14"/>
  <c r="G36" i="17"/>
  <c r="G40" i="14"/>
  <c r="N20" i="17"/>
  <c r="P22" i="14"/>
  <c r="O7" i="15"/>
  <c r="N31" i="17"/>
  <c r="P34" i="14"/>
  <c r="P35" i="14"/>
  <c r="N38" i="17"/>
  <c r="P44" i="14"/>
  <c r="P45" i="14"/>
  <c r="P43" i="14"/>
  <c r="O16" i="17"/>
  <c r="P16" i="17"/>
  <c r="P11" i="15"/>
  <c r="Q17" i="14"/>
  <c r="R17" i="14"/>
  <c r="N36" i="17"/>
  <c r="P40" i="14"/>
  <c r="W20" i="17"/>
  <c r="X20" i="17"/>
  <c r="AA22" i="14"/>
  <c r="AB22" i="14"/>
  <c r="W12" i="15"/>
  <c r="V39" i="17"/>
  <c r="V10" i="15"/>
  <c r="Z46" i="14"/>
  <c r="G4" i="8"/>
  <c r="H35" i="17"/>
  <c r="H4" i="15"/>
  <c r="H39" i="14"/>
  <c r="H20" i="17"/>
  <c r="H22" i="14"/>
  <c r="H27" i="17"/>
  <c r="H29" i="14"/>
  <c r="F23" i="17"/>
  <c r="F25" i="14"/>
  <c r="G29" i="17"/>
  <c r="G32" i="14"/>
  <c r="H5" i="17"/>
  <c r="H5" i="14"/>
  <c r="F6" i="17"/>
  <c r="F6" i="14"/>
  <c r="G7" i="17"/>
  <c r="G7" i="14"/>
  <c r="H25" i="17"/>
  <c r="H27" i="14"/>
  <c r="F10" i="17"/>
  <c r="F7" i="15"/>
  <c r="F10" i="14"/>
  <c r="G32" i="17"/>
  <c r="G8" i="15"/>
  <c r="G36" i="14"/>
  <c r="H33" i="17"/>
  <c r="H37" i="14"/>
  <c r="F40" i="17"/>
  <c r="F47" i="14"/>
  <c r="F39" i="17"/>
  <c r="F10" i="15"/>
  <c r="F46" i="14"/>
  <c r="F9" i="17"/>
  <c r="F9" i="14"/>
  <c r="G38" i="17"/>
  <c r="G45" i="14"/>
  <c r="G43" i="14"/>
  <c r="G44" i="14"/>
  <c r="G16" i="17"/>
  <c r="G11" i="15"/>
  <c r="G17" i="14"/>
  <c r="H17" i="17"/>
  <c r="H12" i="15"/>
  <c r="H18" i="14"/>
  <c r="H36" i="17"/>
  <c r="H40" i="14"/>
  <c r="N14" i="17"/>
  <c r="P15" i="14"/>
  <c r="O27" i="17"/>
  <c r="P27" i="17"/>
  <c r="Q29" i="14"/>
  <c r="R29" i="14"/>
  <c r="N23" i="17"/>
  <c r="P25" i="14"/>
  <c r="P5" i="17"/>
  <c r="O5" i="17"/>
  <c r="Q5" i="14"/>
  <c r="R5" i="14"/>
  <c r="O6" i="15"/>
  <c r="P6" i="17"/>
  <c r="O6" i="17"/>
  <c r="Q6" i="14"/>
  <c r="R6" i="14"/>
  <c r="O10" i="17"/>
  <c r="P10" i="17"/>
  <c r="P7" i="15"/>
  <c r="Q10" i="14"/>
  <c r="R10" i="14"/>
  <c r="O8" i="15"/>
  <c r="P33" i="17"/>
  <c r="O33" i="17"/>
  <c r="R37" i="14"/>
  <c r="Q37" i="14"/>
  <c r="N40" i="17"/>
  <c r="P47" i="14"/>
  <c r="P21" i="17"/>
  <c r="O21" i="17"/>
  <c r="R23" i="14"/>
  <c r="Q23" i="14"/>
  <c r="N9" i="17"/>
  <c r="P9" i="14"/>
  <c r="N17" i="17"/>
  <c r="N12" i="15"/>
  <c r="P18" i="14"/>
  <c r="W4" i="15"/>
  <c r="X14" i="17"/>
  <c r="W14" i="17"/>
  <c r="AA15" i="14"/>
  <c r="AB15" i="14"/>
  <c r="V27" i="17"/>
  <c r="Z29" i="14"/>
  <c r="W5" i="15"/>
  <c r="X23" i="17"/>
  <c r="W23" i="17"/>
  <c r="AB25" i="14"/>
  <c r="AA25" i="14"/>
  <c r="V5" i="17"/>
  <c r="Z5" i="14"/>
  <c r="V6" i="17"/>
  <c r="Z6" i="14"/>
  <c r="V11" i="17"/>
  <c r="Z11" i="17" s="1"/>
  <c r="V7" i="15"/>
  <c r="Z11" i="14"/>
  <c r="AD11" i="14" s="1"/>
  <c r="V32" i="17"/>
  <c r="V8" i="15"/>
  <c r="Z36" i="14"/>
  <c r="W37" i="17"/>
  <c r="X37" i="17"/>
  <c r="AA42" i="14"/>
  <c r="AB42" i="14"/>
  <c r="W9" i="17"/>
  <c r="X9" i="17"/>
  <c r="AB9" i="14"/>
  <c r="AA9" i="14"/>
  <c r="W17" i="17"/>
  <c r="X17" i="17"/>
  <c r="X12" i="15"/>
  <c r="AA18" i="14"/>
  <c r="AB18" i="14"/>
  <c r="H11" i="8"/>
  <c r="I7" i="8"/>
  <c r="G19" i="8"/>
  <c r="G22" i="8"/>
  <c r="H21" i="8"/>
  <c r="H18" i="8"/>
  <c r="I17" i="8"/>
  <c r="H36" i="8"/>
  <c r="G35" i="8"/>
  <c r="G36" i="8"/>
  <c r="I35" i="8"/>
  <c r="H34" i="8"/>
  <c r="AJ38" i="7"/>
  <c r="X40" i="17"/>
  <c r="W40" i="17"/>
  <c r="X9" i="15"/>
  <c r="AB47" i="14"/>
  <c r="AA47" i="14"/>
  <c r="V40" i="17"/>
  <c r="V9" i="15"/>
  <c r="Z47" i="14"/>
  <c r="AL38" i="7"/>
  <c r="I34" i="8"/>
  <c r="U28" i="17"/>
  <c r="Z28" i="17" s="1"/>
  <c r="Y31" i="14"/>
  <c r="AD31" i="14" s="1"/>
  <c r="D37" i="8"/>
  <c r="D30" i="8"/>
  <c r="D32" i="8"/>
  <c r="D34" i="8"/>
  <c r="D36" i="8"/>
  <c r="D31" i="8"/>
  <c r="D35" i="8"/>
  <c r="J33" i="8"/>
  <c r="J20" i="8"/>
  <c r="J11" i="8"/>
  <c r="I9" i="17"/>
  <c r="I9" i="14"/>
  <c r="I17" i="17"/>
  <c r="I12" i="15"/>
  <c r="I18" i="14"/>
  <c r="Q8" i="17"/>
  <c r="Q5" i="15"/>
  <c r="S8" i="14"/>
  <c r="Q7" i="17"/>
  <c r="S7" i="14"/>
  <c r="Q39" i="17"/>
  <c r="Q10" i="15"/>
  <c r="S46" i="14"/>
  <c r="Q16" i="17"/>
  <c r="Q11" i="15"/>
  <c r="S17" i="14"/>
  <c r="Y27" i="17"/>
  <c r="AC29" i="14"/>
  <c r="Y39" i="17"/>
  <c r="Y10" i="15"/>
  <c r="AC46" i="14"/>
  <c r="Y16" i="17"/>
  <c r="Y11" i="15"/>
  <c r="AC17" i="14"/>
  <c r="Q28" i="6"/>
  <c r="J4" i="8"/>
  <c r="J38" i="8"/>
  <c r="J18" i="8"/>
  <c r="J36" i="8"/>
  <c r="I32" i="17"/>
  <c r="I8" i="15"/>
  <c r="I36" i="14"/>
  <c r="I36" i="17"/>
  <c r="I40" i="14"/>
  <c r="Q23" i="17"/>
  <c r="S25" i="14"/>
  <c r="Q9" i="17"/>
  <c r="S9" i="14"/>
  <c r="Q17" i="17"/>
  <c r="Q12" i="15"/>
  <c r="S18" i="14"/>
  <c r="Y35" i="17"/>
  <c r="Y4" i="15"/>
  <c r="AC39" i="14"/>
  <c r="Y8" i="17"/>
  <c r="Y5" i="15"/>
  <c r="AC8" i="14"/>
  <c r="Y24" i="17"/>
  <c r="Y6" i="15"/>
  <c r="AC26" i="14"/>
  <c r="Y9" i="17"/>
  <c r="AC9" i="14"/>
  <c r="Y17" i="17"/>
  <c r="Y12" i="15"/>
  <c r="AC18" i="14"/>
  <c r="I8" i="17"/>
  <c r="I5" i="15"/>
  <c r="I8" i="14"/>
  <c r="J5" i="8"/>
  <c r="J30" i="8"/>
  <c r="J37" i="8"/>
  <c r="J19" i="8"/>
  <c r="I24" i="17"/>
  <c r="I6" i="15"/>
  <c r="I26" i="14"/>
  <c r="I10" i="17"/>
  <c r="I7" i="15"/>
  <c r="I10" i="14"/>
  <c r="I33" i="17"/>
  <c r="I37" i="14"/>
  <c r="Q30" i="17"/>
  <c r="R30" i="17" s="1"/>
  <c r="S33" i="14"/>
  <c r="T33" i="14" s="1"/>
  <c r="Q32" i="17"/>
  <c r="Q8" i="15"/>
  <c r="S36" i="14"/>
  <c r="Q18" i="17"/>
  <c r="R18" i="17" s="1"/>
  <c r="S19" i="14"/>
  <c r="T19" i="14" s="1"/>
  <c r="Q36" i="17"/>
  <c r="S40" i="14"/>
  <c r="Y14" i="17"/>
  <c r="AC15" i="14"/>
  <c r="Y23" i="17"/>
  <c r="AC25" i="14"/>
  <c r="Y7" i="17"/>
  <c r="AC7" i="14"/>
  <c r="Y32" i="17"/>
  <c r="Y8" i="15"/>
  <c r="AC36" i="14"/>
  <c r="Y36" i="17"/>
  <c r="AC40" i="14"/>
  <c r="H30" i="6"/>
  <c r="J6" i="8"/>
  <c r="J9" i="8"/>
  <c r="J31" i="8"/>
  <c r="J25" i="8"/>
  <c r="I23" i="17"/>
  <c r="I25" i="14"/>
  <c r="I7" i="17"/>
  <c r="I7" i="14"/>
  <c r="I39" i="17"/>
  <c r="I10" i="15"/>
  <c r="I46" i="14"/>
  <c r="I16" i="17"/>
  <c r="I11" i="15"/>
  <c r="I17" i="14"/>
  <c r="Q24" i="17"/>
  <c r="Q6" i="15"/>
  <c r="S26" i="14"/>
  <c r="Q10" i="17"/>
  <c r="Q7" i="15"/>
  <c r="S10" i="14"/>
  <c r="Q33" i="17"/>
  <c r="S37" i="14"/>
  <c r="Y20" i="17"/>
  <c r="AC22" i="14"/>
  <c r="Y33" i="17"/>
  <c r="AC37" i="14"/>
  <c r="Z33" i="6"/>
  <c r="J12" i="8"/>
  <c r="J7" i="8"/>
  <c r="J32" i="8"/>
  <c r="J35" i="8"/>
  <c r="J17" i="8"/>
  <c r="J24" i="8"/>
  <c r="U8" i="17"/>
  <c r="U5" i="15"/>
  <c r="Y8" i="14"/>
  <c r="U9" i="17"/>
  <c r="Y9" i="14"/>
  <c r="AA40" i="5"/>
  <c r="U13" i="17"/>
  <c r="Z13" i="17" s="1"/>
  <c r="Y14" i="14"/>
  <c r="AD14" i="14" s="1"/>
  <c r="U40" i="17"/>
  <c r="Y47" i="14"/>
  <c r="U20" i="17"/>
  <c r="Y22" i="14"/>
  <c r="U36" i="17"/>
  <c r="Y40" i="14"/>
  <c r="U24" i="17"/>
  <c r="U6" i="15"/>
  <c r="Y26" i="14"/>
  <c r="U14" i="17"/>
  <c r="Y15" i="14"/>
  <c r="U7" i="17"/>
  <c r="Y7" i="14"/>
  <c r="U17" i="17"/>
  <c r="U12" i="15"/>
  <c r="Y18" i="14"/>
  <c r="U23" i="17"/>
  <c r="Y25" i="14"/>
  <c r="U32" i="17"/>
  <c r="U8" i="15"/>
  <c r="Y36" i="14"/>
  <c r="U27" i="17"/>
  <c r="Y29" i="14"/>
  <c r="U29" i="17"/>
  <c r="Y32" i="14"/>
  <c r="U33" i="17"/>
  <c r="Y37" i="14"/>
  <c r="U35" i="17"/>
  <c r="U4" i="15"/>
  <c r="Y39" i="14"/>
  <c r="U5" i="17"/>
  <c r="Y5" i="14"/>
  <c r="U6" i="17"/>
  <c r="Y6" i="14"/>
  <c r="U7" i="15"/>
  <c r="U37" i="17"/>
  <c r="U9" i="15"/>
  <c r="Y42" i="14"/>
  <c r="U39" i="17"/>
  <c r="U10" i="15"/>
  <c r="Y46" i="14"/>
  <c r="U16" i="17"/>
  <c r="U11" i="15"/>
  <c r="Y17" i="14"/>
  <c r="M16" i="17"/>
  <c r="M11" i="15"/>
  <c r="O17" i="14"/>
  <c r="G26" i="8" l="1"/>
  <c r="G8" i="18" s="1"/>
  <c r="I13" i="8"/>
  <c r="C10" i="18" s="1"/>
  <c r="I39" i="8"/>
  <c r="L10" i="2" s="1"/>
  <c r="H13" i="8"/>
  <c r="D9" i="2" s="1"/>
  <c r="G13" i="8"/>
  <c r="D8" i="2" s="1"/>
  <c r="X41" i="17"/>
  <c r="H26" i="8"/>
  <c r="G9" i="18" s="1"/>
  <c r="H48" i="14"/>
  <c r="G39" i="8"/>
  <c r="L8" i="2" s="1"/>
  <c r="I26" i="8"/>
  <c r="G10" i="18" s="1"/>
  <c r="AA48" i="14"/>
  <c r="Q48" i="14"/>
  <c r="N41" i="17"/>
  <c r="O13" i="15"/>
  <c r="Z48" i="14"/>
  <c r="O41" i="17"/>
  <c r="H41" i="17"/>
  <c r="W13" i="15"/>
  <c r="G13" i="15"/>
  <c r="H39" i="8"/>
  <c r="K9" i="18" s="1"/>
  <c r="F48" i="14"/>
  <c r="F13" i="15"/>
  <c r="P13" i="15"/>
  <c r="N13" i="15"/>
  <c r="H8" i="2"/>
  <c r="G41" i="17"/>
  <c r="AB48" i="14"/>
  <c r="C8" i="18"/>
  <c r="V13" i="15"/>
  <c r="X13" i="15"/>
  <c r="P41" i="17"/>
  <c r="V41" i="17"/>
  <c r="W41" i="17"/>
  <c r="R48" i="14"/>
  <c r="H13" i="15"/>
  <c r="P48" i="14"/>
  <c r="F41" i="17"/>
  <c r="G48" i="14"/>
  <c r="AD47" i="14"/>
  <c r="Z40" i="17"/>
  <c r="D39" i="8"/>
  <c r="L5" i="2" s="1"/>
  <c r="J26" i="8"/>
  <c r="J13" i="8"/>
  <c r="J39" i="8"/>
  <c r="I41" i="17"/>
  <c r="Y41" i="17"/>
  <c r="I48" i="14"/>
  <c r="Y13" i="15"/>
  <c r="Q13" i="15"/>
  <c r="S48" i="14"/>
  <c r="AC48" i="14"/>
  <c r="I13" i="15"/>
  <c r="Q41" i="17"/>
  <c r="U41" i="17"/>
  <c r="U13" i="15"/>
  <c r="Y48" i="14"/>
  <c r="H39" i="5"/>
  <c r="H38" i="5"/>
  <c r="H37" i="5"/>
  <c r="H36" i="5"/>
  <c r="H35" i="5"/>
  <c r="D12" i="8" s="1"/>
  <c r="H34" i="5"/>
  <c r="H33" i="5"/>
  <c r="H32" i="5"/>
  <c r="H31" i="5"/>
  <c r="H30" i="5"/>
  <c r="H29" i="5"/>
  <c r="H28" i="5"/>
  <c r="H27" i="5"/>
  <c r="H26" i="5"/>
  <c r="H25" i="5"/>
  <c r="H24" i="5"/>
  <c r="H23" i="5"/>
  <c r="H22" i="5"/>
  <c r="H19" i="5"/>
  <c r="H18" i="5"/>
  <c r="H17" i="5"/>
  <c r="H16" i="5"/>
  <c r="H15" i="5"/>
  <c r="H14" i="5"/>
  <c r="H13" i="5"/>
  <c r="H12" i="5"/>
  <c r="H11" i="5"/>
  <c r="H10" i="5"/>
  <c r="H8" i="5"/>
  <c r="H7" i="5"/>
  <c r="H6" i="5"/>
  <c r="H5" i="5"/>
  <c r="H21" i="5"/>
  <c r="Z39" i="3"/>
  <c r="Z38" i="3"/>
  <c r="Z37" i="3"/>
  <c r="Z36" i="3"/>
  <c r="Z35" i="3"/>
  <c r="Z34" i="3"/>
  <c r="Z33" i="3"/>
  <c r="Z32" i="3"/>
  <c r="Z31" i="3"/>
  <c r="Z30" i="3"/>
  <c r="Z27" i="3"/>
  <c r="Z26" i="3"/>
  <c r="Z25" i="3"/>
  <c r="Z24" i="3"/>
  <c r="Z23" i="3"/>
  <c r="Z20" i="3"/>
  <c r="Z19" i="3"/>
  <c r="Z18" i="3"/>
  <c r="Z17" i="3"/>
  <c r="Z16" i="3"/>
  <c r="Z15" i="3"/>
  <c r="Z14" i="3"/>
  <c r="Z13" i="3"/>
  <c r="Z12" i="3"/>
  <c r="Z11" i="3"/>
  <c r="Z10" i="3"/>
  <c r="Z9" i="3"/>
  <c r="Z8" i="3"/>
  <c r="Z7" i="3"/>
  <c r="Z6" i="3"/>
  <c r="H10" i="2" l="1"/>
  <c r="D10" i="2"/>
  <c r="C9" i="18"/>
  <c r="D17" i="2"/>
  <c r="C35" i="1" s="1"/>
  <c r="H9" i="2"/>
  <c r="E36" i="8"/>
  <c r="M19" i="17"/>
  <c r="O20" i="14"/>
  <c r="M13" i="17"/>
  <c r="R13" i="17" s="1"/>
  <c r="O14" i="14"/>
  <c r="T14" i="14" s="1"/>
  <c r="E22" i="17"/>
  <c r="E24" i="14"/>
  <c r="T22" i="17"/>
  <c r="X24" i="14"/>
  <c r="K10" i="18"/>
  <c r="C11" i="18"/>
  <c r="D11" i="2"/>
  <c r="D18" i="2" s="1"/>
  <c r="C36" i="1" s="1"/>
  <c r="H11" i="2"/>
  <c r="H18" i="2" s="1"/>
  <c r="E36" i="1" s="1"/>
  <c r="G11" i="18"/>
  <c r="L11" i="2"/>
  <c r="L18" i="2" s="1"/>
  <c r="F36" i="1" s="1"/>
  <c r="K11" i="18"/>
  <c r="L9" i="2"/>
  <c r="L17" i="2" s="1"/>
  <c r="F35" i="1" s="1"/>
  <c r="K8" i="18"/>
  <c r="K5" i="18"/>
  <c r="D21" i="8"/>
  <c r="D7" i="8"/>
  <c r="D18" i="8"/>
  <c r="D17" i="8"/>
  <c r="D8" i="8"/>
  <c r="D4" i="8"/>
  <c r="D19" i="8"/>
  <c r="T5" i="17"/>
  <c r="X5" i="14"/>
  <c r="T6" i="17"/>
  <c r="X6" i="14"/>
  <c r="E33" i="8"/>
  <c r="T7" i="15"/>
  <c r="E34" i="8"/>
  <c r="T37" i="17"/>
  <c r="T9" i="15"/>
  <c r="X42" i="14"/>
  <c r="T36" i="17"/>
  <c r="X40" i="14"/>
  <c r="T27" i="17"/>
  <c r="X29" i="14"/>
  <c r="E37" i="8"/>
  <c r="T24" i="17"/>
  <c r="T6" i="15"/>
  <c r="X26" i="14"/>
  <c r="T33" i="17"/>
  <c r="X37" i="14"/>
  <c r="E32" i="8"/>
  <c r="T17" i="17"/>
  <c r="T12" i="15"/>
  <c r="X18" i="14"/>
  <c r="T14" i="17"/>
  <c r="X15" i="14"/>
  <c r="E31" i="8"/>
  <c r="T8" i="17"/>
  <c r="T5" i="15"/>
  <c r="X8" i="14"/>
  <c r="T7" i="17"/>
  <c r="X7" i="14"/>
  <c r="T29" i="17"/>
  <c r="X32" i="14"/>
  <c r="T9" i="17"/>
  <c r="X9" i="14"/>
  <c r="T20" i="17"/>
  <c r="X22" i="14"/>
  <c r="T23" i="17"/>
  <c r="X25" i="14"/>
  <c r="E35" i="8"/>
  <c r="T32" i="17"/>
  <c r="T8" i="15"/>
  <c r="X36" i="14"/>
  <c r="E30" i="8"/>
  <c r="T39" i="17"/>
  <c r="T10" i="15"/>
  <c r="X46" i="14"/>
  <c r="D10" i="8"/>
  <c r="D6" i="8"/>
  <c r="D9" i="8"/>
  <c r="E43" i="14"/>
  <c r="E45" i="14"/>
  <c r="D24" i="8"/>
  <c r="D22" i="8"/>
  <c r="M31" i="17"/>
  <c r="O35" i="14"/>
  <c r="M38" i="17"/>
  <c r="O45" i="14"/>
  <c r="O44" i="14"/>
  <c r="D5" i="8"/>
  <c r="D11" i="8"/>
  <c r="E6" i="15"/>
  <c r="E13" i="17"/>
  <c r="E14" i="14"/>
  <c r="E38" i="8"/>
  <c r="T16" i="17"/>
  <c r="T11" i="15"/>
  <c r="X17" i="14"/>
  <c r="Z40" i="3"/>
  <c r="T35" i="17"/>
  <c r="T4" i="15"/>
  <c r="X39" i="14"/>
  <c r="E35" i="17"/>
  <c r="E4" i="15"/>
  <c r="E39" i="14"/>
  <c r="E8" i="17"/>
  <c r="E5" i="15"/>
  <c r="E8" i="14"/>
  <c r="E7" i="17"/>
  <c r="E7" i="14"/>
  <c r="E37" i="17"/>
  <c r="E9" i="15"/>
  <c r="E42" i="14"/>
  <c r="E39" i="17"/>
  <c r="E10" i="15"/>
  <c r="E46" i="14"/>
  <c r="E16" i="17"/>
  <c r="E11" i="15"/>
  <c r="E17" i="14"/>
  <c r="M5" i="17"/>
  <c r="O5" i="14"/>
  <c r="M6" i="17"/>
  <c r="O6" i="14"/>
  <c r="M33" i="17"/>
  <c r="O37" i="14"/>
  <c r="M21" i="17"/>
  <c r="O23" i="14"/>
  <c r="O30" i="14"/>
  <c r="T30" i="14" s="1"/>
  <c r="E14" i="17"/>
  <c r="J14" i="17" s="1"/>
  <c r="E15" i="14"/>
  <c r="J15" i="14" s="1"/>
  <c r="E23" i="17"/>
  <c r="E25" i="14"/>
  <c r="E25" i="17"/>
  <c r="E27" i="14"/>
  <c r="E40" i="17"/>
  <c r="E47" i="14"/>
  <c r="E9" i="17"/>
  <c r="E9" i="14"/>
  <c r="E17" i="17"/>
  <c r="E12" i="15"/>
  <c r="E18" i="14"/>
  <c r="M8" i="17"/>
  <c r="M5" i="15"/>
  <c r="O8" i="14"/>
  <c r="M26" i="17"/>
  <c r="O28" i="14"/>
  <c r="M7" i="17"/>
  <c r="O7" i="14"/>
  <c r="M37" i="17"/>
  <c r="M9" i="15"/>
  <c r="O42" i="14"/>
  <c r="M39" i="17"/>
  <c r="M10" i="15"/>
  <c r="O46" i="14"/>
  <c r="M28" i="17"/>
  <c r="R28" i="17" s="1"/>
  <c r="O31" i="14"/>
  <c r="T31" i="14" s="1"/>
  <c r="E20" i="17"/>
  <c r="E22" i="14"/>
  <c r="E29" i="17"/>
  <c r="E32" i="14"/>
  <c r="E24" i="17"/>
  <c r="E26" i="14"/>
  <c r="E26" i="17"/>
  <c r="E28" i="14"/>
  <c r="E32" i="17"/>
  <c r="E8" i="15"/>
  <c r="E36" i="14"/>
  <c r="E38" i="17"/>
  <c r="E44" i="14"/>
  <c r="E36" i="17"/>
  <c r="E40" i="14"/>
  <c r="M20" i="17"/>
  <c r="O22" i="14"/>
  <c r="M23" i="17"/>
  <c r="O25" i="14"/>
  <c r="O21" i="14"/>
  <c r="T21" i="14" s="1"/>
  <c r="M40" i="17"/>
  <c r="O47" i="14"/>
  <c r="M9" i="17"/>
  <c r="O9" i="14"/>
  <c r="M17" i="17"/>
  <c r="M12" i="15"/>
  <c r="O18" i="14"/>
  <c r="E27" i="17"/>
  <c r="E29" i="14"/>
  <c r="E5" i="17"/>
  <c r="E5" i="14"/>
  <c r="E6" i="17"/>
  <c r="E6" i="14"/>
  <c r="E33" i="17"/>
  <c r="E37" i="14"/>
  <c r="E41" i="14"/>
  <c r="J41" i="14" s="1"/>
  <c r="M27" i="17"/>
  <c r="O29" i="14"/>
  <c r="M29" i="17"/>
  <c r="O32" i="14"/>
  <c r="M24" i="17"/>
  <c r="M6" i="15"/>
  <c r="O26" i="14"/>
  <c r="M32" i="17"/>
  <c r="M8" i="15"/>
  <c r="O36" i="14"/>
  <c r="O34" i="14"/>
  <c r="O43" i="14"/>
  <c r="M36" i="17"/>
  <c r="O40" i="14"/>
  <c r="E10" i="17"/>
  <c r="E7" i="15"/>
  <c r="E10" i="14"/>
  <c r="H40" i="5"/>
  <c r="D20" i="8"/>
  <c r="D23" i="8"/>
  <c r="H5" i="3"/>
  <c r="H40" i="3" s="1"/>
  <c r="Q5" i="3"/>
  <c r="Q6" i="3"/>
  <c r="Q7" i="3"/>
  <c r="Q8" i="3"/>
  <c r="Q9" i="3"/>
  <c r="Q10" i="3"/>
  <c r="Q11" i="3"/>
  <c r="Q12" i="3"/>
  <c r="Q13" i="3"/>
  <c r="Q15" i="3"/>
  <c r="Q16" i="3"/>
  <c r="Q17" i="3"/>
  <c r="Q18" i="3"/>
  <c r="Q19" i="3"/>
  <c r="Q20" i="3"/>
  <c r="Q22" i="3"/>
  <c r="Q23" i="3"/>
  <c r="Q24" i="3"/>
  <c r="Q25" i="3"/>
  <c r="Q26" i="3"/>
  <c r="Q27" i="3"/>
  <c r="Q28" i="3"/>
  <c r="Q30" i="3"/>
  <c r="Z39" i="4"/>
  <c r="Z38" i="4"/>
  <c r="Z37" i="4"/>
  <c r="Z36" i="4"/>
  <c r="Z35" i="4"/>
  <c r="Z34" i="4"/>
  <c r="Z33" i="4"/>
  <c r="Z32" i="4"/>
  <c r="Z31" i="4"/>
  <c r="Z30" i="4"/>
  <c r="Z27" i="4"/>
  <c r="Z26" i="4"/>
  <c r="Z25" i="4"/>
  <c r="Z24" i="4"/>
  <c r="Z23" i="4"/>
  <c r="Z20" i="4"/>
  <c r="Z19" i="4"/>
  <c r="Z18" i="4"/>
  <c r="Z17" i="4"/>
  <c r="Z16" i="4"/>
  <c r="Z15" i="4"/>
  <c r="Z14" i="4"/>
  <c r="Z13" i="4"/>
  <c r="Z12" i="4"/>
  <c r="Z11" i="4"/>
  <c r="Z10" i="4"/>
  <c r="Z8" i="4"/>
  <c r="Z7" i="4"/>
  <c r="Z6" i="4"/>
  <c r="Z5" i="4"/>
  <c r="Q28" i="4"/>
  <c r="Q27" i="4"/>
  <c r="Q26" i="4"/>
  <c r="Q25" i="4"/>
  <c r="Q24" i="4"/>
  <c r="Q23" i="4"/>
  <c r="Q22" i="4"/>
  <c r="Q20" i="4"/>
  <c r="Q19" i="4"/>
  <c r="Q18" i="4"/>
  <c r="Q17" i="4"/>
  <c r="Q16" i="4"/>
  <c r="Q15" i="4"/>
  <c r="Q12" i="4"/>
  <c r="Q11" i="4"/>
  <c r="Q10" i="4"/>
  <c r="Q8" i="4"/>
  <c r="Q7" i="4"/>
  <c r="Q5"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8" i="4"/>
  <c r="H7" i="4"/>
  <c r="H5" i="4"/>
  <c r="H17" i="2" l="1"/>
  <c r="E35" i="1" s="1"/>
  <c r="F23" i="8"/>
  <c r="F5" i="8"/>
  <c r="K19" i="17"/>
  <c r="M20" i="14"/>
  <c r="T41" i="17"/>
  <c r="D22" i="17"/>
  <c r="D24" i="14"/>
  <c r="C22" i="17"/>
  <c r="C24" i="14"/>
  <c r="S22" i="17"/>
  <c r="Z22" i="17" s="1"/>
  <c r="W24" i="14"/>
  <c r="AD24" i="14" s="1"/>
  <c r="E7" i="8"/>
  <c r="K6" i="17"/>
  <c r="M6" i="14"/>
  <c r="K33" i="17"/>
  <c r="M37" i="14"/>
  <c r="F37" i="8"/>
  <c r="K37" i="8" s="1"/>
  <c r="S24" i="17"/>
  <c r="Z24" i="17" s="1"/>
  <c r="S6" i="15"/>
  <c r="Z6" i="15" s="1"/>
  <c r="W26" i="14"/>
  <c r="AD26" i="14" s="1"/>
  <c r="S9" i="17"/>
  <c r="Z9" i="17" s="1"/>
  <c r="W9" i="14"/>
  <c r="AD9" i="14" s="1"/>
  <c r="C27" i="17"/>
  <c r="C29" i="14"/>
  <c r="C5" i="17"/>
  <c r="C5" i="14"/>
  <c r="C6" i="17"/>
  <c r="C6" i="14"/>
  <c r="F9" i="8"/>
  <c r="C32" i="17"/>
  <c r="C8" i="15"/>
  <c r="C36" i="14"/>
  <c r="C38" i="17"/>
  <c r="C43" i="14"/>
  <c r="C45" i="14"/>
  <c r="C44" i="14"/>
  <c r="K20" i="17"/>
  <c r="M22" i="14"/>
  <c r="K7" i="17"/>
  <c r="M7" i="14"/>
  <c r="F21" i="8"/>
  <c r="K37" i="17"/>
  <c r="K9" i="15"/>
  <c r="M42" i="14"/>
  <c r="F25" i="8"/>
  <c r="K16" i="17"/>
  <c r="K11" i="15"/>
  <c r="M17" i="14"/>
  <c r="S5" i="17"/>
  <c r="Z5" i="17" s="1"/>
  <c r="W5" i="14"/>
  <c r="AD5" i="14" s="1"/>
  <c r="F36" i="8"/>
  <c r="K36" i="8" s="1"/>
  <c r="C20" i="17"/>
  <c r="C22" i="14"/>
  <c r="C29" i="17"/>
  <c r="C32" i="14"/>
  <c r="F11" i="8"/>
  <c r="C24" i="17"/>
  <c r="C6" i="15"/>
  <c r="C26" i="14"/>
  <c r="C26" i="17"/>
  <c r="J26" i="17" s="1"/>
  <c r="C28" i="14"/>
  <c r="J28" i="14" s="1"/>
  <c r="C40" i="17"/>
  <c r="C47" i="14"/>
  <c r="C9" i="17"/>
  <c r="C9" i="14"/>
  <c r="F6" i="8"/>
  <c r="C17" i="17"/>
  <c r="C12" i="15"/>
  <c r="C18" i="14"/>
  <c r="K23" i="17"/>
  <c r="M25" i="14"/>
  <c r="K21" i="17"/>
  <c r="M23" i="14"/>
  <c r="S20" i="17"/>
  <c r="Z20" i="17" s="1"/>
  <c r="W22" i="14"/>
  <c r="AD22" i="14" s="1"/>
  <c r="S29" i="17"/>
  <c r="Z29" i="17" s="1"/>
  <c r="W32" i="14"/>
  <c r="AD32" i="14" s="1"/>
  <c r="S33" i="17"/>
  <c r="Z33" i="17" s="1"/>
  <c r="W37" i="14"/>
  <c r="AD37" i="14" s="1"/>
  <c r="F32" i="8"/>
  <c r="K32" i="8" s="1"/>
  <c r="S17" i="17"/>
  <c r="Z17" i="17" s="1"/>
  <c r="S12" i="15"/>
  <c r="Z12" i="15" s="1"/>
  <c r="W18" i="14"/>
  <c r="AD18" i="14" s="1"/>
  <c r="F7" i="8"/>
  <c r="C36" i="17"/>
  <c r="C40" i="14"/>
  <c r="K29" i="17"/>
  <c r="M32" i="14"/>
  <c r="F17" i="8"/>
  <c r="K9" i="17"/>
  <c r="K10" i="15"/>
  <c r="M9" i="14"/>
  <c r="S27" i="17"/>
  <c r="Z27" i="17" s="1"/>
  <c r="W29" i="14"/>
  <c r="AD29" i="14" s="1"/>
  <c r="S6" i="17"/>
  <c r="Z6" i="17" s="1"/>
  <c r="W6" i="14"/>
  <c r="AD6" i="14" s="1"/>
  <c r="F33" i="8"/>
  <c r="K33" i="8" s="1"/>
  <c r="S7" i="15"/>
  <c r="Z7" i="15" s="1"/>
  <c r="F34" i="8"/>
  <c r="K34" i="8" s="1"/>
  <c r="S37" i="17"/>
  <c r="Z37" i="17" s="1"/>
  <c r="S9" i="15"/>
  <c r="Z9" i="15" s="1"/>
  <c r="W42" i="14"/>
  <c r="AD42" i="14" s="1"/>
  <c r="S36" i="17"/>
  <c r="Z36" i="17" s="1"/>
  <c r="W40" i="14"/>
  <c r="AD40" i="14" s="1"/>
  <c r="C8" i="17"/>
  <c r="C5" i="15"/>
  <c r="C8" i="14"/>
  <c r="C7" i="17"/>
  <c r="C7" i="14"/>
  <c r="C33" i="17"/>
  <c r="C37" i="14"/>
  <c r="C13" i="17"/>
  <c r="C14" i="14"/>
  <c r="K27" i="17"/>
  <c r="M29" i="14"/>
  <c r="M13" i="14"/>
  <c r="T13" i="14" s="1"/>
  <c r="K40" i="17"/>
  <c r="M47" i="14"/>
  <c r="K38" i="17"/>
  <c r="M43" i="14"/>
  <c r="M44" i="14"/>
  <c r="M45" i="14"/>
  <c r="F19" i="8"/>
  <c r="K17" i="17"/>
  <c r="K12" i="15"/>
  <c r="M18" i="14"/>
  <c r="F31" i="8"/>
  <c r="S8" i="17"/>
  <c r="Z8" i="17" s="1"/>
  <c r="S5" i="15"/>
  <c r="Z5" i="15" s="1"/>
  <c r="W8" i="14"/>
  <c r="AD8" i="14" s="1"/>
  <c r="S7" i="17"/>
  <c r="Z7" i="17" s="1"/>
  <c r="W7" i="14"/>
  <c r="AD7" i="14" s="1"/>
  <c r="F10" i="8"/>
  <c r="C35" i="17"/>
  <c r="C4" i="15"/>
  <c r="C39" i="14"/>
  <c r="C23" i="17"/>
  <c r="C25" i="14"/>
  <c r="C25" i="17"/>
  <c r="C27" i="14"/>
  <c r="F8" i="8"/>
  <c r="C37" i="17"/>
  <c r="C9" i="15"/>
  <c r="C42" i="14"/>
  <c r="F4" i="8"/>
  <c r="C39" i="17"/>
  <c r="C10" i="15"/>
  <c r="C46" i="14"/>
  <c r="F12" i="8"/>
  <c r="C16" i="17"/>
  <c r="C11" i="15"/>
  <c r="C17" i="14"/>
  <c r="F18" i="8"/>
  <c r="K8" i="17"/>
  <c r="K5" i="15"/>
  <c r="M8" i="14"/>
  <c r="F24" i="8"/>
  <c r="K6" i="15"/>
  <c r="K24" i="17"/>
  <c r="M26" i="14"/>
  <c r="F22" i="8"/>
  <c r="K32" i="17"/>
  <c r="K8" i="15"/>
  <c r="M36" i="14"/>
  <c r="K31" i="17"/>
  <c r="M34" i="14"/>
  <c r="M35" i="14"/>
  <c r="K36" i="17"/>
  <c r="M40" i="14"/>
  <c r="S14" i="17"/>
  <c r="Z14" i="17" s="1"/>
  <c r="W15" i="14"/>
  <c r="AD15" i="14" s="1"/>
  <c r="S23" i="17"/>
  <c r="Z23" i="17" s="1"/>
  <c r="W25" i="14"/>
  <c r="AD25" i="14" s="1"/>
  <c r="F35" i="8"/>
  <c r="K35" i="8" s="1"/>
  <c r="S32" i="17"/>
  <c r="Z32" i="17" s="1"/>
  <c r="S8" i="15"/>
  <c r="Z8" i="15" s="1"/>
  <c r="W36" i="14"/>
  <c r="AD36" i="14" s="1"/>
  <c r="F30" i="8"/>
  <c r="K30" i="8" s="1"/>
  <c r="S39" i="17"/>
  <c r="Z39" i="17" s="1"/>
  <c r="S10" i="15"/>
  <c r="Z10" i="15" s="1"/>
  <c r="W46" i="14"/>
  <c r="AD46" i="14" s="1"/>
  <c r="E12" i="8"/>
  <c r="D16" i="17"/>
  <c r="D11" i="15"/>
  <c r="D17" i="14"/>
  <c r="E4" i="8"/>
  <c r="D39" i="17"/>
  <c r="D10" i="15"/>
  <c r="D46" i="14"/>
  <c r="E8" i="8"/>
  <c r="D37" i="17"/>
  <c r="D9" i="15"/>
  <c r="D42" i="14"/>
  <c r="E9" i="8"/>
  <c r="D32" i="17"/>
  <c r="D8" i="15"/>
  <c r="J8" i="15" s="1"/>
  <c r="D36" i="14"/>
  <c r="L19" i="17"/>
  <c r="R19" i="17" s="1"/>
  <c r="N20" i="14"/>
  <c r="L5" i="17"/>
  <c r="R5" i="17" s="1"/>
  <c r="N5" i="14"/>
  <c r="T5" i="14" s="1"/>
  <c r="L23" i="17"/>
  <c r="N25" i="14"/>
  <c r="D20" i="17"/>
  <c r="J20" i="17" s="1"/>
  <c r="D22" i="14"/>
  <c r="D36" i="17"/>
  <c r="D40" i="14"/>
  <c r="D38" i="17"/>
  <c r="D45" i="14"/>
  <c r="J45" i="14" s="1"/>
  <c r="D43" i="14"/>
  <c r="D44" i="14"/>
  <c r="L21" i="17"/>
  <c r="N23" i="14"/>
  <c r="L40" i="17"/>
  <c r="N47" i="14"/>
  <c r="L33" i="17"/>
  <c r="N37" i="14"/>
  <c r="D25" i="17"/>
  <c r="D27" i="14"/>
  <c r="D6" i="17"/>
  <c r="D6" i="14"/>
  <c r="D5" i="17"/>
  <c r="D5" i="14"/>
  <c r="D23" i="17"/>
  <c r="D25" i="14"/>
  <c r="L27" i="17"/>
  <c r="N29" i="14"/>
  <c r="L14" i="17"/>
  <c r="R14" i="17" s="1"/>
  <c r="N15" i="14"/>
  <c r="T15" i="14" s="1"/>
  <c r="E19" i="8"/>
  <c r="L17" i="17"/>
  <c r="L12" i="15"/>
  <c r="N18" i="14"/>
  <c r="L9" i="17"/>
  <c r="N9" i="14"/>
  <c r="L6" i="17"/>
  <c r="R6" i="17" s="1"/>
  <c r="N6" i="14"/>
  <c r="L36" i="17"/>
  <c r="N40" i="14"/>
  <c r="D33" i="17"/>
  <c r="D37" i="14"/>
  <c r="E24" i="8"/>
  <c r="L24" i="17"/>
  <c r="L6" i="15"/>
  <c r="N26" i="14"/>
  <c r="L29" i="17"/>
  <c r="N32" i="14"/>
  <c r="E18" i="8"/>
  <c r="L8" i="17"/>
  <c r="L5" i="15"/>
  <c r="N8" i="14"/>
  <c r="E23" i="8"/>
  <c r="K23" i="8" s="1"/>
  <c r="E6" i="8"/>
  <c r="D17" i="17"/>
  <c r="D12" i="15"/>
  <c r="D18" i="14"/>
  <c r="L38" i="17"/>
  <c r="N43" i="14"/>
  <c r="N44" i="14"/>
  <c r="N45" i="14"/>
  <c r="E17" i="8"/>
  <c r="L39" i="17"/>
  <c r="L10" i="15"/>
  <c r="N46" i="14"/>
  <c r="T46" i="14" s="1"/>
  <c r="D40" i="17"/>
  <c r="J40" i="17" s="1"/>
  <c r="D47" i="14"/>
  <c r="L7" i="17"/>
  <c r="N7" i="14"/>
  <c r="L26" i="17"/>
  <c r="R26" i="17" s="1"/>
  <c r="N28" i="14"/>
  <c r="T28" i="14" s="1"/>
  <c r="D27" i="17"/>
  <c r="D29" i="14"/>
  <c r="E25" i="8"/>
  <c r="L16" i="17"/>
  <c r="L11" i="15"/>
  <c r="N17" i="14"/>
  <c r="D13" i="17"/>
  <c r="D14" i="14"/>
  <c r="D9" i="17"/>
  <c r="D9" i="14"/>
  <c r="L31" i="17"/>
  <c r="N34" i="14"/>
  <c r="N35" i="14"/>
  <c r="E21" i="8"/>
  <c r="L37" i="17"/>
  <c r="L9" i="15"/>
  <c r="N42" i="14"/>
  <c r="E22" i="8"/>
  <c r="L32" i="17"/>
  <c r="L8" i="15"/>
  <c r="N36" i="14"/>
  <c r="D7" i="17"/>
  <c r="D7" i="14"/>
  <c r="E11" i="8"/>
  <c r="D24" i="17"/>
  <c r="D6" i="15"/>
  <c r="D26" i="14"/>
  <c r="D29" i="17"/>
  <c r="D32" i="14"/>
  <c r="E5" i="8"/>
  <c r="D8" i="17"/>
  <c r="D5" i="15"/>
  <c r="D8" i="14"/>
  <c r="L20" i="17"/>
  <c r="N22" i="14"/>
  <c r="E10" i="8"/>
  <c r="D35" i="17"/>
  <c r="D4" i="15"/>
  <c r="D39" i="14"/>
  <c r="R39" i="17"/>
  <c r="J12" i="15"/>
  <c r="T13" i="15"/>
  <c r="E39" i="8"/>
  <c r="K6" i="18" s="1"/>
  <c r="D13" i="8"/>
  <c r="D5" i="2" s="1"/>
  <c r="F38" i="8"/>
  <c r="K38" i="8" s="1"/>
  <c r="S16" i="17"/>
  <c r="Z16" i="17" s="1"/>
  <c r="S11" i="15"/>
  <c r="Z11" i="15" s="1"/>
  <c r="W17" i="14"/>
  <c r="AD17" i="14" s="1"/>
  <c r="X48" i="14"/>
  <c r="D26" i="8"/>
  <c r="D10" i="17"/>
  <c r="D7" i="15"/>
  <c r="D10" i="14"/>
  <c r="C10" i="17"/>
  <c r="C7" i="15"/>
  <c r="C10" i="14"/>
  <c r="S35" i="17"/>
  <c r="S4" i="15"/>
  <c r="W39" i="14"/>
  <c r="L4" i="15"/>
  <c r="L35" i="17"/>
  <c r="K4" i="15"/>
  <c r="K35" i="17"/>
  <c r="M4" i="15"/>
  <c r="M35" i="17"/>
  <c r="M10" i="17"/>
  <c r="M7" i="15"/>
  <c r="O10" i="14"/>
  <c r="E48" i="14"/>
  <c r="E13" i="15"/>
  <c r="E41" i="17"/>
  <c r="M39" i="14"/>
  <c r="N39" i="14"/>
  <c r="O39" i="14"/>
  <c r="Z40" i="4"/>
  <c r="H40" i="4"/>
  <c r="R44" i="5"/>
  <c r="Q21" i="3"/>
  <c r="E20" i="8" s="1"/>
  <c r="Q21" i="4"/>
  <c r="K11" i="8" l="1"/>
  <c r="R6" i="15"/>
  <c r="R21" i="17"/>
  <c r="J9" i="15"/>
  <c r="J10" i="15"/>
  <c r="J35" i="17"/>
  <c r="R10" i="15"/>
  <c r="T20" i="14"/>
  <c r="T32" i="14"/>
  <c r="T9" i="14"/>
  <c r="T47" i="14"/>
  <c r="J47" i="14"/>
  <c r="J24" i="14"/>
  <c r="J16" i="17"/>
  <c r="J25" i="14"/>
  <c r="K7" i="8"/>
  <c r="J9" i="17"/>
  <c r="J22" i="17"/>
  <c r="J39" i="17"/>
  <c r="J37" i="17"/>
  <c r="J38" i="17"/>
  <c r="T29" i="14"/>
  <c r="K19" i="8"/>
  <c r="R16" i="17"/>
  <c r="K25" i="8"/>
  <c r="R5" i="15"/>
  <c r="K21" i="8"/>
  <c r="T45" i="14"/>
  <c r="R8" i="17"/>
  <c r="T18" i="14"/>
  <c r="J32" i="17"/>
  <c r="J11" i="15"/>
  <c r="J43" i="14"/>
  <c r="J36" i="17"/>
  <c r="J26" i="14"/>
  <c r="J4" i="15"/>
  <c r="K5" i="8"/>
  <c r="J6" i="15"/>
  <c r="J8" i="14"/>
  <c r="J37" i="14"/>
  <c r="K9" i="8"/>
  <c r="J13" i="17"/>
  <c r="J7" i="17"/>
  <c r="T35" i="14"/>
  <c r="T34" i="14"/>
  <c r="R24" i="17"/>
  <c r="R32" i="17"/>
  <c r="R33" i="17"/>
  <c r="C41" i="17"/>
  <c r="J33" i="17"/>
  <c r="R20" i="17"/>
  <c r="J5" i="17"/>
  <c r="R29" i="17"/>
  <c r="T6" i="14"/>
  <c r="R38" i="17"/>
  <c r="T8" i="14"/>
  <c r="T36" i="14"/>
  <c r="R36" i="17"/>
  <c r="J22" i="14"/>
  <c r="J5" i="14"/>
  <c r="T22" i="14"/>
  <c r="J8" i="17"/>
  <c r="J7" i="14"/>
  <c r="R37" i="17"/>
  <c r="K17" i="8"/>
  <c r="T23" i="14"/>
  <c r="F39" i="8"/>
  <c r="K7" i="18" s="1"/>
  <c r="K13" i="18" s="1"/>
  <c r="J9" i="14"/>
  <c r="R17" i="17"/>
  <c r="J18" i="14"/>
  <c r="J24" i="17"/>
  <c r="K31" i="8"/>
  <c r="K39" i="8" s="1"/>
  <c r="D48" i="14"/>
  <c r="C5" i="18"/>
  <c r="J25" i="17"/>
  <c r="E26" i="8"/>
  <c r="G6" i="18" s="1"/>
  <c r="T25" i="14"/>
  <c r="J32" i="14"/>
  <c r="T7" i="14"/>
  <c r="J39" i="14"/>
  <c r="L6" i="2"/>
  <c r="T40" i="14"/>
  <c r="R31" i="17"/>
  <c r="K22" i="8"/>
  <c r="K24" i="8"/>
  <c r="J23" i="17"/>
  <c r="R40" i="17"/>
  <c r="R27" i="17"/>
  <c r="R9" i="17"/>
  <c r="R23" i="17"/>
  <c r="K6" i="8"/>
  <c r="J6" i="17"/>
  <c r="T37" i="14"/>
  <c r="T17" i="14"/>
  <c r="T42" i="14"/>
  <c r="R11" i="15"/>
  <c r="R7" i="17"/>
  <c r="T44" i="14"/>
  <c r="K8" i="8"/>
  <c r="F13" i="8"/>
  <c r="J29" i="14"/>
  <c r="J6" i="14"/>
  <c r="C48" i="14"/>
  <c r="J27" i="17"/>
  <c r="T26" i="14"/>
  <c r="K4" i="8"/>
  <c r="K12" i="8"/>
  <c r="C13" i="15"/>
  <c r="K10" i="8"/>
  <c r="J5" i="15"/>
  <c r="J29" i="17"/>
  <c r="R8" i="15"/>
  <c r="R9" i="15"/>
  <c r="J14" i="14"/>
  <c r="T43" i="14"/>
  <c r="J17" i="17"/>
  <c r="K18" i="8"/>
  <c r="R12" i="15"/>
  <c r="J27" i="14"/>
  <c r="J44" i="14"/>
  <c r="J40" i="14"/>
  <c r="J36" i="14"/>
  <c r="J42" i="14"/>
  <c r="J46" i="14"/>
  <c r="J17" i="14"/>
  <c r="D13" i="15"/>
  <c r="D41" i="17"/>
  <c r="E13" i="8"/>
  <c r="H5" i="2"/>
  <c r="G5" i="18"/>
  <c r="K10" i="17"/>
  <c r="K41" i="17" s="1"/>
  <c r="F20" i="8"/>
  <c r="F26" i="8" s="1"/>
  <c r="D23" i="2"/>
  <c r="J7" i="15"/>
  <c r="Q42" i="3"/>
  <c r="L10" i="17"/>
  <c r="L41" i="17" s="1"/>
  <c r="L7" i="15"/>
  <c r="L13" i="15" s="1"/>
  <c r="N10" i="14"/>
  <c r="N48" i="14" s="1"/>
  <c r="J10" i="17"/>
  <c r="J10" i="14"/>
  <c r="W48" i="14"/>
  <c r="AD39" i="14"/>
  <c r="AD48" i="14" s="1"/>
  <c r="S13" i="15"/>
  <c r="Z4" i="15"/>
  <c r="Z13" i="15" s="1"/>
  <c r="S41" i="17"/>
  <c r="Z35" i="17"/>
  <c r="Z41" i="17" s="1"/>
  <c r="R35" i="17"/>
  <c r="Q43" i="4"/>
  <c r="R4" i="15"/>
  <c r="M13" i="15"/>
  <c r="O48" i="14"/>
  <c r="M41" i="17"/>
  <c r="M10" i="14"/>
  <c r="K7" i="15"/>
  <c r="T39" i="14"/>
  <c r="L24" i="2" l="1"/>
  <c r="L7" i="2"/>
  <c r="H6" i="2"/>
  <c r="H24" i="2" s="1"/>
  <c r="J48" i="14"/>
  <c r="J41" i="17"/>
  <c r="J13" i="15"/>
  <c r="C7" i="18"/>
  <c r="D7" i="2"/>
  <c r="D25" i="2" s="1"/>
  <c r="D6" i="2"/>
  <c r="C6" i="18"/>
  <c r="H7" i="2"/>
  <c r="H16" i="2" s="1"/>
  <c r="G7" i="18"/>
  <c r="G13" i="18" s="1"/>
  <c r="K20" i="8"/>
  <c r="K26" i="8" s="1"/>
  <c r="R10" i="17"/>
  <c r="R41" i="17" s="1"/>
  <c r="T10" i="14"/>
  <c r="T48" i="14" s="1"/>
  <c r="M48" i="14"/>
  <c r="R7" i="15"/>
  <c r="R13" i="15" s="1"/>
  <c r="K13" i="15"/>
  <c r="K13" i="8"/>
  <c r="D37" i="1"/>
  <c r="L16" i="2" l="1"/>
  <c r="H19" i="2"/>
  <c r="E34" i="1"/>
  <c r="E37" i="1" s="1"/>
  <c r="L13" i="2"/>
  <c r="H27" i="2"/>
  <c r="C13" i="18"/>
  <c r="D13" i="2"/>
  <c r="D16" i="2"/>
  <c r="D24" i="2"/>
  <c r="D27" i="2" s="1"/>
  <c r="H13" i="2"/>
  <c r="L19" i="2" l="1"/>
  <c r="F34" i="1"/>
  <c r="F37" i="1" s="1"/>
  <c r="D19" i="2"/>
  <c r="C34" i="1"/>
  <c r="C37" i="1" s="1"/>
</calcChain>
</file>

<file path=xl/sharedStrings.xml><?xml version="1.0" encoding="utf-8"?>
<sst xmlns="http://schemas.openxmlformats.org/spreadsheetml/2006/main" count="3039" uniqueCount="410">
  <si>
    <t>References</t>
  </si>
  <si>
    <t>Experient</t>
  </si>
  <si>
    <t>CompuSystems</t>
  </si>
  <si>
    <t>Services</t>
  </si>
  <si>
    <t>Equipment</t>
  </si>
  <si>
    <t>Data Integration</t>
  </si>
  <si>
    <t>Access Control</t>
  </si>
  <si>
    <t>Lead Retrieval</t>
  </si>
  <si>
    <t>Onsite Personnel</t>
  </si>
  <si>
    <t>Account Management Team</t>
  </si>
  <si>
    <t>Payment Terms</t>
  </si>
  <si>
    <t>Summary</t>
  </si>
  <si>
    <t xml:space="preserve">Company </t>
  </si>
  <si>
    <t>Years in business</t>
  </si>
  <si>
    <t>Badge</t>
  </si>
  <si>
    <t>Systems</t>
  </si>
  <si>
    <t>Data security</t>
  </si>
  <si>
    <t xml:space="preserve">Onsite </t>
  </si>
  <si>
    <t>Setup and Storage</t>
  </si>
  <si>
    <t>Connectivity Backup Plan</t>
  </si>
  <si>
    <t>Costs</t>
  </si>
  <si>
    <t>Pricing Model</t>
  </si>
  <si>
    <t>Company</t>
  </si>
  <si>
    <t>Sales/Proposal Contact</t>
  </si>
  <si>
    <t>Badge Material</t>
  </si>
  <si>
    <t>Badge Technology</t>
  </si>
  <si>
    <t>Attendee Tracking Options</t>
  </si>
  <si>
    <t>Similar events, Largest</t>
  </si>
  <si>
    <t>Total</t>
  </si>
  <si>
    <t>Aventri</t>
  </si>
  <si>
    <t>MCI USA</t>
  </si>
  <si>
    <t>Expo Logic</t>
  </si>
  <si>
    <t>Other</t>
  </si>
  <si>
    <t>Terms/Conditions Changes</t>
  </si>
  <si>
    <t>Other Considerations</t>
  </si>
  <si>
    <t>reports available real-time, 24/7 via internet, can be done with any mobile device</t>
  </si>
  <si>
    <t>Payment System</t>
  </si>
  <si>
    <t>Reporting</t>
  </si>
  <si>
    <t xml:space="preserve">Reports </t>
  </si>
  <si>
    <t>Kate Thompson
+1 203 842 5064 
kate.thompson@aventri.com</t>
  </si>
  <si>
    <t>Aventri acquired ITN International who has been RI's partner for onsite registration/badge services since 2011, though it appears the previous account personnel will only be around as consulting staff, not the account managing or daily contact staff. Aventri started as an events management provider, then transitioned into a SaaS company (etouches), and now offers full event technology solutions.</t>
  </si>
  <si>
    <t>Can integrate with Ingenico</t>
  </si>
  <si>
    <t>Scanners or exhibitors can use their own device with lead app</t>
  </si>
  <si>
    <t>$79,100/yr includes up to 50,000 registrations (across all events during calendar year: IA + IC, etc)</t>
  </si>
  <si>
    <t>Cory Fransway
Strategic Accounts Director
312-928-0918
cory.fransway@experient-inc.com</t>
  </si>
  <si>
    <t>Cory Fransway, Strategic Accounts Director
Kara Patten, Project Manager
Supplimented by teams in Chicago, Frederick, MD, and Lincolnshire, IL - Existing housing team will help to onboard the registration team in familiarizing them with RI. (2) Registration Specialists would be assigned as primary contacts who would be the liaisons between RI and Experient CS, production, fullfillment, finance, developers, etc.</t>
  </si>
  <si>
    <t>Multiple currencies?</t>
  </si>
  <si>
    <t>No, USD only</t>
  </si>
  <si>
    <t>Real-time</t>
  </si>
  <si>
    <t>Lead retrieval devices</t>
  </si>
  <si>
    <t>Lead retrieval devices, printed tickets</t>
  </si>
  <si>
    <t>Yes</t>
  </si>
  <si>
    <t>Badge Print/Programming</t>
  </si>
  <si>
    <t>Experient’s security infrastructure includes, but is not limited to, apparatus’ such as Enterprise level firewalls, Intrusion Protection Systems (IPS), Intrusion Detection Systems (IDS), Security Information and Event Management (SEIM) Systems, Microsoft System Center Configuration Manager (SCCM), and File Integrity Management (FIM), Multifactor Authentication (MFA) as well as processes including Incident response plans, role based access controls, and security standards and audits.</t>
  </si>
  <si>
    <t>PCI/GDPR compliant?</t>
  </si>
  <si>
    <t>Structured team from overall Director to exhibition staff</t>
  </si>
  <si>
    <t>Jeff Baker
Senior Solutions Engineer
jeff.baker@communitybrands.com
484-751-5121</t>
  </si>
  <si>
    <t>IBEX, Rockwell Automation</t>
  </si>
  <si>
    <t>Agreed to T&amp;C</t>
  </si>
  <si>
    <t>Tickets that print separately</t>
  </si>
  <si>
    <t>QR code</t>
  </si>
  <si>
    <t>PayPal, PayFlow, Authorize.Net</t>
  </si>
  <si>
    <t>Set-up for CC's, discounts or fixed dollar amounts - Limited abilities</t>
  </si>
  <si>
    <t xml:space="preserve">RI responsible for all banking fees, manual refunds, produce all registration forms, </t>
  </si>
  <si>
    <t>Only 3 badge types offered - Polystock
Additional fees for "custom formats" or additional logic
limited format, additional costs for custom programming</t>
  </si>
  <si>
    <t>3 team members to manage set-up, management, and quality control (Account manager, IT project manager, registration Manager</t>
  </si>
  <si>
    <t>QR code, additonal fees apply if they have to modify artwork, printing, etc</t>
  </si>
  <si>
    <t>Not enough mentioned</t>
  </si>
  <si>
    <t>Requested edits</t>
  </si>
  <si>
    <t>Did not agree to T&amp;C - Had their own for us to sign!</t>
  </si>
  <si>
    <t>QR code, RFID additional cost</t>
  </si>
  <si>
    <t>Highest quote</t>
  </si>
  <si>
    <t>Worst and 2nd highest quote</t>
  </si>
  <si>
    <t>All pricing is based on $8 an attendee. Detailed pricing was not included but mention of extra costs for: See below</t>
  </si>
  <si>
    <t>Dashboard reports via Decision Point provide real-time access. Standard reports can be included as well as any required statistical reports. Reports can be automated to be sent via email at a given time. Standard pacing reports also available. Report Manager can provide higher level access for advanced users to create own custom reports and download in various formats (PDF, Excel, HTML, CSV). Onsite reports can be specified and will be run at the end of each day.</t>
  </si>
  <si>
    <t>Experient created EventBit - their own beaconing solution. Each attendee can receive one and it's always transmitting.</t>
  </si>
  <si>
    <t>QR code - formatted as URL and contains registrant ID, name, and organization</t>
  </si>
  <si>
    <t>None listed</t>
  </si>
  <si>
    <t>IC21 - $400,200
IC22 - $365,700
IC23 - 382,300
IA21, 22 &amp; 23 - $71,150 yearly
COL22 - $36,900</t>
  </si>
  <si>
    <t>American Physical Therapy Assoc - 25,000
Lions Intl. - up to 60,000
Greater NY Dental - 55,000</t>
  </si>
  <si>
    <t>USANA Global  - 10,000 global attendees
Multiple Rotary conventions and Assemblies - 17,000 to 45,000</t>
  </si>
  <si>
    <t>Account Manager (Kate); Camarin Wanamaker, Lead Customer Success Manager; Kat Harrison, Solutions Consultant; Sindee Savage, Senior Project Manager; Kathryn Bolcome, Director of Account Management; Cara Pelander, Vice President of Account Management, Spencer Segura, VP of Operations</t>
  </si>
  <si>
    <t xml:space="preserve">Standard percentage and scheduled pre-payments, remainder after the close of the event. </t>
  </si>
  <si>
    <t>Plastic or coated paper, multiple badge type and printer options, QR code is suggested but also able to do RFID</t>
  </si>
  <si>
    <t>QR code or NFC
QR codes have limited text and programming fields</t>
  </si>
  <si>
    <t>Much of the costing was missing from the bid - management and programming fees, many additional RI costs and responsibilities mentioned. Badge-on-Demand will NOT host the logic to automatically add items based on registration type, also does not restrict balance due registrations from printing. Tickets print out along badge on continuous badge stock.</t>
  </si>
  <si>
    <t xml:space="preserve">Expo Logic utilizes:
• A third party company that monitors access to our registration system every 60 seconds to ensure it
is up and operational (i.e. servers, internet and application are working).
• A third party company which tests and certifies on a daily basis using the FBI/SANS Internet Security
Test.
• A third party to scan each server and user computer in the company for Anti-virus, spyware and
other forms of Windows based attacks.
</t>
  </si>
  <si>
    <t>Attendee and custom reporting mentioned in bid but no examples or details.</t>
  </si>
  <si>
    <t>Not exactly clear - certificates included in bid with check boxes of what is included in their Pci compliance but many boxes were empty</t>
  </si>
  <si>
    <r>
      <t xml:space="preserve"> Over 30 years in the registration &amp; lead retrieval business
• Hands on, dependable, proactive staff with an average 15 years of industry experience
• 60 full-time employees
• 450 Events in 2018 ranging from 25-148,000 registrations per event.
</t>
    </r>
    <r>
      <rPr>
        <b/>
        <u/>
        <sz val="11"/>
        <color theme="1"/>
        <rFont val="Calibri"/>
        <family val="2"/>
        <scheme val="minor"/>
      </rPr>
      <t>Services offered</t>
    </r>
    <r>
      <rPr>
        <sz val="11"/>
        <color theme="1"/>
        <rFont val="Calibri"/>
        <family val="2"/>
        <scheme val="minor"/>
      </rPr>
      <t xml:space="preserve"> - Assemble Badge Packets; Badge(on)Demand; Beacon; Custom Programming; Customer Support;
Equipment Rental; Exhibitor Registration; Lead Retrieval; Mobile App; On-Site Registration; On-Site Staff
- US; Online Registration; TrackPod</t>
    </r>
  </si>
  <si>
    <t>National Assoc. of Broadcasters
Assoc. of Equipment Manufacturers
National restaurant Assoc.
American Academy of Ophthalmology
AIAA (Space &amp; Astronauts, Defense and Security, Aviation Expo)</t>
  </si>
  <si>
    <t>EventXL can only process in USD</t>
  </si>
  <si>
    <t xml:space="preserve">CSI can record the foot traffic or grant, deny and track access to specified entrances, areas, and/or sessions using an app on a smartphone. All scan data is sent to the database real-time. </t>
  </si>
  <si>
    <t>Experient is current Rotary's Housing provider through 2025. The account team is familiar already with RI and RI events. With Experient, could offer registration + housing in one flow.</t>
  </si>
  <si>
    <t>NFC chip - No limitations. Also offers QR code or bar code options.</t>
  </si>
  <si>
    <t>Aventri partners with vendors who utilize beaconing technology.</t>
  </si>
  <si>
    <t>Aventri's NFC encoding is one of the most secure in the industry. Any information can be
encoded as it relates to the registrant above and beyond what is printed on the badge.</t>
  </si>
  <si>
    <t>FINALIST</t>
  </si>
  <si>
    <t xml:space="preserve">MCI willing to build a utility into their system so that all rate increases can be done with one push. They will also build a web-based process (1 page program) for Intl. office and Fiscal Agents to enter payments received so that payments can be matched up once registrations are received. </t>
  </si>
  <si>
    <t>Little intl. meetings experience</t>
  </si>
  <si>
    <t>Badge scanners can work on a 5GHz frequency.</t>
  </si>
  <si>
    <t xml:space="preserve">QR is their default. Plastic or coated paper, paper with plastic holder, multiple badge types and printer options </t>
  </si>
  <si>
    <t xml:space="preserve">REST-API web service. Will integrate with Rotary's APIs. API is TLS secured. </t>
  </si>
  <si>
    <t>Feedback from references</t>
  </si>
  <si>
    <t>Performance Racing - :above and beyond" attitude really stood out. Had SLA agreement. Communication very transparent and easy across all areas of involvement. Rating of 5 out of 5. They customized reg screens, logos, coding, etc. 5 rating on reports, easy to understand. Weekly touch base meetings scheduled.  Still using CSI for their needs and wished they'd have selected them sooner. All departments easy to work with.</t>
  </si>
  <si>
    <t xml:space="preserve"> HIMMS - yet to reply</t>
  </si>
  <si>
    <t>Informa - Travelling but highly recommends CSI as the best option. Did amazing job for all events, including 70,000.</t>
  </si>
  <si>
    <t>SEMA - 185,000 attendee meeting. Adnmitted little Intl. experience but that they adapted quickly. Talked up their amazing customer service skills. They used their QR code and bar code combo badges and pre-mailed, bvlack and white thermal printers due to extra seconds to print in color. % out of 5 rating.</t>
  </si>
  <si>
    <t>CSI can work in different currencies using several processing companies: PaymentTech, PayPal, Authorize.net and CyberSource. Can integrate with Ingenico at a cost of $22,400</t>
  </si>
  <si>
    <t>Badge scanners rely on cellular service but can also work on 802.11 wireless. Scanners work internationally.</t>
  </si>
  <si>
    <t>There are multiple redundancies built into Cvent. We could print pre-paid without an internet connection. There is a local copy of reg data on the workstations.</t>
  </si>
  <si>
    <t xml:space="preserve">ASIS - No formal SLA with MCI since they have used them for housing for 25 yrs. Added registration aspect in 2018. Amazing team, issues handled before they could grow. Communication OK and they respond quickly. Gave 3-4 star rating (not great but stated that MCI needs more technology enhancements which may have already occurred).  They weren't really happy with MCI's reporting tool (not user friendly). MCI team always prepared for issues and curveballs. </t>
  </si>
  <si>
    <t xml:space="preserve">Global Education and Meetings - had an SLA which they honored completely. Communication great on every level. Had scheduled monthly group calls to ensure all items on track.  All members of MCI extremely responsive to emails and calls.  Usually heard back within an hour.  overall satisfaction was a 4 out of 5, with room for improvement. Great reporting tool.  Stated they had long lines in registration though! Very happy using MCI. </t>
  </si>
  <si>
    <t>References listed but none with attendee counts</t>
  </si>
  <si>
    <t>All data collection takes place under a secure protocol: HTTPS/ TLS and data at rest is encrypted
using AES-265
- Data in transit is encrypted using AES with 256bit Rijndael keys.
- Passwords are encrypted using one-way, 256bit SHA-1 hash.
- Secure protocols such as HTTPS, SSH and SFTP are used for connections with third parties and
any communication in and out of the system firewall.
- Passwords on network devices and systems are encrypted.
- Internally, Aventri makes use of SFTP (secure file transfer protocol). External usage of FTP is
disabled; any clients or attendees uploading files use HTTPS.
- There are documented processes and procedures in place for encryption keys. Our encryption
key policy is available upon request.
- PCI data remains encrypted in backups.</t>
  </si>
  <si>
    <t>Already integrates with Ingenico</t>
  </si>
  <si>
    <t xml:space="preserve">MCI Group is an independent, privately held company with headquarters in Geneva,
Switzerland and 61 offices in 31 countries across Europe, the Americas, Asia-Pacific, India, the Middle
East and Africa. They deliver projects for clients all over the world. Their Strategic Events, Meetings &amp;
Incentives division is based in the Dallas area Plano, TX office. Other MCI USA offices include Baltimore,
Miami, New York, Washington D.C., Chicago, and Iowa.
</t>
  </si>
  <si>
    <t>Suggested structure: (1st tier) VP of Development, Event Services Manager, Registration Project Manager, Project Coordinator  (2nd tier) Database Analyst, Web Programmer, Financial Processor, Production Coordinator, Onsite Lead Technician, Onsite Exhibitor Technician</t>
  </si>
  <si>
    <t>Plastic or coated paper, multiple badge type and printer options, new ones offered each year</t>
  </si>
  <si>
    <t>MCI can blacklist attendees onsite and flag potential attendees before they register.</t>
  </si>
  <si>
    <t>APIs already built and set up by Aventri</t>
  </si>
  <si>
    <t>Color prints with QR code with an average of 3 seconds per print. Minimal information is stored in the QR code. QR codes contain badge number (10 digits), first name (40 characters), last name (40 characters), and org ID if it is an exhibitor (8 characters).</t>
  </si>
  <si>
    <t>Maximum character capacity of 200. Color prints with QR code average 10-12 seconds per print. NFC is 30-45 seconds. Personalized agendas can be printed on the back.</t>
  </si>
  <si>
    <t>Network  is  protected  by  state-of-the-art  enterprise  class  firewalls,  intrusion  detection  and intrusion  prevention  devices.   Because  these  devices  are  connected  to  a  security  alert  system from SonicWall, any new vulnerability is immediately blocked.  All onsite systems have anti-virus
software  on  end  points  and  web  servers. They use  operating  systems  that  are  less  mainstream, i.e.  Windows,  which  reduces  opportunities for virus  penetration. They  perform external penetration tests,  provided by a third  party,  to  verify  that  their  security  and  code  are  safe  and hacker-proof.</t>
  </si>
  <si>
    <t>Data transmission is Web-based using TLS encryption. File transfer - SFTP. Penetration tests are performed annually with quarterly vulnerability scans. Rotary's 3rd party SSL cerificates can be used. Rotary Domain/branded URLs are supported. Qualys is the third party security provider.</t>
  </si>
  <si>
    <t>Ad hoc and custom reports are unlimited in Aventri. If Aventri is needed to create these for
Rotary, representatives can work together to determine the right KPIs and statistics that are needed.</t>
  </si>
  <si>
    <t>CSI’s reports are available in a variety of formats and are accessible to the Client in real-time, 24/7 via the internet. Their reporting platform gives the user the ability to:
· Create ad hoc reports using a drag and drop tool
· Create reports with any number of drop-downs using tables, charts, graphs and maps
· Embed reports in external web applications
· Export reports into multiple formats – PDF, Word, Excel, PowerPoint
· View responsive reports on any device – desktop/laptop, tablet and phone
· Schedule reports to be sent daily, weekly or monthly
· Receive print-ready reports</t>
  </si>
  <si>
    <t>Metric is the reporting platform allowing access to reporting 24/7. Reg team has full access to reporting dashboard. Their dev team can build out any reports that fall outside current capabilities. 100 hours of custom reporting is included.</t>
  </si>
  <si>
    <t>Can integrate with Ingenico at a cost of $10,000</t>
  </si>
  <si>
    <t>CSI develops and maintains its smartphone and tablet lead retrieval app. CSI does not outsource that development nor do they rent hardware from a third party. Every app or device rented to exhibitors is owned and maintained by CSI. Each year, CSI services over 35,000 exhibiting companies and rents over 50,000 lead retrieval apps and devices.</t>
  </si>
  <si>
    <t>Each lead device rented is associated with a unique URL, allowing
exhibitors real time access to their data online while securely storing their leads in “the cloud.” Lead retrieval pricing, which includes exhibitor training, maintenance services, and technical support
pre-show and onsite, will be determined on a year-by-year basis. MCI offers a price point that is
competitive and provides value to exhibitors.</t>
  </si>
  <si>
    <t>MCI USA will send up to 9 personnel to manage the registration process onsite for the event. This
group includes the Account Executive and supporting registration staff and IT staff. In addition to
setting up onsite registration stations, MCI staff will manage:
• Training temporary staff (or RI staff) who assist in onsite registration.
• Set up and staff registration office.
• Supervising the registration area and its traffic flow and processes.
• Providing customer service to RI staff, attendees, exhibitors, and VIP groups.
• Generating onsite reports.</t>
  </si>
  <si>
    <t>CSI will staff the Event with personnel experienced in providing onsite registration services. They are
responsible for:
● All technical aspects including the equipment set-up, maintenance throughout the Event, and
teardown at the Event close
● Training the temporary personnel, as well as supervising the use of the system throughout the Event
● Generating onsite reports for the Client’s use
The CSI Registration Project Manager (RPM) who manages the Event during pre-event processing will
also be onsite to manage the onsite portion of CSI service. If the Client does not plan to have representation in the registration areas CSI has a process for running registration in their absence.</t>
  </si>
  <si>
    <t>Multiple and RI has the ability to make staff requests.  Onsite developer added for any onsite system issues,
2 staff for IA's and 7-9 for conventions</t>
  </si>
  <si>
    <t>Two geographically separated data centers. The two centers mirror each other, thus in the event one area is down, the other switches online. CSI adheres to the PCI – DSS and GDPR data retention policies.
Backups scheduled and maintained using NetVault and Duplicati. Restoration can be either global or granular.</t>
  </si>
  <si>
    <t>Data is retained for 5 years unless otherwise specified by the client. Backups occur
hourly, are shipped offsite daily, and are kept for a minimum of 2 weeks.
Disaster recovery plan attached above on question 3. Cardholder data for
online point-of-sale transactions is tokenized and securely stored in the payment
processor’s vault. Only through the use of this secure token is MCI allowed to charge or
refund against payment cards. Faxed and mailed-in forms are securely processed and
stored in the secure fax room at MCI headquarters in Plano, TX until an agreed-upon date
post-show, at which time all forms are shredded.</t>
  </si>
  <si>
    <t>Registration performed via cloud application service in Frederick, MD data center. Cellular device activated on firewall if there is outage to provide access to Cloud. They state outage would be "only a few moments."</t>
  </si>
  <si>
    <t>CSI primarily runs off the same infrastructure used before going onsite, with the addition of an onsite server to be used in the event of any connectivity issues. CSI offers onsite Internet services for all registration areas. CSI service is generally faster
than what can be purchased via the convention center and comes with primary and backup
equipment.</t>
  </si>
  <si>
    <t>Agreed but with two additions</t>
  </si>
  <si>
    <t xml:space="preserve"> Shipping charges are estimates and not actuals and do not include customs fees for intl. events.
Helped provide a solution for breakout monitors that are imperative each year now.</t>
  </si>
  <si>
    <t>Why</t>
  </si>
  <si>
    <t>Event</t>
  </si>
  <si>
    <t>Total Amount</t>
  </si>
  <si>
    <t xml:space="preserve">Comments </t>
  </si>
  <si>
    <t>2023 IC - Melbourne</t>
  </si>
  <si>
    <t>2024 IC - Singapore</t>
  </si>
  <si>
    <t>2023 IA</t>
  </si>
  <si>
    <t xml:space="preserve">Total </t>
  </si>
  <si>
    <t xml:space="preserve">Event </t>
  </si>
  <si>
    <t xml:space="preserve">Expected Attendance </t>
  </si>
  <si>
    <t>2024 IA</t>
  </si>
  <si>
    <t>International Convention Costing Sheet - IC24 - Projected Attendance: 20,000</t>
  </si>
  <si>
    <t>Type</t>
  </si>
  <si>
    <t>Detailed Description</t>
  </si>
  <si>
    <t>Estimated 2023 Qty</t>
  </si>
  <si>
    <t>Your
Price</t>
  </si>
  <si>
    <t>Total Cost</t>
  </si>
  <si>
    <t>Comments</t>
  </si>
  <si>
    <t>Pre-Registration</t>
  </si>
  <si>
    <t>Registrants</t>
  </si>
  <si>
    <t>Pre-Registration requirements included in annual subscription fee of $79,100 for up to 50,000 registrations.</t>
  </si>
  <si>
    <t>Custom development (by request)</t>
  </si>
  <si>
    <t>TBD</t>
  </si>
  <si>
    <t>Custom development efforts require project scoping.</t>
  </si>
  <si>
    <t>Financial Reconciliation &amp; Reports</t>
  </si>
  <si>
    <t xml:space="preserve">No additional fee for reporting. </t>
  </si>
  <si>
    <t>Multi-language sites</t>
  </si>
  <si>
    <t>No additional fee for multi-language sites.</t>
  </si>
  <si>
    <t>Development fee - refund/cancellation policy enhancement</t>
  </si>
  <si>
    <t>Hardware</t>
  </si>
  <si>
    <t>Badge Printer</t>
  </si>
  <si>
    <t>Laptop</t>
  </si>
  <si>
    <t>Onsite Server</t>
  </si>
  <si>
    <t>Do not expect onsite server will be required</t>
  </si>
  <si>
    <t>Access Control Scanner</t>
  </si>
  <si>
    <t>*</t>
  </si>
  <si>
    <t>Setup Fees</t>
  </si>
  <si>
    <t>Badge Art Design</t>
  </si>
  <si>
    <t>Fee is required per badge artwork set required</t>
  </si>
  <si>
    <t>Lead Retrieval devices</t>
  </si>
  <si>
    <t>If required</t>
  </si>
  <si>
    <t>Mobile Carts</t>
  </si>
  <si>
    <t>Materials</t>
  </si>
  <si>
    <t>Badge Stock</t>
  </si>
  <si>
    <t>Increase over 2019 fee due to increase in business operation costs</t>
  </si>
  <si>
    <t>Pre-Printing</t>
  </si>
  <si>
    <t>Print at Rotary by Rotary staff</t>
  </si>
  <si>
    <t>This fee is for the one printer</t>
  </si>
  <si>
    <t>Print at Vendor</t>
  </si>
  <si>
    <t>Fee is based on per badge printing and includes shipping and setup</t>
  </si>
  <si>
    <t>Onsite Staff</t>
  </si>
  <si>
    <t>Staff Daily Fee</t>
  </si>
  <si>
    <t>Estimate 7 staff x 10 work days.  Increase over 2019 fee due to increase in business operation costs</t>
  </si>
  <si>
    <t>Travel - Airfare</t>
  </si>
  <si>
    <t>Airfare is estimated. Client will be invoiced at Actual cost.</t>
  </si>
  <si>
    <t>Development Cost</t>
  </si>
  <si>
    <t>Technology Integration</t>
  </si>
  <si>
    <t>Badge Programming</t>
  </si>
  <si>
    <t>No additional fees are expected.</t>
  </si>
  <si>
    <t>System setup</t>
  </si>
  <si>
    <t>Session capacity monitor</t>
  </si>
  <si>
    <t>Shipping</t>
  </si>
  <si>
    <t>Estimated Shipping Costs</t>
  </si>
  <si>
    <t xml:space="preserve">This is an estimate, quote will be provided in advance of the event and all shipping is billed at actual with the final freight invoice being sent with final show bill.  </t>
  </si>
  <si>
    <t>Management Fees</t>
  </si>
  <si>
    <t>Event Management</t>
  </si>
  <si>
    <t>Reports</t>
  </si>
  <si>
    <t xml:space="preserve">Type </t>
  </si>
  <si>
    <t>Hourly Rate for Development</t>
  </si>
  <si>
    <t>Using Google Translator</t>
  </si>
  <si>
    <t>Bar Code Scanners</t>
  </si>
  <si>
    <t>include shipping and setup</t>
  </si>
  <si>
    <t>estimate 9 staff x 10 work days</t>
  </si>
  <si>
    <t>Estimated billed at actual</t>
  </si>
  <si>
    <t>Per Diem</t>
  </si>
  <si>
    <t>Ground Transportation</t>
  </si>
  <si>
    <t>Hotel Rooms</t>
  </si>
  <si>
    <t>Paid by Client</t>
  </si>
  <si>
    <t>Estimated will be billed at actual</t>
  </si>
  <si>
    <t>Software Development</t>
  </si>
  <si>
    <t>Range from 55-70 included in pricing</t>
  </si>
  <si>
    <t>Range from 100-120 included in pricing</t>
  </si>
  <si>
    <t>We don't use servers onite</t>
  </si>
  <si>
    <t>Range from 115-125 included</t>
  </si>
  <si>
    <t>Included in the staffing fee</t>
  </si>
  <si>
    <t>Included in the Pre-Show Registrant fee</t>
  </si>
  <si>
    <t>Badge Stock - QR Code</t>
  </si>
  <si>
    <t>50,000 Piece of stock - Badgeholder less solution</t>
  </si>
  <si>
    <t>Badge Stock - RFID</t>
  </si>
  <si>
    <t>50,000 Piece of stock 20,000 RFID Tags</t>
  </si>
  <si>
    <t>estimate 7 staff x 10 work days</t>
  </si>
  <si>
    <t>Billed on actual cost on Final Bill</t>
  </si>
  <si>
    <t>International Convention Costing Sheet - IC23 Melbourne - Projected Attendance: 20,000</t>
  </si>
  <si>
    <t>Range from 35-50 included</t>
  </si>
  <si>
    <t>Range from 70-90 included</t>
  </si>
  <si>
    <t>Range from 100-125 included</t>
  </si>
  <si>
    <t>International Convention Costing Sheet - IC22 Houston - Projected attendance: 20,000</t>
  </si>
  <si>
    <t>Estimated 2022 Qty</t>
  </si>
  <si>
    <t xml:space="preserve">Pre-Registration requirements included in annual subscription fee of $79,100 for up to 50,000 registrations. </t>
  </si>
  <si>
    <t>Estimate 7 staff x 10 work days. Increase over 2019 fee due to increase in business operation costs</t>
  </si>
  <si>
    <t>Express badge Scanners</t>
  </si>
  <si>
    <t>Reg Cancellation Feature</t>
  </si>
  <si>
    <t>Part of set up no charge</t>
  </si>
  <si>
    <t>One-time Fee Session Availability on Monitor</t>
  </si>
  <si>
    <t>One-time programming for Engenico</t>
  </si>
  <si>
    <t xml:space="preserve">50,000 Piece of stock - Badgeholder less solution </t>
  </si>
  <si>
    <t>Breakout Monitors</t>
  </si>
  <si>
    <t>Estimated Qty</t>
  </si>
  <si>
    <t>Total Cost (2021)</t>
  </si>
  <si>
    <t xml:space="preserve">Price (2022) </t>
  </si>
  <si>
    <t>Total Cost (2022)</t>
  </si>
  <si>
    <t xml:space="preserve">Price (2023) </t>
  </si>
  <si>
    <t>Total Cost (2023)</t>
  </si>
  <si>
    <t xml:space="preserve">Price (2024) </t>
  </si>
  <si>
    <t>Total Cost (2024)</t>
  </si>
  <si>
    <t>Estimate 2 staff x 7 work days. Increase over 2019 fee due to increase in business operation costs</t>
  </si>
  <si>
    <t>International Assembly Costing Sheet - IA22-24</t>
  </si>
  <si>
    <t>already in annual convention</t>
  </si>
  <si>
    <t>estimate 2 staff x 7 work days</t>
  </si>
  <si>
    <t>Billed at actual based on location</t>
  </si>
  <si>
    <t>Range from 4-8 included in pricing</t>
  </si>
  <si>
    <t>Range from 6-12 included in pricing</t>
  </si>
  <si>
    <t>Range from 20-25 included</t>
  </si>
  <si>
    <t>3,000 Piece of stock - Badgeholder less solution</t>
  </si>
  <si>
    <t>3,000 Piece of stock 1,500 RFID Tags</t>
  </si>
  <si>
    <t>Cost increase over 2019 costs due to suplier price increase.</t>
  </si>
  <si>
    <t>Onsite Service</t>
  </si>
  <si>
    <t>Event Set-up</t>
  </si>
  <si>
    <t>Range from 2-5 included in pricing</t>
  </si>
  <si>
    <t>Range from 5-10 included in pricing</t>
  </si>
  <si>
    <t>2021-2023 IA</t>
  </si>
  <si>
    <t>2022 IC</t>
  </si>
  <si>
    <t>2023 IC</t>
  </si>
  <si>
    <t>2024 IC</t>
  </si>
  <si>
    <t>Aventri_</t>
  </si>
  <si>
    <t>0</t>
  </si>
  <si>
    <t>Aventri_2024IC</t>
  </si>
  <si>
    <t>Aventri_2023IC</t>
  </si>
  <si>
    <t>Aventri_2022IC</t>
  </si>
  <si>
    <t>Aventri_2022IA</t>
  </si>
  <si>
    <t>Aventri_2023IA</t>
  </si>
  <si>
    <t>Aventri_2024</t>
  </si>
  <si>
    <t>Aventri_2022COL</t>
  </si>
  <si>
    <t>Aventri_Total Contract</t>
  </si>
  <si>
    <t>CompuSystems2024IC</t>
  </si>
  <si>
    <t>CompuSystems2023IC</t>
  </si>
  <si>
    <t>CompuSystems2022IC</t>
  </si>
  <si>
    <t>CompuSystems2023IA</t>
  </si>
  <si>
    <t>CompuSystems2022COL</t>
  </si>
  <si>
    <t>CompuSystemsTotal Contract</t>
  </si>
  <si>
    <t>CompuSystems2022IA2</t>
  </si>
  <si>
    <t>CompuSystems2021IA</t>
  </si>
  <si>
    <t>Fee is based on per badge printing and includes Shipping and setup</t>
  </si>
  <si>
    <t xml:space="preserve">This is an estimate, quote will be provided in advance of the event and all Shipping is billed at actual with the final freight invoice being sent with final show bill.  </t>
  </si>
  <si>
    <t>MCI2024IC</t>
  </si>
  <si>
    <t>MCI2023IC</t>
  </si>
  <si>
    <t>MCI2022IC</t>
  </si>
  <si>
    <t>MCI2021IA</t>
  </si>
  <si>
    <t>MCI2022IA2</t>
  </si>
  <si>
    <t>MCI2023IA</t>
  </si>
  <si>
    <t>MCI2022COL</t>
  </si>
  <si>
    <t>MCITotal Contract</t>
  </si>
  <si>
    <t>MCI</t>
  </si>
  <si>
    <t>Row Labels</t>
  </si>
  <si>
    <t>Grand Total</t>
  </si>
  <si>
    <t>Location</t>
  </si>
  <si>
    <t>Houston</t>
  </si>
  <si>
    <t>Melbourne</t>
  </si>
  <si>
    <t>Singapore</t>
  </si>
  <si>
    <t>Consistant Attendance? Y/N</t>
  </si>
  <si>
    <t>Price (2023)</t>
  </si>
  <si>
    <t>CompuSystems2022IA</t>
  </si>
  <si>
    <t>CompuSystems2023I</t>
  </si>
  <si>
    <t>CompuSystems2024IA</t>
  </si>
  <si>
    <t>MCI2022IA</t>
  </si>
  <si>
    <t>MCI2024IA</t>
  </si>
  <si>
    <t>MCI2023I</t>
  </si>
  <si>
    <t>Fiscal Year</t>
  </si>
  <si>
    <t xml:space="preserve">Proposal was submitted with an expiration date (31 Dec. 2019), with a 20% increase in stated costs for "late start".
Online System setup seemed basic and a lot like Cvent.  
ExpoLogic sent their own T&amp;C's for Rotary to sign
RI responsible for tearing down equipment?
Expo not responsible for lost attendee information!
</t>
  </si>
  <si>
    <t>ASUS, XPS with LCD screens, Dell Laptops Setup, Godex badge/ticket printers, Opticon laser scanners</t>
  </si>
  <si>
    <t>Laptops Setup</t>
  </si>
  <si>
    <t>Access Control Scanners Setup</t>
  </si>
  <si>
    <t>Express Badge Pick-Up Scanners</t>
  </si>
  <si>
    <t>IC</t>
  </si>
  <si>
    <t>IA</t>
  </si>
  <si>
    <t>COL</t>
  </si>
  <si>
    <t>Badge scanners used with multiple RFID and BLE vendors. Antennas mounted to capture RFID metrics.</t>
  </si>
  <si>
    <t>Not Provided</t>
  </si>
  <si>
    <t>Charging Rotary $20,000 per year for three years (Or $60,000 lump sum) to develop online cancellation and refund functionality</t>
  </si>
  <si>
    <t>$140 per hour flat fee for development</t>
  </si>
  <si>
    <t>Potential for a significant amount of future development costs</t>
  </si>
  <si>
    <t>Half of Aventri</t>
  </si>
  <si>
    <t>Half of Aventri Cost</t>
  </si>
  <si>
    <t>Aventri's client's assets like images and documents are stored in Amazon Cloud's Simple Storage Service (S3). The assets are stored in the US Standard region which replicates all the data in at least two geographically distinct regions. Amazon's data reliability Service Level Agreement (SLA)for S3 is 99.999999999%.</t>
  </si>
  <si>
    <t> Informa -Aventri has a SLA and they have performed to their SLA’s standard. In the few instances we have seen small performance issues, communication is always instant and resolution is always very quick. Aventri has never been prepared to meet with us, of course, as it pertains to me I over seek 60+ events so to be respectful I can only speak to how they have handled me personally. However, their teams who support my team are very responsive in their support.</t>
  </si>
  <si>
    <t>USANA - The best part about Aventri is that they are innovative, and always looking for solutions to issues that may, or may not even be an issue for us.  If we have something come up, they are on top of finding a solution quickly, efficiently, and as cost-effectively as possible. I very much enjoy the partnership we have with Aventri, from our overall account representative to the system techs we work with on a regular basis.  They also provide an integrated onsite event app technology for us.  Having the registration system and the event app connected results in a superior onsite event experience for our customers. </t>
  </si>
  <si>
    <t>2025 IC</t>
  </si>
  <si>
    <t>Charging $7500 one time for breakout monitors</t>
  </si>
  <si>
    <r>
      <rPr>
        <b/>
        <u/>
        <sz val="11"/>
        <color theme="1"/>
        <rFont val="Calibri"/>
        <family val="2"/>
        <scheme val="minor"/>
      </rPr>
      <t>The following items from MCI will either be included in the contract or have been negotiated</t>
    </r>
    <r>
      <rPr>
        <sz val="11"/>
        <color theme="1"/>
        <rFont val="Calibri"/>
        <family val="2"/>
        <scheme val="minor"/>
      </rPr>
      <t xml:space="preserve">
Additional Costs – Travel Service and Material Fees
Rotary is responsible for the cost of the following services and materials:
• Badge Stock
• Envelopes, mailing inserts, on-site registration forms, and other materials needed for advance and on-site processing.
• All Fiber optic/Ethernet/T-1 charges if linking multiple registration areas via convention center fiber optic networks or for credit card processing.
• Round-trip travel transportation to and from event for MCI USA Staff by coach air tickets to be purchased 60 days in advance.
• Hotel Rooms for MCI USA staff on site
• Temporary staff for processing badges, on-site, information, security, and distribution of badge holders.
• All Union/organized labor fees assessed by Convention Center during set-up and break down of registration equipment.
• All drayage to the registration and exhibitor service areas.
• On-site registration and exhibitor services facilities including counters, tables, headers, drapes, and other supplies in each area.
• 24-hour electricity and security for each on-site area.
• Storage of equipment onsite.
• Round-trip Shipping of equipment</t>
    </r>
  </si>
  <si>
    <t>Y</t>
  </si>
  <si>
    <t>International Convention Costing Sheet - IC23 Melbourne - Projected attendance: 20,000</t>
  </si>
  <si>
    <t>International Convention Costing Sheet - IC24 Singapore - Projected Attendance: 20,000</t>
  </si>
  <si>
    <t>2023-2025 IA</t>
  </si>
  <si>
    <t>International Assembly Costing Sheet - IA23-25</t>
  </si>
  <si>
    <t>2025 COL</t>
  </si>
  <si>
    <t>Council on Legislation Costing Sheet - COL25</t>
  </si>
  <si>
    <t>Estimated 2025 Qty</t>
  </si>
  <si>
    <t>Price (2024)</t>
  </si>
  <si>
    <t xml:space="preserve">Price (2025) </t>
  </si>
  <si>
    <t>Total Cost (2025)</t>
  </si>
  <si>
    <t>Estimated 2024 Qty</t>
  </si>
  <si>
    <t>2023-25 Events: Registration Vendor Bid Analysis</t>
  </si>
  <si>
    <t>IC23-25</t>
  </si>
  <si>
    <t>IA23-25</t>
  </si>
  <si>
    <t>COL25</t>
  </si>
  <si>
    <t>TOTAL 2023-25</t>
  </si>
  <si>
    <t xml:space="preserve">Bid Proposal Summary 2023-25  International Convention </t>
  </si>
  <si>
    <t>2025 IC - Calgary</t>
  </si>
  <si>
    <t>2025 IA</t>
  </si>
  <si>
    <t xml:space="preserve">Bid Proposal Summary 2023-25 International Convention </t>
  </si>
  <si>
    <t>Calgary</t>
  </si>
  <si>
    <t>International Convention Costing Sheet - IC25 Calgary - Projected attendance: 20,000</t>
  </si>
  <si>
    <t>One-time programming for RaiseNow widget and refund in mulit-currency</t>
  </si>
  <si>
    <t>Now using Spreedly</t>
  </si>
  <si>
    <t>No set-up fees, mobile carts are costly</t>
  </si>
  <si>
    <t>High Event Management fee and Tech Integration fee</t>
  </si>
  <si>
    <t>Can integrate with RaiseNow and drop in the widget greatly simplfies the payment process Events registration because it is a proven method of charging in multiple currencies throughout Rotary</t>
  </si>
  <si>
    <t>Using Spreedly to solve our multi-currency problem but cannot show the functionality until Sept/Oct, even then we don't have guarantees that it will work. Also, Spreedly does not currently support 3DS2 and they do not have a delivery date set for it.</t>
  </si>
  <si>
    <t>The transfer of data can be accomplished through the use of web services, through automated in-house file pulls, or through manual file transfers. Should Rotary want to use web services, CSI has a fully tested and documented API. They will also customize APIs to fit Rotary's needs</t>
  </si>
  <si>
    <t>Yes. The can drop in the RaiseNow widget</t>
  </si>
  <si>
    <t>Not currently and their proposed solution has yet to be seen</t>
  </si>
  <si>
    <t>See pricing summary below</t>
  </si>
  <si>
    <t>One-time programming for RaiseNow</t>
  </si>
  <si>
    <t>Much lower Event Mangement fee and Tech Integration</t>
  </si>
  <si>
    <t>Onl7 $2100 for breakout monitors</t>
  </si>
  <si>
    <t>MCI will bill Rotary $8 per transaction estimate $9,600 based on 1,200 Atendess</t>
  </si>
  <si>
    <t>MCI will bill Rotary $8 per transaction estimate $12,000 based on 1,500 Atendess</t>
  </si>
  <si>
    <t>MCI will bill Rotary $8 per transaction estimate $200,000 based on 20,000 Atendess</t>
  </si>
  <si>
    <t>MCI will bill Rotary $8 per transaction estimate $160,000 based on 20,000 Atendess</t>
  </si>
  <si>
    <t>MCI will bill Rotary $8 per transaction estimate $170,000 based on 20,000 Atendess.</t>
  </si>
  <si>
    <t>CompuSystems (CSI)</t>
  </si>
  <si>
    <t>Vendor A</t>
  </si>
  <si>
    <t>Vendor A has vast experience with nonprofits, with 50% of their clientele being not-for-profit associations. They compete globally and the HQ is located in Downers Grove, IL.</t>
  </si>
  <si>
    <t>Vendor A Contact
 VP of Business Development 
+1 111 111 1111
vendor.a.contact@vendora.com</t>
  </si>
  <si>
    <t>Vendor B Contact
Onsite, Lead Retrieval &amp; Business Development Director
+2 222 222 2222
vendor.b.contact@vendorb.com</t>
  </si>
  <si>
    <t xml:space="preserve">Vendor B Contact
Shaunna Buxton - Sr. Account Exec., Reg. Lead Services
</t>
  </si>
  <si>
    <t>N/A</t>
  </si>
  <si>
    <t>Total Amount Vendor A</t>
  </si>
  <si>
    <t>Total Amount Vendor B</t>
  </si>
  <si>
    <t>Variance: Vendor A vs Vendor B</t>
  </si>
  <si>
    <t>Vendor B</t>
  </si>
  <si>
    <t>Sum of Vendor A Total Contract</t>
  </si>
  <si>
    <t>Sum of Vendor B Total Contract</t>
  </si>
  <si>
    <t>Vendor A2023IC</t>
  </si>
  <si>
    <t>Vendor A2024IC</t>
  </si>
  <si>
    <t>Vendor A2025IC</t>
  </si>
  <si>
    <t>Vendor A2023IA</t>
  </si>
  <si>
    <t>Vendor A2024IA</t>
  </si>
  <si>
    <t>Vendor A2025IA</t>
  </si>
  <si>
    <t>Vendor A2025COL</t>
  </si>
  <si>
    <t>Vendor ATotal Contract</t>
  </si>
  <si>
    <t>Vendor B USA</t>
  </si>
  <si>
    <t>Vendor B2023IC</t>
  </si>
  <si>
    <t>Vendor B2024IC</t>
  </si>
  <si>
    <t>Vendor B2025IC</t>
  </si>
  <si>
    <t>Vendor B2023IA</t>
  </si>
  <si>
    <t>Vendor B2024IA</t>
  </si>
  <si>
    <t>Vendor B2025IA</t>
  </si>
  <si>
    <t>Vendor B2025COL</t>
  </si>
  <si>
    <t>Vendor BTotal Contract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</si>
</sst>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43" formatCode="_(* #,##0.00_);_(* \(#,##0.00\);_(* &quot;-&quot;??_);_(@_)"/>
    <numFmt numFmtId="164" formatCode="&quot;$&quot;#,##0.00"/>
    <numFmt numFmtId="165" formatCode="_(* #,##0_);_(* \(#,##0\);_(* &quot;-&quot;??_);_(@_)"/>
    <numFmt numFmtId="166" formatCode="_(&quot;$&quot;* #,##0_);_(&quot;$&quot;* \(#,##0\);_(&quot;$&quot;* &quot;-&quot;??_);_(@_)"/>
  </numFmts>
  <fonts count="18"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u/>
      <sz val="11"/>
      <color theme="1"/>
      <name val="Calibri"/>
      <family val="2"/>
      <scheme val="minor"/>
    </font>
    <font>
      <sz val="11"/>
      <color rgb="FF000000"/>
      <name val="Calibri"/>
      <family val="2"/>
      <scheme val="minor"/>
    </font>
    <font>
      <sz val="11"/>
      <name val="Calibri"/>
      <family val="2"/>
      <scheme val="minor"/>
    </font>
    <font>
      <sz val="10"/>
      <name val="Calibri"/>
      <family val="2"/>
      <scheme val="minor"/>
    </font>
    <font>
      <sz val="11"/>
      <color theme="1"/>
      <name val="Calibri"/>
      <family val="2"/>
      <scheme val="minor"/>
    </font>
    <font>
      <b/>
      <sz val="12"/>
      <color rgb="FF000000"/>
      <name val="Calibri"/>
      <family val="2"/>
    </font>
    <font>
      <sz val="11"/>
      <name val="Calibri"/>
      <family val="2"/>
    </font>
    <font>
      <b/>
      <sz val="11"/>
      <color rgb="FF000000"/>
      <name val="Calibri"/>
      <family val="2"/>
    </font>
    <font>
      <sz val="11"/>
      <color rgb="FF000000"/>
      <name val="Calibri"/>
      <family val="2"/>
    </font>
    <font>
      <b/>
      <sz val="14"/>
      <color rgb="FF000000"/>
      <name val="Calibri"/>
      <family val="2"/>
    </font>
    <font>
      <b/>
      <strike/>
      <sz val="12"/>
      <color rgb="FF000000"/>
      <name val="Calibri"/>
      <family val="2"/>
    </font>
    <font>
      <strike/>
      <sz val="11"/>
      <color rgb="FF000000"/>
      <name val="Calibri"/>
      <family val="2"/>
    </font>
    <font>
      <b/>
      <sz val="11"/>
      <color theme="0"/>
      <name val="Calibri"/>
      <family val="2"/>
      <scheme val="minor"/>
    </font>
    <font>
      <b/>
      <sz val="11"/>
      <name val="Calibri"/>
      <family val="2"/>
      <scheme val="minor"/>
    </font>
  </fonts>
  <fills count="30">
    <fill>
      <patternFill patternType="none"/>
    </fill>
    <fill>
      <patternFill patternType="gray125"/>
    </fill>
    <fill>
      <patternFill patternType="solid">
        <fgColor theme="4" tint="0.39997558519241921"/>
        <bgColor indexed="64"/>
      </patternFill>
    </fill>
    <fill>
      <patternFill patternType="solid">
        <fgColor theme="7" tint="0.59999389629810485"/>
        <bgColor indexed="64"/>
      </patternFill>
    </fill>
    <fill>
      <patternFill patternType="solid">
        <fgColor rgb="FFCC99FF"/>
        <bgColor indexed="64"/>
      </patternFill>
    </fill>
    <fill>
      <patternFill patternType="solid">
        <fgColor rgb="FFFF9999"/>
        <bgColor indexed="64"/>
      </patternFill>
    </fill>
    <fill>
      <patternFill patternType="solid">
        <fgColor rgb="FFFF9966"/>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FFCCFF"/>
        <bgColor indexed="64"/>
      </patternFill>
    </fill>
    <fill>
      <patternFill patternType="solid">
        <fgColor rgb="FF99FFCC"/>
        <bgColor indexed="64"/>
      </patternFill>
    </fill>
    <fill>
      <patternFill patternType="solid">
        <fgColor rgb="FFFF7C80"/>
        <bgColor indexed="64"/>
      </patternFill>
    </fill>
    <fill>
      <patternFill patternType="solid">
        <fgColor theme="0"/>
        <bgColor indexed="64"/>
      </patternFill>
    </fill>
    <fill>
      <patternFill patternType="solid">
        <fgColor theme="9" tint="0.39997558519241921"/>
        <bgColor indexed="64"/>
      </patternFill>
    </fill>
    <fill>
      <patternFill patternType="solid">
        <fgColor rgb="FFFFFF66"/>
        <bgColor indexed="64"/>
      </patternFill>
    </fill>
    <fill>
      <patternFill patternType="solid">
        <fgColor rgb="FFFFFF00"/>
        <bgColor indexed="64"/>
      </patternFill>
    </fill>
    <fill>
      <patternFill patternType="solid">
        <fgColor rgb="FFDBE5F1"/>
        <bgColor rgb="FFDBE5F1"/>
      </patternFill>
    </fill>
    <fill>
      <patternFill patternType="solid">
        <fgColor theme="2" tint="-9.9978637043366805E-2"/>
        <bgColor rgb="FFDBE5F1"/>
      </patternFill>
    </fill>
    <fill>
      <patternFill patternType="solid">
        <fgColor rgb="FFFF0000"/>
        <bgColor rgb="FFFF0000"/>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theme="7"/>
        <bgColor indexed="64"/>
      </patternFill>
    </fill>
    <fill>
      <patternFill patternType="solid">
        <fgColor theme="7"/>
        <bgColor rgb="FFFFC000"/>
      </patternFill>
    </fill>
    <fill>
      <patternFill patternType="solid">
        <fgColor rgb="FFFABF8F"/>
        <bgColor rgb="FFFABF8F"/>
      </patternFill>
    </fill>
    <fill>
      <patternFill patternType="solid">
        <fgColor rgb="FFB2A1C7"/>
        <bgColor rgb="FFB2A1C7"/>
      </patternFill>
    </fill>
    <fill>
      <patternFill patternType="solid">
        <fgColor rgb="FFC4BD97"/>
        <bgColor rgb="FFC4BD97"/>
      </patternFill>
    </fill>
    <fill>
      <patternFill patternType="solid">
        <fgColor theme="1"/>
        <bgColor indexed="64"/>
      </patternFill>
    </fill>
  </fills>
  <borders count="49">
    <border>
      <left/>
      <right/>
      <top/>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indexed="64"/>
      </left>
      <right/>
      <top/>
      <bottom style="thin">
        <color rgb="FF000000"/>
      </bottom>
      <diagonal/>
    </border>
    <border>
      <left style="medium">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diagonal/>
    </border>
    <border>
      <left style="thin">
        <color indexed="64"/>
      </left>
      <right style="medium">
        <color indexed="64"/>
      </right>
      <top/>
      <bottom/>
      <diagonal/>
    </border>
    <border>
      <left style="thin">
        <color indexed="64"/>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top/>
      <bottom/>
      <diagonal/>
    </border>
    <border>
      <left/>
      <right style="medium">
        <color indexed="64"/>
      </right>
      <top/>
      <bottom/>
      <diagonal/>
    </border>
    <border>
      <left/>
      <right style="medium">
        <color rgb="FF000000"/>
      </right>
      <top/>
      <bottom/>
      <diagonal/>
    </border>
    <border>
      <left/>
      <right style="thin">
        <color indexed="64"/>
      </right>
      <top/>
      <bottom/>
      <diagonal/>
    </border>
    <border>
      <left style="thin">
        <color indexed="64"/>
      </left>
      <right/>
      <top/>
      <bottom style="thin">
        <color indexed="64"/>
      </bottom>
      <diagonal/>
    </border>
    <border>
      <left style="thin">
        <color theme="1"/>
      </left>
      <right/>
      <top style="thin">
        <color theme="1"/>
      </top>
      <bottom/>
      <diagonal/>
    </border>
    <border>
      <left style="thin">
        <color theme="1"/>
      </left>
      <right/>
      <top style="thin">
        <color theme="1"/>
      </top>
      <bottom style="thin">
        <color theme="1"/>
      </bottom>
      <diagonal/>
    </border>
    <border>
      <left style="medium">
        <color indexed="64"/>
      </left>
      <right/>
      <top/>
      <bottom/>
      <diagonal/>
    </border>
  </borders>
  <cellStyleXfs count="7">
    <xf numFmtId="0" fontId="0" fillId="0" borderId="0"/>
    <xf numFmtId="43" fontId="8" fillId="0" borderId="0" applyFont="0" applyFill="0" applyBorder="0" applyAlignment="0" applyProtection="0"/>
    <xf numFmtId="44" fontId="8" fillId="0" borderId="0" applyFont="0" applyFill="0" applyBorder="0" applyAlignment="0" applyProtection="0"/>
    <xf numFmtId="0" fontId="12" fillId="0" borderId="0"/>
    <xf numFmtId="43" fontId="12" fillId="0" borderId="0" applyFont="0" applyFill="0" applyBorder="0" applyAlignment="0" applyProtection="0"/>
    <xf numFmtId="44" fontId="12" fillId="0" borderId="0" applyFont="0" applyFill="0" applyBorder="0" applyAlignment="0" applyProtection="0"/>
    <xf numFmtId="9" fontId="8" fillId="0" borderId="0" applyFont="0" applyFill="0" applyBorder="0" applyAlignment="0" applyProtection="0"/>
  </cellStyleXfs>
  <cellXfs count="259">
    <xf numFmtId="0" fontId="0" fillId="0" borderId="0" xfId="0"/>
    <xf numFmtId="0" fontId="2" fillId="0" borderId="0" xfId="0" applyFont="1" applyAlignment="1">
      <alignment horizontal="left" vertical="top" wrapText="1"/>
    </xf>
    <xf numFmtId="0" fontId="0" fillId="0" borderId="0" xfId="0" applyAlignment="1">
      <alignment vertical="top" wrapText="1"/>
    </xf>
    <xf numFmtId="0" fontId="0" fillId="0" borderId="0" xfId="0" applyAlignment="1">
      <alignment vertical="top"/>
    </xf>
    <xf numFmtId="0" fontId="1" fillId="4" borderId="5" xfId="0" applyFont="1" applyFill="1" applyBorder="1" applyAlignment="1">
      <alignment horizontal="center" vertical="top" wrapText="1"/>
    </xf>
    <xf numFmtId="0" fontId="1" fillId="3" borderId="5"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6" borderId="6" xfId="0" applyFont="1" applyFill="1" applyBorder="1" applyAlignment="1">
      <alignment horizontal="center" vertical="top" wrapText="1"/>
    </xf>
    <xf numFmtId="0" fontId="1" fillId="13" borderId="5" xfId="0" applyFont="1" applyFill="1" applyBorder="1" applyAlignment="1">
      <alignment horizontal="left" vertical="top" wrapText="1"/>
    </xf>
    <xf numFmtId="0" fontId="1" fillId="0" borderId="5" xfId="0" applyFont="1" applyBorder="1" applyAlignment="1">
      <alignment horizontal="left" vertical="top" wrapText="1"/>
    </xf>
    <xf numFmtId="0" fontId="1" fillId="0" borderId="14"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7" borderId="5" xfId="0" applyFont="1" applyFill="1" applyBorder="1" applyAlignment="1">
      <alignment vertical="top" wrapText="1"/>
    </xf>
    <xf numFmtId="0" fontId="1" fillId="14" borderId="5" xfId="0" applyFont="1" applyFill="1" applyBorder="1" applyAlignment="1">
      <alignment vertical="top" wrapText="1"/>
    </xf>
    <xf numFmtId="0" fontId="3" fillId="0" borderId="0" xfId="0" applyFont="1" applyAlignment="1">
      <alignment vertical="top" wrapText="1"/>
    </xf>
    <xf numFmtId="0" fontId="1" fillId="0" borderId="15" xfId="0" applyFont="1" applyBorder="1" applyAlignment="1">
      <alignment vertical="top" wrapText="1"/>
    </xf>
    <xf numFmtId="0" fontId="1" fillId="15" borderId="17" xfId="0" applyFont="1" applyFill="1" applyBorder="1" applyAlignment="1">
      <alignment horizontal="center" vertical="top" wrapText="1"/>
    </xf>
    <xf numFmtId="0" fontId="0" fillId="0" borderId="5" xfId="0" applyBorder="1" applyAlignment="1">
      <alignment horizontal="center" vertical="center" wrapText="1"/>
    </xf>
    <xf numFmtId="0" fontId="0" fillId="0" borderId="17" xfId="0" applyBorder="1" applyAlignment="1">
      <alignment horizontal="center" vertical="center" wrapText="1"/>
    </xf>
    <xf numFmtId="0" fontId="0" fillId="0" borderId="6" xfId="0" applyBorder="1" applyAlignment="1">
      <alignment horizontal="center" vertical="center" wrapText="1"/>
    </xf>
    <xf numFmtId="164" fontId="0" fillId="0" borderId="5" xfId="0" applyNumberFormat="1" applyBorder="1" applyAlignment="1">
      <alignment horizontal="center" vertical="center" wrapText="1"/>
    </xf>
    <xf numFmtId="164" fontId="0" fillId="0" borderId="17" xfId="0" applyNumberFormat="1" applyBorder="1" applyAlignment="1">
      <alignment horizontal="center" vertical="center" wrapText="1"/>
    </xf>
    <xf numFmtId="164" fontId="0" fillId="0" borderId="6" xfId="0" applyNumberFormat="1" applyBorder="1" applyAlignment="1">
      <alignment horizontal="center" vertical="center" wrapText="1"/>
    </xf>
    <xf numFmtId="164" fontId="0" fillId="0" borderId="15" xfId="0" applyNumberFormat="1" applyBorder="1" applyAlignment="1">
      <alignment horizontal="center" vertical="center" wrapText="1"/>
    </xf>
    <xf numFmtId="164" fontId="0" fillId="0" borderId="16" xfId="0" applyNumberFormat="1" applyBorder="1" applyAlignment="1">
      <alignment horizontal="center" vertical="center" wrapText="1"/>
    </xf>
    <xf numFmtId="164" fontId="1" fillId="0" borderId="9" xfId="0" applyNumberFormat="1" applyFont="1" applyBorder="1" applyAlignment="1">
      <alignment horizontal="center" vertical="center" wrapText="1"/>
    </xf>
    <xf numFmtId="164" fontId="1" fillId="0" borderId="19" xfId="0" applyNumberFormat="1" applyFont="1" applyBorder="1" applyAlignment="1">
      <alignment horizontal="center" vertical="center" wrapText="1"/>
    </xf>
    <xf numFmtId="164" fontId="1" fillId="0" borderId="10" xfId="0" applyNumberFormat="1" applyFont="1" applyBorder="1" applyAlignment="1">
      <alignment horizontal="center" vertical="center" wrapText="1"/>
    </xf>
    <xf numFmtId="6" fontId="0" fillId="0" borderId="5" xfId="0" applyNumberFormat="1" applyBorder="1" applyAlignment="1">
      <alignment horizontal="center" vertical="center" wrapText="1"/>
    </xf>
    <xf numFmtId="0" fontId="0" fillId="0" borderId="5" xfId="0" applyBorder="1" applyAlignment="1">
      <alignment horizontal="left" vertical="top" wrapText="1"/>
    </xf>
    <xf numFmtId="0" fontId="1" fillId="6" borderId="0" xfId="0" applyFont="1" applyFill="1" applyAlignment="1">
      <alignment horizontal="center" vertical="center" wrapText="1"/>
    </xf>
    <xf numFmtId="0" fontId="0" fillId="17" borderId="5" xfId="0" applyFill="1" applyBorder="1" applyAlignment="1">
      <alignment horizontal="center" vertical="center" wrapText="1"/>
    </xf>
    <xf numFmtId="0" fontId="1" fillId="13" borderId="21" xfId="0" applyFont="1" applyFill="1" applyBorder="1" applyAlignment="1">
      <alignment horizontal="left" vertical="top" wrapText="1"/>
    </xf>
    <xf numFmtId="0" fontId="0" fillId="14" borderId="5" xfId="0" applyFill="1" applyBorder="1" applyAlignment="1">
      <alignment horizontal="center" vertical="center" wrapText="1"/>
    </xf>
    <xf numFmtId="0" fontId="6" fillId="0" borderId="5" xfId="0" applyFont="1" applyBorder="1" applyAlignment="1">
      <alignment vertical="center" wrapText="1"/>
    </xf>
    <xf numFmtId="0" fontId="7" fillId="0" borderId="5" xfId="0" applyFont="1" applyBorder="1" applyAlignment="1">
      <alignment vertical="center" wrapText="1"/>
    </xf>
    <xf numFmtId="0" fontId="5" fillId="0" borderId="5" xfId="0" applyFont="1" applyBorder="1" applyAlignment="1">
      <alignment horizontal="center" vertical="center" wrapText="1"/>
    </xf>
    <xf numFmtId="0" fontId="11" fillId="18" borderId="25" xfId="0" applyFont="1" applyFill="1" applyBorder="1" applyAlignment="1">
      <alignment horizontal="center"/>
    </xf>
    <xf numFmtId="0" fontId="0" fillId="18" borderId="25" xfId="0" applyFill="1" applyBorder="1"/>
    <xf numFmtId="44" fontId="0" fillId="18" borderId="25" xfId="0" applyNumberFormat="1" applyFill="1" applyBorder="1"/>
    <xf numFmtId="0" fontId="0" fillId="0" borderId="25" xfId="0" applyBorder="1"/>
    <xf numFmtId="0" fontId="12" fillId="18" borderId="25" xfId="0" applyFont="1" applyFill="1" applyBorder="1"/>
    <xf numFmtId="0" fontId="11" fillId="18" borderId="25" xfId="0" applyFont="1" applyFill="1" applyBorder="1"/>
    <xf numFmtId="44" fontId="11" fillId="18" borderId="25" xfId="0" applyNumberFormat="1" applyFont="1" applyFill="1" applyBorder="1"/>
    <xf numFmtId="0" fontId="11" fillId="0" borderId="25" xfId="0" applyFont="1" applyBorder="1"/>
    <xf numFmtId="0" fontId="11" fillId="19" borderId="5" xfId="0" applyFont="1" applyFill="1" applyBorder="1"/>
    <xf numFmtId="0" fontId="0" fillId="8" borderId="5" xfId="0" applyFill="1" applyBorder="1"/>
    <xf numFmtId="165" fontId="0" fillId="8" borderId="5" xfId="1" applyNumberFormat="1" applyFont="1" applyFill="1" applyBorder="1" applyAlignment="1"/>
    <xf numFmtId="0" fontId="9" fillId="21" borderId="28" xfId="0" applyFont="1" applyFill="1" applyBorder="1" applyAlignment="1">
      <alignment wrapText="1"/>
    </xf>
    <xf numFmtId="0" fontId="9" fillId="21" borderId="5" xfId="0" applyFont="1" applyFill="1" applyBorder="1" applyAlignment="1">
      <alignment wrapText="1"/>
    </xf>
    <xf numFmtId="0" fontId="9" fillId="21" borderId="5" xfId="0" applyFont="1" applyFill="1" applyBorder="1" applyAlignment="1">
      <alignment horizontal="center" wrapText="1"/>
    </xf>
    <xf numFmtId="0" fontId="9" fillId="22" borderId="5" xfId="0" applyFont="1" applyFill="1" applyBorder="1" applyAlignment="1">
      <alignment horizontal="center" wrapText="1"/>
    </xf>
    <xf numFmtId="0" fontId="9" fillId="21" borderId="6" xfId="0" applyFont="1" applyFill="1" applyBorder="1" applyAlignment="1">
      <alignment horizontal="center" wrapText="1"/>
    </xf>
    <xf numFmtId="0" fontId="0" fillId="0" borderId="28" xfId="0" applyBorder="1"/>
    <xf numFmtId="0" fontId="0" fillId="0" borderId="5" xfId="0" applyBorder="1"/>
    <xf numFmtId="165" fontId="0" fillId="0" borderId="5" xfId="1" applyNumberFormat="1" applyFont="1" applyFill="1" applyBorder="1"/>
    <xf numFmtId="164" fontId="0" fillId="0" borderId="5" xfId="0" applyNumberFormat="1" applyBorder="1"/>
    <xf numFmtId="0" fontId="11" fillId="24" borderId="28" xfId="0" applyFont="1" applyFill="1" applyBorder="1"/>
    <xf numFmtId="0" fontId="9" fillId="25" borderId="5" xfId="0" applyFont="1" applyFill="1" applyBorder="1" applyAlignment="1">
      <alignment wrapText="1"/>
    </xf>
    <xf numFmtId="0" fontId="9" fillId="28" borderId="29" xfId="3" applyFont="1" applyFill="1" applyBorder="1" applyAlignment="1">
      <alignment wrapText="1"/>
    </xf>
    <xf numFmtId="0" fontId="9" fillId="28" borderId="25" xfId="3" applyFont="1" applyFill="1" applyBorder="1" applyAlignment="1">
      <alignment horizontal="center" wrapText="1"/>
    </xf>
    <xf numFmtId="0" fontId="14" fillId="22" borderId="25" xfId="3" applyFont="1" applyFill="1" applyBorder="1" applyAlignment="1">
      <alignment horizontal="center" wrapText="1"/>
    </xf>
    <xf numFmtId="0" fontId="14" fillId="28" borderId="25" xfId="3" applyFont="1" applyFill="1" applyBorder="1" applyAlignment="1">
      <alignment horizontal="center" wrapText="1"/>
    </xf>
    <xf numFmtId="0" fontId="9" fillId="22" borderId="25" xfId="3" applyFont="1" applyFill="1" applyBorder="1" applyAlignment="1">
      <alignment horizontal="center" wrapText="1"/>
    </xf>
    <xf numFmtId="0" fontId="9" fillId="28" borderId="30" xfId="3" applyFont="1" applyFill="1" applyBorder="1" applyAlignment="1">
      <alignment horizontal="center" wrapText="1"/>
    </xf>
    <xf numFmtId="0" fontId="12" fillId="0" borderId="29" xfId="3" applyBorder="1"/>
    <xf numFmtId="0" fontId="12" fillId="0" borderId="25" xfId="3" applyBorder="1"/>
    <xf numFmtId="164" fontId="15" fillId="0" borderId="5" xfId="0" applyNumberFormat="1" applyFont="1" applyBorder="1"/>
    <xf numFmtId="164" fontId="0" fillId="0" borderId="25" xfId="5" applyNumberFormat="1" applyFont="1" applyFill="1" applyBorder="1"/>
    <xf numFmtId="164" fontId="12" fillId="0" borderId="25" xfId="3" applyNumberFormat="1" applyBorder="1"/>
    <xf numFmtId="164" fontId="15" fillId="0" borderId="25" xfId="3" applyNumberFormat="1" applyFont="1" applyBorder="1"/>
    <xf numFmtId="0" fontId="12" fillId="0" borderId="32" xfId="3" applyBorder="1"/>
    <xf numFmtId="0" fontId="12" fillId="0" borderId="33" xfId="3" applyBorder="1"/>
    <xf numFmtId="164" fontId="15" fillId="0" borderId="33" xfId="3" applyNumberFormat="1" applyFont="1" applyBorder="1"/>
    <xf numFmtId="164" fontId="12" fillId="0" borderId="33" xfId="3" applyNumberFormat="1" applyBorder="1"/>
    <xf numFmtId="0" fontId="10" fillId="0" borderId="0" xfId="3" applyFont="1" applyAlignment="1">
      <alignment horizontal="center"/>
    </xf>
    <xf numFmtId="0" fontId="9" fillId="28" borderId="0" xfId="3" applyFont="1" applyFill="1" applyAlignment="1">
      <alignment horizontal="center" wrapText="1"/>
    </xf>
    <xf numFmtId="0" fontId="10" fillId="0" borderId="0" xfId="3" applyFont="1"/>
    <xf numFmtId="0" fontId="12" fillId="0" borderId="0" xfId="3"/>
    <xf numFmtId="0" fontId="9" fillId="28" borderId="28" xfId="3" applyFont="1" applyFill="1" applyBorder="1" applyAlignment="1">
      <alignment wrapText="1"/>
    </xf>
    <xf numFmtId="0" fontId="9" fillId="28" borderId="5" xfId="3" applyFont="1" applyFill="1" applyBorder="1" applyAlignment="1">
      <alignment wrapText="1"/>
    </xf>
    <xf numFmtId="0" fontId="9" fillId="28" borderId="5" xfId="3" applyFont="1" applyFill="1" applyBorder="1" applyAlignment="1">
      <alignment horizontal="center" wrapText="1"/>
    </xf>
    <xf numFmtId="0" fontId="9" fillId="22" borderId="5" xfId="3" applyFont="1" applyFill="1" applyBorder="1" applyAlignment="1">
      <alignment horizontal="center" wrapText="1"/>
    </xf>
    <xf numFmtId="0" fontId="9" fillId="28" borderId="6" xfId="3" applyFont="1" applyFill="1" applyBorder="1" applyAlignment="1">
      <alignment horizontal="center" wrapText="1"/>
    </xf>
    <xf numFmtId="0" fontId="12" fillId="0" borderId="28" xfId="3" applyBorder="1"/>
    <xf numFmtId="0" fontId="12" fillId="0" borderId="5" xfId="3" applyBorder="1"/>
    <xf numFmtId="164" fontId="12" fillId="0" borderId="5" xfId="3" applyNumberFormat="1" applyBorder="1"/>
    <xf numFmtId="0" fontId="1" fillId="0" borderId="0" xfId="0" applyFont="1" applyAlignment="1">
      <alignment horizontal="center" vertical="top" wrapText="1"/>
    </xf>
    <xf numFmtId="0" fontId="13" fillId="0" borderId="0" xfId="3" applyFont="1" applyAlignment="1">
      <alignment horizontal="center"/>
    </xf>
    <xf numFmtId="0" fontId="9" fillId="0" borderId="0" xfId="3" applyFont="1" applyAlignment="1">
      <alignment horizontal="center" wrapText="1"/>
    </xf>
    <xf numFmtId="0" fontId="12" fillId="0" borderId="0" xfId="0" applyFont="1"/>
    <xf numFmtId="0" fontId="13" fillId="0" borderId="0" xfId="0" applyFont="1"/>
    <xf numFmtId="0" fontId="9" fillId="0" borderId="0" xfId="0" applyFont="1" applyAlignment="1">
      <alignment horizontal="center" wrapText="1"/>
    </xf>
    <xf numFmtId="0" fontId="13" fillId="0" borderId="0" xfId="0" applyFont="1" applyAlignment="1">
      <alignment horizontal="center"/>
    </xf>
    <xf numFmtId="0" fontId="9" fillId="28" borderId="17" xfId="3" applyFont="1" applyFill="1" applyBorder="1" applyAlignment="1">
      <alignment horizontal="center" wrapText="1"/>
    </xf>
    <xf numFmtId="0" fontId="9" fillId="28" borderId="22" xfId="3" applyFont="1" applyFill="1" applyBorder="1" applyAlignment="1">
      <alignment horizontal="center" wrapText="1"/>
    </xf>
    <xf numFmtId="0" fontId="9" fillId="21" borderId="17" xfId="0" applyFont="1" applyFill="1" applyBorder="1" applyAlignment="1">
      <alignment horizontal="center" wrapText="1"/>
    </xf>
    <xf numFmtId="0" fontId="12" fillId="0" borderId="12" xfId="0" applyFont="1" applyBorder="1"/>
    <xf numFmtId="0" fontId="12" fillId="0" borderId="14" xfId="0" applyFont="1" applyBorder="1"/>
    <xf numFmtId="0" fontId="12" fillId="0" borderId="36" xfId="0" applyFont="1" applyBorder="1"/>
    <xf numFmtId="0" fontId="12" fillId="0" borderId="37" xfId="0" applyFont="1" applyBorder="1"/>
    <xf numFmtId="164" fontId="12" fillId="0" borderId="14" xfId="0" applyNumberFormat="1" applyFont="1" applyBorder="1"/>
    <xf numFmtId="164" fontId="0" fillId="0" borderId="0" xfId="0" applyNumberFormat="1"/>
    <xf numFmtId="0" fontId="10" fillId="0" borderId="0" xfId="0" applyFont="1"/>
    <xf numFmtId="0" fontId="12" fillId="0" borderId="38" xfId="0" applyFont="1" applyBorder="1"/>
    <xf numFmtId="0" fontId="12" fillId="0" borderId="39" xfId="0" applyFont="1" applyBorder="1"/>
    <xf numFmtId="0" fontId="12" fillId="0" borderId="40" xfId="0" applyFont="1" applyBorder="1"/>
    <xf numFmtId="164" fontId="12" fillId="0" borderId="39" xfId="0" applyNumberFormat="1" applyFont="1" applyBorder="1"/>
    <xf numFmtId="0" fontId="12" fillId="0" borderId="41" xfId="0" applyFont="1" applyBorder="1"/>
    <xf numFmtId="0" fontId="0" fillId="0" borderId="14" xfId="0" applyBorder="1"/>
    <xf numFmtId="0" fontId="0" fillId="0" borderId="37" xfId="0" applyBorder="1"/>
    <xf numFmtId="164" fontId="0" fillId="0" borderId="14" xfId="0" applyNumberFormat="1" applyBorder="1"/>
    <xf numFmtId="0" fontId="0" fillId="0" borderId="12" xfId="0" applyBorder="1"/>
    <xf numFmtId="44" fontId="0" fillId="0" borderId="0" xfId="2" applyFont="1"/>
    <xf numFmtId="44" fontId="0" fillId="0" borderId="0" xfId="0" applyNumberFormat="1"/>
    <xf numFmtId="49" fontId="0" fillId="0" borderId="0" xfId="0" applyNumberFormat="1"/>
    <xf numFmtId="44" fontId="0" fillId="0" borderId="20" xfId="2" applyFont="1" applyFill="1" applyBorder="1"/>
    <xf numFmtId="44" fontId="0" fillId="0" borderId="5" xfId="2" applyFont="1" applyFill="1" applyBorder="1"/>
    <xf numFmtId="44" fontId="0" fillId="0" borderId="15" xfId="2" applyFont="1" applyFill="1" applyBorder="1"/>
    <xf numFmtId="0" fontId="0" fillId="17" borderId="14" xfId="0" applyFill="1" applyBorder="1"/>
    <xf numFmtId="44" fontId="0" fillId="0" borderId="14" xfId="0" applyNumberFormat="1" applyBorder="1"/>
    <xf numFmtId="44" fontId="12" fillId="0" borderId="5" xfId="2" applyFont="1" applyBorder="1" applyAlignment="1"/>
    <xf numFmtId="44" fontId="0" fillId="0" borderId="5" xfId="2" applyFont="1" applyBorder="1"/>
    <xf numFmtId="44" fontId="0" fillId="0" borderId="5" xfId="2" applyFont="1" applyBorder="1" applyAlignment="1"/>
    <xf numFmtId="44" fontId="0" fillId="17" borderId="5" xfId="2" applyFont="1" applyFill="1" applyBorder="1"/>
    <xf numFmtId="44" fontId="0" fillId="0" borderId="15" xfId="2" applyFont="1" applyBorder="1"/>
    <xf numFmtId="0" fontId="0" fillId="13" borderId="0" xfId="0" applyFill="1"/>
    <xf numFmtId="0" fontId="0" fillId="4" borderId="0" xfId="0" applyFill="1"/>
    <xf numFmtId="0" fontId="0" fillId="12" borderId="0" xfId="0" applyFill="1"/>
    <xf numFmtId="0" fontId="1" fillId="0" borderId="0" xfId="0" applyFont="1"/>
    <xf numFmtId="0" fontId="0" fillId="0" borderId="0" xfId="0" pivotButton="1"/>
    <xf numFmtId="0" fontId="0" fillId="0" borderId="0" xfId="0" applyAlignment="1">
      <alignment horizontal="left"/>
    </xf>
    <xf numFmtId="44" fontId="12" fillId="0" borderId="5" xfId="2" applyFont="1" applyFill="1" applyBorder="1" applyAlignment="1"/>
    <xf numFmtId="0" fontId="16" fillId="29" borderId="0" xfId="0" applyFont="1" applyFill="1"/>
    <xf numFmtId="0" fontId="0" fillId="29" borderId="0" xfId="0" applyFill="1"/>
    <xf numFmtId="165" fontId="0" fillId="8" borderId="17" xfId="1" applyNumberFormat="1" applyFont="1" applyFill="1" applyBorder="1" applyAlignment="1"/>
    <xf numFmtId="0" fontId="11" fillId="19" borderId="20" xfId="0" applyFont="1" applyFill="1" applyBorder="1"/>
    <xf numFmtId="0" fontId="11" fillId="19" borderId="45" xfId="0" applyFont="1" applyFill="1" applyBorder="1"/>
    <xf numFmtId="0" fontId="0" fillId="0" borderId="46" xfId="0" applyBorder="1"/>
    <xf numFmtId="0" fontId="0" fillId="0" borderId="47" xfId="0" applyBorder="1"/>
    <xf numFmtId="0" fontId="11" fillId="18" borderId="35" xfId="0" applyFont="1" applyFill="1" applyBorder="1" applyAlignment="1">
      <alignment horizontal="center"/>
    </xf>
    <xf numFmtId="0" fontId="11" fillId="18" borderId="33" xfId="0" applyFont="1" applyFill="1" applyBorder="1" applyAlignment="1">
      <alignment horizontal="center"/>
    </xf>
    <xf numFmtId="44" fontId="0" fillId="18" borderId="35" xfId="0" applyNumberFormat="1" applyFill="1" applyBorder="1"/>
    <xf numFmtId="0" fontId="0" fillId="0" borderId="33" xfId="0" applyBorder="1"/>
    <xf numFmtId="44" fontId="0" fillId="18" borderId="22" xfId="0" applyNumberFormat="1" applyFill="1" applyBorder="1"/>
    <xf numFmtId="0" fontId="11" fillId="0" borderId="0" xfId="0" applyFont="1"/>
    <xf numFmtId="44" fontId="11" fillId="0" borderId="0" xfId="0" applyNumberFormat="1" applyFont="1"/>
    <xf numFmtId="0" fontId="11" fillId="0" borderId="0" xfId="0" applyFont="1" applyAlignment="1">
      <alignment horizontal="center"/>
    </xf>
    <xf numFmtId="0" fontId="0" fillId="0" borderId="0" xfId="0" applyAlignment="1">
      <alignment horizontal="center"/>
    </xf>
    <xf numFmtId="0" fontId="11" fillId="18" borderId="5" xfId="0" applyFont="1" applyFill="1" applyBorder="1" applyAlignment="1">
      <alignment horizontal="center"/>
    </xf>
    <xf numFmtId="0" fontId="11" fillId="18" borderId="5" xfId="0" applyFont="1" applyFill="1" applyBorder="1"/>
    <xf numFmtId="44" fontId="11" fillId="18" borderId="5" xfId="0" applyNumberFormat="1" applyFont="1" applyFill="1" applyBorder="1"/>
    <xf numFmtId="165" fontId="0" fillId="0" borderId="5" xfId="1" applyNumberFormat="1" applyFont="1" applyFill="1" applyBorder="1" applyAlignment="1"/>
    <xf numFmtId="0" fontId="9" fillId="21" borderId="17" xfId="0" applyFont="1" applyFill="1" applyBorder="1" applyAlignment="1">
      <alignment horizontal="center"/>
    </xf>
    <xf numFmtId="3" fontId="0" fillId="0" borderId="5" xfId="0" applyNumberFormat="1" applyBorder="1"/>
    <xf numFmtId="44" fontId="8" fillId="0" borderId="20" xfId="2" applyFont="1" applyFill="1" applyBorder="1"/>
    <xf numFmtId="44" fontId="8" fillId="0" borderId="5" xfId="2" applyFont="1" applyFill="1" applyBorder="1"/>
    <xf numFmtId="44" fontId="8" fillId="0" borderId="14" xfId="0" applyNumberFormat="1" applyFont="1" applyBorder="1"/>
    <xf numFmtId="0" fontId="0" fillId="0" borderId="17" xfId="0" applyBorder="1"/>
    <xf numFmtId="0" fontId="8" fillId="0" borderId="14" xfId="0" applyFont="1" applyBorder="1"/>
    <xf numFmtId="9" fontId="0" fillId="0" borderId="0" xfId="6" applyFont="1"/>
    <xf numFmtId="0" fontId="6" fillId="0" borderId="5" xfId="0" applyFont="1" applyBorder="1" applyAlignment="1">
      <alignment horizontal="center" vertical="center" wrapText="1"/>
    </xf>
    <xf numFmtId="0" fontId="12" fillId="0" borderId="11" xfId="3" applyBorder="1"/>
    <xf numFmtId="0" fontId="12" fillId="0" borderId="15" xfId="3" applyBorder="1"/>
    <xf numFmtId="0" fontId="12" fillId="0" borderId="18" xfId="3" applyBorder="1"/>
    <xf numFmtId="44" fontId="1" fillId="0" borderId="5" xfId="2" applyFont="1" applyFill="1" applyBorder="1"/>
    <xf numFmtId="44" fontId="11" fillId="0" borderId="5" xfId="2" applyFont="1" applyFill="1" applyBorder="1" applyAlignment="1"/>
    <xf numFmtId="44" fontId="1" fillId="0" borderId="5" xfId="2" applyFont="1" applyFill="1" applyBorder="1" applyAlignment="1"/>
    <xf numFmtId="0" fontId="6" fillId="4" borderId="0" xfId="0" applyFont="1" applyFill="1"/>
    <xf numFmtId="0" fontId="6" fillId="5" borderId="0" xfId="0" applyFont="1" applyFill="1"/>
    <xf numFmtId="0" fontId="6" fillId="12" borderId="0" xfId="0" applyFont="1" applyFill="1"/>
    <xf numFmtId="0" fontId="0" fillId="0" borderId="6" xfId="0" applyBorder="1"/>
    <xf numFmtId="0" fontId="12" fillId="0" borderId="6" xfId="0" applyFont="1" applyBorder="1"/>
    <xf numFmtId="0" fontId="12" fillId="0" borderId="5" xfId="0" applyFont="1" applyBorder="1"/>
    <xf numFmtId="44" fontId="0" fillId="0" borderId="0" xfId="2" applyFont="1" applyFill="1"/>
    <xf numFmtId="0" fontId="12" fillId="0" borderId="17" xfId="0" applyFont="1" applyBorder="1"/>
    <xf numFmtId="0" fontId="1" fillId="18" borderId="5" xfId="0" applyFont="1" applyFill="1" applyBorder="1"/>
    <xf numFmtId="44" fontId="1" fillId="18" borderId="5" xfId="0" applyNumberFormat="1" applyFont="1" applyFill="1" applyBorder="1"/>
    <xf numFmtId="0" fontId="0" fillId="0" borderId="36" xfId="0" applyBorder="1"/>
    <xf numFmtId="165" fontId="0" fillId="0" borderId="25" xfId="4" applyNumberFormat="1" applyFont="1" applyFill="1" applyBorder="1" applyAlignment="1"/>
    <xf numFmtId="164" fontId="15" fillId="0" borderId="25" xfId="5" applyNumberFormat="1" applyFont="1" applyFill="1" applyBorder="1"/>
    <xf numFmtId="0" fontId="12" fillId="0" borderId="30" xfId="3" applyBorder="1"/>
    <xf numFmtId="0" fontId="12" fillId="0" borderId="22" xfId="3" applyBorder="1"/>
    <xf numFmtId="0" fontId="12" fillId="0" borderId="31" xfId="3" applyBorder="1"/>
    <xf numFmtId="3" fontId="12" fillId="0" borderId="25" xfId="3" applyNumberFormat="1" applyBorder="1"/>
    <xf numFmtId="0" fontId="6" fillId="0" borderId="0" xfId="0" applyFont="1"/>
    <xf numFmtId="0" fontId="10" fillId="0" borderId="29" xfId="3" applyFont="1" applyBorder="1"/>
    <xf numFmtId="0" fontId="10" fillId="0" borderId="25" xfId="3" applyFont="1" applyBorder="1"/>
    <xf numFmtId="164" fontId="10" fillId="0" borderId="25" xfId="3" applyNumberFormat="1" applyFont="1" applyBorder="1"/>
    <xf numFmtId="0" fontId="6" fillId="0" borderId="6" xfId="0" applyFont="1" applyBorder="1"/>
    <xf numFmtId="0" fontId="12" fillId="0" borderId="34" xfId="3" applyBorder="1"/>
    <xf numFmtId="0" fontId="12" fillId="0" borderId="35" xfId="3" applyBorder="1"/>
    <xf numFmtId="0" fontId="12" fillId="0" borderId="17" xfId="3" applyBorder="1"/>
    <xf numFmtId="0" fontId="12" fillId="0" borderId="6" xfId="3" applyBorder="1"/>
    <xf numFmtId="3" fontId="12" fillId="0" borderId="5" xfId="3" applyNumberFormat="1" applyBorder="1"/>
    <xf numFmtId="164" fontId="12" fillId="0" borderId="0" xfId="3" applyNumberFormat="1"/>
    <xf numFmtId="44" fontId="1" fillId="0" borderId="15" xfId="2" applyFont="1" applyFill="1" applyBorder="1"/>
    <xf numFmtId="44" fontId="8" fillId="0" borderId="15" xfId="2" applyFont="1" applyFill="1" applyBorder="1"/>
    <xf numFmtId="0" fontId="11" fillId="19" borderId="0" xfId="0" applyFont="1" applyFill="1"/>
    <xf numFmtId="165" fontId="0" fillId="8" borderId="0" xfId="1" applyNumberFormat="1" applyFont="1" applyFill="1" applyBorder="1" applyAlignment="1"/>
    <xf numFmtId="6" fontId="0" fillId="18" borderId="35" xfId="0" applyNumberFormat="1" applyFill="1" applyBorder="1"/>
    <xf numFmtId="6" fontId="0" fillId="18" borderId="25" xfId="0" applyNumberFormat="1" applyFill="1" applyBorder="1"/>
    <xf numFmtId="6" fontId="11" fillId="18" borderId="25" xfId="0" applyNumberFormat="1" applyFont="1" applyFill="1" applyBorder="1"/>
    <xf numFmtId="166" fontId="0" fillId="18" borderId="35" xfId="0" applyNumberFormat="1" applyFill="1" applyBorder="1"/>
    <xf numFmtId="166" fontId="0" fillId="18" borderId="22" xfId="0" applyNumberFormat="1" applyFill="1" applyBorder="1"/>
    <xf numFmtId="166" fontId="0" fillId="18" borderId="25" xfId="0" applyNumberFormat="1" applyFill="1" applyBorder="1"/>
    <xf numFmtId="166" fontId="11" fillId="18" borderId="25" xfId="0" applyNumberFormat="1" applyFont="1" applyFill="1" applyBorder="1"/>
    <xf numFmtId="0" fontId="1" fillId="15" borderId="26" xfId="0" applyFont="1" applyFill="1" applyBorder="1" applyAlignment="1">
      <alignment horizontal="center" vertical="top"/>
    </xf>
    <xf numFmtId="0" fontId="9" fillId="0" borderId="22" xfId="0" applyFont="1" applyBorder="1" applyAlignment="1">
      <alignment horizontal="left"/>
    </xf>
    <xf numFmtId="0" fontId="10" fillId="0" borderId="23" xfId="0" applyFont="1" applyBorder="1" applyAlignment="1">
      <alignment horizontal="left"/>
    </xf>
    <xf numFmtId="0" fontId="10" fillId="0" borderId="24" xfId="0" applyFont="1" applyBorder="1" applyAlignment="1">
      <alignment horizontal="left"/>
    </xf>
    <xf numFmtId="0" fontId="1" fillId="11" borderId="5" xfId="0" applyFont="1" applyFill="1" applyBorder="1" applyAlignment="1">
      <alignment horizontal="left" vertical="top" wrapText="1"/>
    </xf>
    <xf numFmtId="0" fontId="2" fillId="0" borderId="1" xfId="0" applyFont="1" applyBorder="1" applyAlignment="1">
      <alignment horizontal="left" vertical="top" wrapText="1"/>
    </xf>
    <xf numFmtId="0" fontId="2" fillId="2" borderId="2" xfId="0" applyFont="1" applyFill="1" applyBorder="1" applyAlignment="1">
      <alignment horizontal="center" vertical="top"/>
    </xf>
    <xf numFmtId="0" fontId="2" fillId="2" borderId="3" xfId="0" applyFont="1" applyFill="1" applyBorder="1" applyAlignment="1">
      <alignment horizontal="center" vertical="top"/>
    </xf>
    <xf numFmtId="0" fontId="2" fillId="2" borderId="4" xfId="0" applyFont="1" applyFill="1" applyBorder="1" applyAlignment="1">
      <alignment horizontal="center" vertical="top"/>
    </xf>
    <xf numFmtId="0" fontId="1" fillId="7" borderId="8" xfId="0" applyFont="1" applyFill="1" applyBorder="1" applyAlignment="1">
      <alignment horizontal="left" vertical="top" wrapText="1"/>
    </xf>
    <xf numFmtId="0" fontId="1" fillId="7" borderId="7" xfId="0" applyFont="1" applyFill="1" applyBorder="1" applyAlignment="1">
      <alignment horizontal="left" vertical="top" wrapText="1"/>
    </xf>
    <xf numFmtId="0" fontId="1" fillId="10" borderId="5" xfId="0" applyFont="1" applyFill="1" applyBorder="1" applyAlignment="1">
      <alignment horizontal="left" vertical="top" wrapText="1"/>
    </xf>
    <xf numFmtId="0" fontId="1" fillId="9" borderId="5" xfId="0" applyFont="1" applyFill="1" applyBorder="1" applyAlignment="1">
      <alignment horizontal="left" vertical="top" wrapText="1"/>
    </xf>
    <xf numFmtId="0" fontId="0" fillId="0" borderId="0" xfId="0" applyAlignment="1">
      <alignment vertical="top"/>
    </xf>
    <xf numFmtId="0" fontId="0" fillId="0" borderId="48" xfId="0" applyBorder="1" applyAlignment="1">
      <alignment vertical="top" wrapText="1"/>
    </xf>
    <xf numFmtId="0" fontId="0" fillId="0" borderId="0" xfId="0" applyAlignment="1">
      <alignment vertical="top" wrapText="1"/>
    </xf>
    <xf numFmtId="0" fontId="1" fillId="12" borderId="5" xfId="0" applyFont="1" applyFill="1" applyBorder="1" applyAlignment="1">
      <alignment horizontal="left" vertical="top" wrapText="1"/>
    </xf>
    <xf numFmtId="0" fontId="1" fillId="8" borderId="11" xfId="0" applyFont="1" applyFill="1" applyBorder="1" applyAlignment="1">
      <alignment vertical="top" wrapText="1"/>
    </xf>
    <xf numFmtId="0" fontId="1" fillId="8" borderId="12" xfId="0" applyFont="1" applyFill="1" applyBorder="1" applyAlignment="1">
      <alignment vertical="top" wrapText="1"/>
    </xf>
    <xf numFmtId="0" fontId="1" fillId="8" borderId="13" xfId="0" applyFont="1" applyFill="1" applyBorder="1" applyAlignment="1">
      <alignment vertical="top" wrapText="1"/>
    </xf>
    <xf numFmtId="0" fontId="1" fillId="16" borderId="15" xfId="0" applyFont="1" applyFill="1" applyBorder="1" applyAlignment="1">
      <alignment horizontal="left" vertical="top" wrapText="1"/>
    </xf>
    <xf numFmtId="0" fontId="1" fillId="16" borderId="14" xfId="0" applyFont="1" applyFill="1" applyBorder="1" applyAlignment="1">
      <alignment horizontal="left" vertical="top" wrapText="1"/>
    </xf>
    <xf numFmtId="0" fontId="1" fillId="16" borderId="20" xfId="0" applyFont="1" applyFill="1" applyBorder="1" applyAlignment="1">
      <alignment horizontal="left" vertical="top" wrapText="1"/>
    </xf>
    <xf numFmtId="0" fontId="0" fillId="0" borderId="48" xfId="0" applyBorder="1" applyAlignment="1">
      <alignment vertical="top"/>
    </xf>
    <xf numFmtId="0" fontId="1" fillId="4" borderId="27" xfId="0" applyFont="1" applyFill="1" applyBorder="1" applyAlignment="1">
      <alignment horizontal="center" vertical="top" wrapText="1"/>
    </xf>
    <xf numFmtId="0" fontId="1" fillId="4" borderId="26" xfId="0" applyFont="1" applyFill="1" applyBorder="1" applyAlignment="1">
      <alignment horizontal="center" vertical="top" wrapText="1"/>
    </xf>
    <xf numFmtId="0" fontId="1" fillId="5" borderId="26" xfId="0" applyFont="1" applyFill="1" applyBorder="1" applyAlignment="1">
      <alignment horizontal="center" vertical="top" wrapText="1"/>
    </xf>
    <xf numFmtId="0" fontId="9" fillId="0" borderId="22" xfId="0" applyFont="1" applyBorder="1" applyAlignment="1">
      <alignment horizontal="center"/>
    </xf>
    <xf numFmtId="0" fontId="10" fillId="0" borderId="23" xfId="0" applyFont="1" applyBorder="1"/>
    <xf numFmtId="0" fontId="10" fillId="0" borderId="24" xfId="0" applyFont="1" applyBorder="1"/>
    <xf numFmtId="0" fontId="1" fillId="15" borderId="26" xfId="0" applyFont="1" applyFill="1" applyBorder="1" applyAlignment="1">
      <alignment horizontal="center" vertical="top"/>
    </xf>
    <xf numFmtId="0" fontId="1" fillId="15" borderId="26" xfId="0" applyFont="1" applyFill="1" applyBorder="1" applyAlignment="1">
      <alignment horizontal="center" vertical="top" wrapText="1"/>
    </xf>
    <xf numFmtId="0" fontId="1" fillId="0" borderId="0" xfId="0" applyFont="1" applyAlignment="1">
      <alignment horizontal="center"/>
    </xf>
    <xf numFmtId="0" fontId="16" fillId="12" borderId="0" xfId="0" applyFont="1" applyFill="1" applyAlignment="1">
      <alignment horizontal="center"/>
    </xf>
    <xf numFmtId="0" fontId="16" fillId="5" borderId="0" xfId="0" applyFont="1" applyFill="1" applyAlignment="1">
      <alignment horizontal="center"/>
    </xf>
    <xf numFmtId="0" fontId="16" fillId="4" borderId="0" xfId="0" applyFont="1" applyFill="1" applyAlignment="1">
      <alignment horizontal="center"/>
    </xf>
    <xf numFmtId="0" fontId="17" fillId="5" borderId="0" xfId="0" applyFont="1" applyFill="1" applyAlignment="1">
      <alignment horizontal="center"/>
    </xf>
    <xf numFmtId="0" fontId="17" fillId="12" borderId="0" xfId="0" applyFont="1" applyFill="1" applyAlignment="1">
      <alignment horizontal="center"/>
    </xf>
    <xf numFmtId="0" fontId="17" fillId="4" borderId="0" xfId="0" applyFont="1" applyFill="1" applyAlignment="1">
      <alignment horizontal="center"/>
    </xf>
    <xf numFmtId="0" fontId="1" fillId="15" borderId="0" xfId="0" applyFont="1" applyFill="1" applyAlignment="1">
      <alignment horizontal="center" vertical="top" wrapText="1"/>
    </xf>
    <xf numFmtId="0" fontId="1" fillId="4" borderId="0" xfId="0" applyFont="1" applyFill="1" applyAlignment="1">
      <alignment horizontal="center" vertical="top" wrapText="1"/>
    </xf>
    <xf numFmtId="0" fontId="1" fillId="5" borderId="0" xfId="0" applyFont="1" applyFill="1" applyAlignment="1">
      <alignment horizontal="center" vertical="top" wrapText="1"/>
    </xf>
    <xf numFmtId="0" fontId="13" fillId="26" borderId="0" xfId="0" applyFont="1" applyFill="1" applyAlignment="1">
      <alignment horizontal="center"/>
    </xf>
    <xf numFmtId="0" fontId="13" fillId="26" borderId="44" xfId="0" applyFont="1" applyFill="1" applyBorder="1" applyAlignment="1">
      <alignment horizontal="center"/>
    </xf>
    <xf numFmtId="0" fontId="13" fillId="20" borderId="0" xfId="0" applyFont="1" applyFill="1" applyAlignment="1">
      <alignment horizontal="center"/>
    </xf>
    <xf numFmtId="0" fontId="13" fillId="20" borderId="42" xfId="0" applyFont="1" applyFill="1" applyBorder="1" applyAlignment="1">
      <alignment horizontal="center"/>
    </xf>
    <xf numFmtId="0" fontId="13" fillId="23" borderId="0" xfId="0" applyFont="1" applyFill="1" applyAlignment="1">
      <alignment horizontal="center"/>
    </xf>
    <xf numFmtId="0" fontId="13" fillId="23" borderId="42" xfId="0" applyFont="1" applyFill="1" applyBorder="1" applyAlignment="1">
      <alignment horizontal="center"/>
    </xf>
    <xf numFmtId="0" fontId="13" fillId="27" borderId="0" xfId="3" applyFont="1" applyFill="1" applyAlignment="1">
      <alignment horizontal="center"/>
    </xf>
    <xf numFmtId="0" fontId="13" fillId="27" borderId="43" xfId="3" applyFont="1" applyFill="1" applyBorder="1" applyAlignment="1">
      <alignment horizontal="center"/>
    </xf>
    <xf numFmtId="0" fontId="13" fillId="27" borderId="42" xfId="3" applyFont="1" applyFill="1" applyBorder="1" applyAlignment="1">
      <alignment horizontal="center"/>
    </xf>
  </cellXfs>
  <cellStyles count="7">
    <cellStyle name="Comma" xfId="1" builtinId="3"/>
    <cellStyle name="Comma 2" xfId="4" xr:uid="{00000000-0005-0000-0000-000001000000}"/>
    <cellStyle name="Currency" xfId="2" builtinId="4"/>
    <cellStyle name="Currency 2" xfId="5" xr:uid="{00000000-0005-0000-0000-000003000000}"/>
    <cellStyle name="Normal" xfId="0" builtinId="0"/>
    <cellStyle name="Normal 2" xfId="3" xr:uid="{00000000-0005-0000-0000-000005000000}"/>
    <cellStyle name="Percent" xfId="6" builtinId="5"/>
  </cellStyles>
  <dxfs count="499">
    <dxf>
      <border diagonalUp="0" diagonalDown="0" outline="0">
        <left style="thin">
          <color indexed="64"/>
        </left>
        <right style="thin">
          <color indexed="64"/>
        </right>
        <top/>
        <bottom/>
      </border>
    </dxf>
    <dxf>
      <numFmt numFmtId="164" formatCode="&quot;$&quot;#,##0.00"/>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medium">
          <color indexed="64"/>
        </right>
        <top/>
        <bottom/>
      </border>
      <protection locked="1" hidden="0"/>
    </dxf>
    <dxf>
      <font>
        <b val="0"/>
        <i val="0"/>
        <strike val="0"/>
        <condense val="0"/>
        <extend val="0"/>
        <outline val="0"/>
        <shadow val="0"/>
        <u val="none"/>
        <vertAlign val="baseline"/>
        <sz val="11"/>
        <color rgb="FF000000"/>
        <name val="Calibri"/>
        <scheme val="none"/>
      </font>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numFmt numFmtId="164" formatCode="&quot;$&quot;#,##0.00"/>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1"/>
        <color rgb="FF000000"/>
        <name val="Calibri"/>
        <scheme val="none"/>
      </font>
      <numFmt numFmtId="164" formatCode="&quot;$&quot;#,##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1"/>
        <color rgb="FF000000"/>
        <name val="Calibri"/>
        <scheme val="none"/>
      </font>
      <numFmt numFmtId="164" formatCode="&quot;$&quot;#,##0.0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dxf>
    <dxf>
      <font>
        <b val="0"/>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1"/>
        <color rgb="FF000000"/>
        <name val="Calibri"/>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medium">
          <color indexed="64"/>
        </left>
        <right style="thin">
          <color indexed="64"/>
        </right>
        <top/>
        <bottom/>
      </border>
      <protection locked="1" hidden="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2"/>
        <color rgb="FF000000"/>
        <name val="Calibri"/>
        <scheme val="none"/>
      </font>
      <fill>
        <patternFill patternType="solid">
          <fgColor rgb="FFC4BD97"/>
          <bgColor rgb="FFC4BD97"/>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1"/>
        <color rgb="FF000000"/>
        <name val="Calibri"/>
        <scheme val="none"/>
      </font>
      <fill>
        <patternFill patternType="none">
          <bgColor auto="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164" formatCode="&quot;$&quot;#,##0.00"/>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1"/>
        <color rgb="FF000000"/>
        <name val="Calibri"/>
        <scheme val="none"/>
      </font>
      <numFmt numFmtId="164" formatCode="&quot;$&quot;#,##0.00"/>
      <fill>
        <patternFill patternType="none">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1"/>
        <color rgb="FF000000"/>
        <name val="Calibri"/>
        <scheme val="none"/>
      </font>
      <numFmt numFmtId="164" formatCode="&quot;$&quot;#,##0.00"/>
      <fill>
        <patternFill patternType="none">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1"/>
        <color rgb="FF000000"/>
        <name val="Calibri"/>
        <scheme val="none"/>
      </font>
      <fill>
        <patternFill patternType="none">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medium">
          <color indexed="64"/>
        </left>
        <right style="thin">
          <color indexed="64"/>
        </right>
        <top/>
        <bottom/>
      </border>
      <protection locked="1" hidden="0"/>
    </dxf>
    <dxf>
      <font>
        <b val="0"/>
        <i val="0"/>
        <strike val="0"/>
        <condense val="0"/>
        <extend val="0"/>
        <outline val="0"/>
        <shadow val="0"/>
        <u val="none"/>
        <vertAlign val="baseline"/>
        <sz val="11"/>
        <color rgb="FF000000"/>
        <name val="Calibri"/>
        <scheme val="none"/>
      </font>
      <fill>
        <patternFill patternType="none">
          <bgColor auto="1"/>
        </patternFill>
      </fill>
      <alignment horizontal="general" vertical="bottom"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ill>
        <patternFill patternType="none">
          <fgColor indexed="64"/>
          <bgColor indexed="65"/>
        </patternFill>
      </fill>
    </dxf>
    <dxf>
      <fill>
        <patternFill patternType="none">
          <bgColor auto="1"/>
        </patternFill>
      </fill>
    </dxf>
    <dxf>
      <fill>
        <patternFill patternType="none">
          <fgColor indexed="64"/>
          <bgColor indexed="65"/>
        </patternFill>
      </fill>
    </dxf>
    <dxf>
      <fill>
        <patternFill patternType="none">
          <bgColor auto="1"/>
        </patternFill>
      </fill>
    </dxf>
    <dxf>
      <border outline="0">
        <right style="medium">
          <color indexed="64"/>
        </right>
      </border>
    </dxf>
    <dxf>
      <font>
        <b/>
        <i val="0"/>
        <strike val="0"/>
        <condense val="0"/>
        <extend val="0"/>
        <outline val="0"/>
        <shadow val="0"/>
        <u val="none"/>
        <vertAlign val="baseline"/>
        <sz val="12"/>
        <color rgb="FF000000"/>
        <name val="Calibri"/>
        <scheme val="none"/>
      </font>
      <fill>
        <patternFill patternType="solid">
          <fgColor rgb="FFC4BD97"/>
          <bgColor rgb="FFC4BD97"/>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1"/>
        <color rgb="FF000000"/>
        <name val="Calibri"/>
        <scheme val="none"/>
      </font>
      <fill>
        <patternFill patternType="none">
          <bgColor auto="1"/>
        </patternFill>
      </fill>
      <border diagonalUp="0" diagonalDown="0" outline="0">
        <left style="thin">
          <color indexed="64"/>
        </left>
        <right/>
        <top style="thin">
          <color indexed="64"/>
        </top>
        <bottom style="thin">
          <color indexed="64"/>
        </bottom>
      </border>
    </dxf>
    <dxf>
      <numFmt numFmtId="164" formatCode="&quot;$&quot;#,##0.00"/>
      <fill>
        <patternFill patternType="none">
          <fgColor indexed="64"/>
          <bgColor indexed="65"/>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1"/>
        <color rgb="FF000000"/>
        <name val="Calibri"/>
        <scheme val="none"/>
      </font>
      <fill>
        <patternFill patternType="none">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medium">
          <color indexed="64"/>
        </left>
        <right style="thin">
          <color indexed="64"/>
        </right>
        <top/>
        <bottom/>
      </border>
      <protection locked="1" hidden="0"/>
    </dxf>
    <dxf>
      <font>
        <b val="0"/>
        <i val="0"/>
        <strike val="0"/>
        <condense val="0"/>
        <extend val="0"/>
        <outline val="0"/>
        <shadow val="0"/>
        <u val="none"/>
        <vertAlign val="baseline"/>
        <sz val="11"/>
        <color rgb="FF000000"/>
        <name val="Calibri"/>
        <scheme val="none"/>
      </font>
      <fill>
        <patternFill patternType="none">
          <bgColor auto="1"/>
        </patternFill>
      </fill>
      <alignment horizontal="general" vertical="bottom"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ill>
        <patternFill patternType="none">
          <fgColor indexed="64"/>
          <bgColor indexed="65"/>
        </patternFill>
      </fill>
    </dxf>
    <dxf>
      <fill>
        <patternFill patternType="none">
          <bgColor auto="1"/>
        </patternFill>
      </fill>
    </dxf>
    <dxf>
      <fill>
        <patternFill patternType="none">
          <fgColor indexed="64"/>
          <bgColor indexed="65"/>
        </patternFill>
      </fill>
    </dxf>
    <dxf>
      <fill>
        <patternFill patternType="none">
          <bgColor auto="1"/>
        </patternFill>
      </fill>
    </dxf>
    <dxf>
      <border outline="0">
        <right style="medium">
          <color indexed="64"/>
        </right>
      </border>
    </dxf>
    <dxf>
      <font>
        <b/>
        <i val="0"/>
        <strike val="0"/>
        <condense val="0"/>
        <extend val="0"/>
        <outline val="0"/>
        <shadow val="0"/>
        <u val="none"/>
        <vertAlign val="baseline"/>
        <sz val="12"/>
        <color rgb="FF000000"/>
        <name val="Calibri"/>
        <scheme val="none"/>
      </font>
      <fill>
        <patternFill patternType="solid">
          <fgColor rgb="FFC4BD97"/>
          <bgColor rgb="FFC4BD97"/>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style="thin">
          <color rgb="FF000000"/>
        </left>
        <right style="medium">
          <color rgb="FF000000"/>
        </right>
        <top/>
        <bottom/>
      </border>
      <protection locked="1" hidden="0"/>
    </dxf>
    <dxf>
      <font>
        <b val="0"/>
        <i val="0"/>
        <strike val="0"/>
        <condense val="0"/>
        <extend val="0"/>
        <outline val="0"/>
        <shadow val="0"/>
        <u val="none"/>
        <vertAlign val="baseline"/>
        <sz val="11"/>
        <color rgb="FF000000"/>
        <name val="Calibri"/>
        <scheme val="none"/>
      </font>
      <fill>
        <patternFill patternType="none">
          <bgColor auto="1"/>
        </patternFill>
      </fill>
      <border diagonalUp="0" diagonalDown="0" outline="0">
        <left style="thin">
          <color rgb="FF000000"/>
        </left>
        <right style="medium">
          <color rgb="FF000000"/>
        </right>
        <top style="thin">
          <color rgb="FF000000"/>
        </top>
        <bottom/>
      </border>
    </dxf>
    <dxf>
      <font>
        <b val="0"/>
        <i val="0"/>
        <strike val="0"/>
        <condense val="0"/>
        <extend val="0"/>
        <outline val="0"/>
        <shadow val="0"/>
        <u val="none"/>
        <vertAlign val="baseline"/>
        <sz val="11"/>
        <color rgb="FF000000"/>
        <name val="Calibri"/>
        <scheme val="none"/>
      </font>
      <numFmt numFmtId="164" formatCode="&quot;$&quot;#,##0.00"/>
      <fill>
        <patternFill patternType="none">
          <fgColor indexed="64"/>
          <bgColor auto="1"/>
        </patternFill>
      </fill>
      <alignment horizontal="general" vertical="bottom" textRotation="0" wrapText="0" indent="0" justifyLastLine="0" shrinkToFit="0" readingOrder="0"/>
      <border diagonalUp="0" diagonalDown="0" outline="0">
        <left style="thin">
          <color rgb="FF000000"/>
        </left>
        <right style="thin">
          <color rgb="FF000000"/>
        </right>
        <top/>
        <bottom/>
      </border>
      <protection locked="1" hidden="0"/>
    </dxf>
    <dxf>
      <font>
        <b val="0"/>
        <i val="0"/>
        <strike val="0"/>
        <condense val="0"/>
        <extend val="0"/>
        <outline val="0"/>
        <shadow val="0"/>
        <u val="none"/>
        <vertAlign val="baseline"/>
        <sz val="11"/>
        <color rgb="FF000000"/>
        <name val="Calibri"/>
        <scheme val="none"/>
      </font>
      <numFmt numFmtId="164" formatCode="&quot;$&quot;#,##0.00"/>
      <fill>
        <patternFill patternType="none">
          <bgColor auto="1"/>
        </patternFill>
      </fill>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style="thin">
          <color rgb="FF000000"/>
        </left>
        <right style="thin">
          <color rgb="FF000000"/>
        </right>
        <top/>
        <bottom/>
      </border>
      <protection locked="1" hidden="0"/>
    </dxf>
    <dxf>
      <font>
        <b val="0"/>
        <i val="0"/>
        <strike val="0"/>
        <condense val="0"/>
        <extend val="0"/>
        <outline val="0"/>
        <shadow val="0"/>
        <u val="none"/>
        <vertAlign val="baseline"/>
        <sz val="11"/>
        <color rgb="FF000000"/>
        <name val="Calibri"/>
        <scheme val="none"/>
      </font>
      <numFmt numFmtId="164" formatCode="&quot;$&quot;#,##0.00"/>
      <fill>
        <patternFill patternType="none">
          <bgColor auto="1"/>
        </patternFill>
      </fill>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scheme val="none"/>
      </font>
      <numFmt numFmtId="164" formatCode="&quot;$&quot;#,##0.00"/>
      <fill>
        <patternFill patternType="none">
          <fgColor indexed="64"/>
          <bgColor auto="1"/>
        </patternFill>
      </fill>
      <alignment horizontal="general" vertical="bottom" textRotation="0" wrapText="0" indent="0" justifyLastLine="0" shrinkToFit="0" readingOrder="0"/>
      <border diagonalUp="0" diagonalDown="0" outline="0">
        <left style="thin">
          <color rgb="FF000000"/>
        </left>
        <right style="thin">
          <color rgb="FF000000"/>
        </right>
        <top/>
        <bottom/>
      </border>
      <protection locked="1" hidden="0"/>
    </dxf>
    <dxf>
      <font>
        <b val="0"/>
        <i val="0"/>
        <strike val="0"/>
        <condense val="0"/>
        <extend val="0"/>
        <outline val="0"/>
        <shadow val="0"/>
        <u val="none"/>
        <vertAlign val="baseline"/>
        <sz val="11"/>
        <color rgb="FF000000"/>
        <name val="Calibri"/>
        <scheme val="none"/>
      </font>
      <numFmt numFmtId="164" formatCode="&quot;$&quot;#,##0.00"/>
      <fill>
        <patternFill patternType="none">
          <bgColor auto="1"/>
        </patternFill>
      </fill>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style="thin">
          <color rgb="FF000000"/>
        </left>
        <right style="thin">
          <color rgb="FF000000"/>
        </right>
        <top/>
        <bottom/>
      </border>
      <protection locked="1" hidden="0"/>
    </dxf>
    <dxf>
      <font>
        <b val="0"/>
        <i val="0"/>
        <strike val="0"/>
        <condense val="0"/>
        <extend val="0"/>
        <outline val="0"/>
        <shadow val="0"/>
        <u val="none"/>
        <vertAlign val="baseline"/>
        <sz val="11"/>
        <color rgb="FF000000"/>
        <name val="Calibri"/>
        <scheme val="none"/>
      </font>
      <numFmt numFmtId="164" formatCode="&quot;$&quot;#,##0.00"/>
      <fill>
        <patternFill patternType="none">
          <bgColor auto="1"/>
        </patternFill>
      </fill>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scheme val="none"/>
      </font>
      <numFmt numFmtId="164" formatCode="&quot;$&quot;#,##0.00"/>
      <fill>
        <patternFill patternType="none">
          <fgColor indexed="64"/>
          <bgColor auto="1"/>
        </patternFill>
      </fill>
      <alignment horizontal="general" vertical="bottom" textRotation="0" wrapText="0" indent="0" justifyLastLine="0" shrinkToFit="0" readingOrder="0"/>
      <border diagonalUp="0" diagonalDown="0" outline="0">
        <left style="thin">
          <color rgb="FF000000"/>
        </left>
        <right style="thin">
          <color rgb="FF000000"/>
        </right>
        <top/>
        <bottom/>
      </border>
      <protection locked="1" hidden="0"/>
    </dxf>
    <dxf>
      <font>
        <b val="0"/>
        <i val="0"/>
        <strike val="0"/>
        <condense val="0"/>
        <extend val="0"/>
        <outline val="0"/>
        <shadow val="0"/>
        <u val="none"/>
        <vertAlign val="baseline"/>
        <sz val="11"/>
        <color rgb="FF000000"/>
        <name val="Calibri"/>
        <scheme val="none"/>
      </font>
      <numFmt numFmtId="164" formatCode="&quot;$&quot;#,##0.00"/>
      <fill>
        <patternFill patternType="none">
          <bgColor auto="1"/>
        </patternFill>
      </fill>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style="thin">
          <color rgb="FF000000"/>
        </left>
        <right style="thin">
          <color rgb="FF000000"/>
        </right>
        <top/>
        <bottom/>
      </border>
      <protection locked="1" hidden="0"/>
    </dxf>
    <dxf>
      <font>
        <b val="0"/>
        <i val="0"/>
        <strike val="0"/>
        <condense val="0"/>
        <extend val="0"/>
        <outline val="0"/>
        <shadow val="0"/>
        <u val="none"/>
        <vertAlign val="baseline"/>
        <sz val="11"/>
        <color rgb="FF000000"/>
        <name val="Calibri"/>
        <scheme val="none"/>
      </font>
      <numFmt numFmtId="164" formatCode="&quot;$&quot;#,##0.00"/>
      <fill>
        <patternFill patternType="none">
          <bgColor auto="1"/>
        </patternFill>
      </fill>
      <border diagonalUp="0" diagonalDown="0" outline="0">
        <left style="thin">
          <color rgb="FF000000"/>
        </left>
        <right style="thin">
          <color rgb="FF000000"/>
        </right>
        <top style="thin">
          <color rgb="FF000000"/>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style="medium">
          <color rgb="FF000000"/>
        </left>
        <right style="thin">
          <color rgb="FF000000"/>
        </right>
        <top/>
        <bottom/>
      </border>
      <protection locked="1" hidden="0"/>
    </dxf>
    <dxf>
      <font>
        <b val="0"/>
        <i val="0"/>
        <strike val="0"/>
        <condense val="0"/>
        <extend val="0"/>
        <outline val="0"/>
        <shadow val="0"/>
        <u val="none"/>
        <vertAlign val="baseline"/>
        <sz val="11"/>
        <color rgb="FF000000"/>
        <name val="Calibri"/>
        <scheme val="none"/>
      </font>
      <fill>
        <patternFill patternType="none">
          <bgColor auto="1"/>
        </patternFill>
      </fill>
      <border diagonalUp="0" diagonalDown="0" outline="0">
        <left style="medium">
          <color rgb="FF000000"/>
        </left>
        <right style="thin">
          <color rgb="FF000000"/>
        </right>
        <top style="thin">
          <color rgb="FF000000"/>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auto="1"/>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auto="1"/>
        <name val="Calibri"/>
        <scheme val="none"/>
      </font>
      <fill>
        <patternFill patternType="none">
          <bgColor auto="1"/>
        </patternFill>
      </fill>
    </dxf>
    <dxf>
      <font>
        <b/>
        <i val="0"/>
        <strike val="0"/>
        <condense val="0"/>
        <extend val="0"/>
        <outline val="0"/>
        <shadow val="0"/>
        <u val="none"/>
        <vertAlign val="baseline"/>
        <sz val="12"/>
        <color rgb="FF000000"/>
        <name val="Calibri"/>
        <scheme val="none"/>
      </font>
      <fill>
        <patternFill patternType="solid">
          <fgColor rgb="FFC4BD97"/>
          <bgColor rgb="FFC4BD97"/>
        </patternFill>
      </fill>
      <alignment horizontal="center"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rgb="FF000000"/>
        </left>
        <right/>
        <top/>
        <bottom/>
      </border>
      <protection locked="1" hidden="0"/>
    </dxf>
    <dxf>
      <font>
        <b val="0"/>
        <i val="0"/>
        <strike val="0"/>
        <condense val="0"/>
        <extend val="0"/>
        <outline val="0"/>
        <shadow val="0"/>
        <u val="none"/>
        <vertAlign val="baseline"/>
        <sz val="11"/>
        <color rgb="FF000000"/>
        <name val="Calibri"/>
        <scheme val="none"/>
      </font>
      <fill>
        <patternFill patternType="none">
          <bgColor auto="1"/>
        </patternFill>
      </fill>
      <border diagonalUp="0" diagonalDown="0" outline="0">
        <left style="thin">
          <color rgb="FF000000"/>
        </left>
        <right/>
        <top style="thin">
          <color rgb="FF000000"/>
        </top>
        <bottom/>
      </border>
    </dxf>
    <dxf>
      <font>
        <b val="0"/>
        <i val="0"/>
        <strike val="0"/>
        <condense val="0"/>
        <extend val="0"/>
        <outline val="0"/>
        <shadow val="0"/>
        <u val="none"/>
        <vertAlign val="baseline"/>
        <sz val="11"/>
        <color rgb="FF000000"/>
        <name val="Calibri"/>
        <family val="2"/>
        <scheme val="none"/>
      </font>
      <numFmt numFmtId="164" formatCode="&quot;$&quot;#,##0.00"/>
      <fill>
        <patternFill patternType="none">
          <fgColor indexed="64"/>
          <bgColor indexed="65"/>
        </patternFill>
      </fill>
      <alignment horizontal="general" vertical="bottom" textRotation="0" wrapText="0" indent="0" justifyLastLine="0" shrinkToFit="0" readingOrder="0"/>
      <border diagonalUp="0" diagonalDown="0" outline="0">
        <left style="thin">
          <color rgb="FF000000"/>
        </left>
        <right style="thin">
          <color rgb="FF000000"/>
        </right>
        <top/>
        <bottom/>
      </border>
      <protection locked="1" hidden="0"/>
    </dxf>
    <dxf>
      <font>
        <b val="0"/>
        <i val="0"/>
        <strike val="0"/>
        <condense val="0"/>
        <extend val="0"/>
        <outline val="0"/>
        <shadow val="0"/>
        <u val="none"/>
        <vertAlign val="baseline"/>
        <sz val="11"/>
        <color rgb="FF000000"/>
        <name val="Calibri"/>
        <scheme val="none"/>
      </font>
      <numFmt numFmtId="164" formatCode="&quot;$&quot;#,##0.00"/>
      <fill>
        <patternFill patternType="none">
          <bgColor auto="1"/>
        </patternFill>
      </fill>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rgb="FF000000"/>
        </left>
        <right style="thin">
          <color rgb="FF000000"/>
        </right>
        <top/>
        <bottom/>
      </border>
      <protection locked="1" hidden="0"/>
    </dxf>
    <dxf>
      <font>
        <b val="0"/>
        <i val="0"/>
        <strike val="0"/>
        <condense val="0"/>
        <extend val="0"/>
        <outline val="0"/>
        <shadow val="0"/>
        <u val="none"/>
        <vertAlign val="baseline"/>
        <sz val="11"/>
        <color rgb="FF000000"/>
        <name val="Calibri"/>
        <scheme val="none"/>
      </font>
      <numFmt numFmtId="164" formatCode="&quot;$&quot;#,##0.00"/>
      <fill>
        <patternFill patternType="none">
          <bgColor auto="1"/>
        </patternFill>
      </fill>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family val="2"/>
        <scheme val="none"/>
      </font>
      <numFmt numFmtId="164" formatCode="&quot;$&quot;#,##0.00"/>
      <fill>
        <patternFill patternType="none">
          <fgColor indexed="64"/>
          <bgColor indexed="65"/>
        </patternFill>
      </fill>
      <alignment horizontal="general" vertical="bottom" textRotation="0" wrapText="0" indent="0" justifyLastLine="0" shrinkToFit="0" readingOrder="0"/>
      <border diagonalUp="0" diagonalDown="0" outline="0">
        <left style="thin">
          <color rgb="FF000000"/>
        </left>
        <right style="thin">
          <color rgb="FF000000"/>
        </right>
        <top/>
        <bottom/>
      </border>
      <protection locked="1" hidden="0"/>
    </dxf>
    <dxf>
      <font>
        <b val="0"/>
        <i val="0"/>
        <strike val="0"/>
        <condense val="0"/>
        <extend val="0"/>
        <outline val="0"/>
        <shadow val="0"/>
        <u val="none"/>
        <vertAlign val="baseline"/>
        <sz val="11"/>
        <color rgb="FF000000"/>
        <name val="Calibri"/>
        <scheme val="none"/>
      </font>
      <numFmt numFmtId="164" formatCode="&quot;$&quot;#,##0.00"/>
      <fill>
        <patternFill patternType="none">
          <bgColor auto="1"/>
        </patternFill>
      </fill>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rgb="FF000000"/>
        </left>
        <right style="thin">
          <color rgb="FF000000"/>
        </right>
        <top/>
        <bottom/>
      </border>
      <protection locked="1" hidden="0"/>
    </dxf>
    <dxf>
      <font>
        <b val="0"/>
        <i val="0"/>
        <strike val="0"/>
        <condense val="0"/>
        <extend val="0"/>
        <outline val="0"/>
        <shadow val="0"/>
        <u val="none"/>
        <vertAlign val="baseline"/>
        <sz val="11"/>
        <color rgb="FF000000"/>
        <name val="Calibri"/>
        <scheme val="none"/>
      </font>
      <numFmt numFmtId="164" formatCode="&quot;$&quot;#,##0.00"/>
      <fill>
        <patternFill patternType="none">
          <bgColor auto="1"/>
        </patternFill>
      </fill>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family val="2"/>
        <scheme val="none"/>
      </font>
      <numFmt numFmtId="164" formatCode="&quot;$&quot;#,##0.00"/>
      <fill>
        <patternFill patternType="none">
          <fgColor indexed="64"/>
          <bgColor indexed="65"/>
        </patternFill>
      </fill>
      <alignment horizontal="general" vertical="bottom" textRotation="0" wrapText="0" indent="0" justifyLastLine="0" shrinkToFit="0" readingOrder="0"/>
      <border diagonalUp="0" diagonalDown="0" outline="0">
        <left style="thin">
          <color rgb="FF000000"/>
        </left>
        <right style="thin">
          <color rgb="FF000000"/>
        </right>
        <top/>
        <bottom/>
      </border>
      <protection locked="1" hidden="0"/>
    </dxf>
    <dxf>
      <font>
        <b val="0"/>
        <i val="0"/>
        <strike val="0"/>
        <condense val="0"/>
        <extend val="0"/>
        <outline val="0"/>
        <shadow val="0"/>
        <u val="none"/>
        <vertAlign val="baseline"/>
        <sz val="11"/>
        <color rgb="FF000000"/>
        <name val="Calibri"/>
        <scheme val="none"/>
      </font>
      <numFmt numFmtId="164" formatCode="&quot;$&quot;#,##0.00"/>
      <fill>
        <patternFill patternType="none">
          <bgColor auto="1"/>
        </patternFill>
      </fill>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rgb="FF000000"/>
        </left>
        <right style="thin">
          <color rgb="FF000000"/>
        </right>
        <top/>
        <bottom/>
      </border>
      <protection locked="1" hidden="0"/>
    </dxf>
    <dxf>
      <font>
        <b val="0"/>
        <i val="0"/>
        <strike val="0"/>
        <condense val="0"/>
        <extend val="0"/>
        <outline val="0"/>
        <shadow val="0"/>
        <u val="none"/>
        <vertAlign val="baseline"/>
        <sz val="11"/>
        <color rgb="FF000000"/>
        <name val="Calibri"/>
        <scheme val="none"/>
      </font>
      <numFmt numFmtId="164" formatCode="&quot;$&quot;#,##0.00"/>
      <fill>
        <patternFill patternType="none">
          <bgColor auto="1"/>
        </patternFill>
      </fill>
      <border diagonalUp="0" diagonalDown="0" outline="0">
        <left style="thin">
          <color rgb="FF000000"/>
        </left>
        <right style="thin">
          <color rgb="FF000000"/>
        </right>
        <top style="thin">
          <color rgb="FF000000"/>
        </top>
        <bottom/>
      </border>
    </dxf>
    <dxf>
      <fill>
        <patternFill patternType="none">
          <bgColor auto="1"/>
        </patternFill>
      </fill>
    </dxf>
    <dxf>
      <font>
        <b val="0"/>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medium">
          <color rgb="FF000000"/>
        </left>
        <right style="thin">
          <color rgb="FF000000"/>
        </right>
        <top/>
        <bottom/>
      </border>
      <protection locked="1" hidden="0"/>
    </dxf>
    <dxf>
      <font>
        <b val="0"/>
        <i val="0"/>
        <strike val="0"/>
        <condense val="0"/>
        <extend val="0"/>
        <outline val="0"/>
        <shadow val="0"/>
        <u val="none"/>
        <vertAlign val="baseline"/>
        <sz val="11"/>
        <color rgb="FF000000"/>
        <name val="Calibri"/>
        <scheme val="none"/>
      </font>
      <fill>
        <patternFill patternType="none">
          <bgColor auto="1"/>
        </patternFill>
      </fill>
      <border diagonalUp="0" diagonalDown="0" outline="0">
        <left style="medium">
          <color rgb="FF000000"/>
        </left>
        <right style="thin">
          <color rgb="FF000000"/>
        </right>
        <top style="thin">
          <color rgb="FF000000"/>
        </top>
        <bottom/>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auto="1"/>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none"/>
      </font>
      <fill>
        <patternFill patternType="none">
          <bgColor auto="1"/>
        </patternFill>
      </fill>
    </dxf>
    <dxf>
      <border outline="0">
        <right style="medium">
          <color rgb="FF000000"/>
        </right>
      </border>
    </dxf>
    <dxf>
      <fill>
        <patternFill patternType="none">
          <bgColor auto="1"/>
        </patternFill>
      </fill>
    </dxf>
    <dxf>
      <font>
        <b/>
        <i val="0"/>
        <strike val="0"/>
        <condense val="0"/>
        <extend val="0"/>
        <outline val="0"/>
        <shadow val="0"/>
        <u val="none"/>
        <vertAlign val="baseline"/>
        <sz val="12"/>
        <color rgb="FF000000"/>
        <name val="Calibri"/>
        <scheme val="none"/>
      </font>
      <fill>
        <patternFill patternType="solid">
          <fgColor rgb="FFC4BD97"/>
          <bgColor rgb="FFC4BD97"/>
        </patternFill>
      </fill>
      <alignment horizontal="center"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rgb="FF000000"/>
        </left>
        <right style="medium">
          <color rgb="FF000000"/>
        </right>
        <top/>
        <bottom/>
      </border>
      <protection locked="1" hidden="0"/>
    </dxf>
    <dxf>
      <font>
        <b val="0"/>
        <i val="0"/>
        <strike val="0"/>
        <condense val="0"/>
        <extend val="0"/>
        <outline val="0"/>
        <shadow val="0"/>
        <u val="none"/>
        <vertAlign val="baseline"/>
        <sz val="11"/>
        <color rgb="FF000000"/>
        <name val="Calibri"/>
        <scheme val="none"/>
      </font>
      <fill>
        <patternFill patternType="none">
          <bgColor auto="1"/>
        </patternFill>
      </fill>
      <border diagonalUp="0" diagonalDown="0" outline="0">
        <left style="thin">
          <color rgb="FF000000"/>
        </left>
        <right style="medium">
          <color rgb="FF000000"/>
        </right>
        <top style="thin">
          <color rgb="FF000000"/>
        </top>
        <bottom/>
      </border>
    </dxf>
    <dxf>
      <font>
        <b val="0"/>
        <i val="0"/>
        <strike val="0"/>
        <condense val="0"/>
        <extend val="0"/>
        <outline val="0"/>
        <shadow val="0"/>
        <u val="none"/>
        <vertAlign val="baseline"/>
        <sz val="11"/>
        <color rgb="FF000000"/>
        <name val="Calibri"/>
        <family val="2"/>
        <scheme val="none"/>
      </font>
      <numFmt numFmtId="164" formatCode="&quot;$&quot;#,##0.00"/>
      <fill>
        <patternFill patternType="none">
          <fgColor indexed="64"/>
          <bgColor indexed="65"/>
        </patternFill>
      </fill>
      <alignment horizontal="general" vertical="bottom" textRotation="0" wrapText="0" indent="0" justifyLastLine="0" shrinkToFit="0" readingOrder="0"/>
      <border diagonalUp="0" diagonalDown="0" outline="0">
        <left style="thin">
          <color rgb="FF000000"/>
        </left>
        <right style="thin">
          <color rgb="FF000000"/>
        </right>
        <top/>
        <bottom/>
      </border>
      <protection locked="1" hidden="0"/>
    </dxf>
    <dxf>
      <font>
        <b val="0"/>
        <i val="0"/>
        <strike val="0"/>
        <condense val="0"/>
        <extend val="0"/>
        <outline val="0"/>
        <shadow val="0"/>
        <u val="none"/>
        <vertAlign val="baseline"/>
        <sz val="11"/>
        <color rgb="FF000000"/>
        <name val="Calibri"/>
        <scheme val="none"/>
      </font>
      <numFmt numFmtId="164" formatCode="&quot;$&quot;#,##0.00"/>
      <fill>
        <patternFill patternType="none">
          <bgColor auto="1"/>
        </patternFill>
      </fill>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rgb="FF000000"/>
        </left>
        <right style="thin">
          <color rgb="FF000000"/>
        </right>
        <top/>
        <bottom/>
      </border>
      <protection locked="1" hidden="0"/>
    </dxf>
    <dxf>
      <font>
        <b val="0"/>
        <i val="0"/>
        <strike val="0"/>
        <condense val="0"/>
        <extend val="0"/>
        <outline val="0"/>
        <shadow val="0"/>
        <u val="none"/>
        <vertAlign val="baseline"/>
        <sz val="11"/>
        <color rgb="FF000000"/>
        <name val="Calibri"/>
        <scheme val="none"/>
      </font>
      <numFmt numFmtId="164" formatCode="&quot;$&quot;#,##0.00"/>
      <fill>
        <patternFill patternType="none">
          <bgColor auto="1"/>
        </patternFill>
      </fill>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family val="2"/>
        <scheme val="none"/>
      </font>
      <numFmt numFmtId="164" formatCode="&quot;$&quot;#,##0.00"/>
      <fill>
        <patternFill patternType="none">
          <fgColor indexed="64"/>
          <bgColor indexed="65"/>
        </patternFill>
      </fill>
      <alignment horizontal="general" vertical="bottom" textRotation="0" wrapText="0" indent="0" justifyLastLine="0" shrinkToFit="0" readingOrder="0"/>
      <border diagonalUp="0" diagonalDown="0" outline="0">
        <left style="thin">
          <color rgb="FF000000"/>
        </left>
        <right style="thin">
          <color rgb="FF000000"/>
        </right>
        <top/>
        <bottom/>
      </border>
      <protection locked="1" hidden="0"/>
    </dxf>
    <dxf>
      <font>
        <b val="0"/>
        <i val="0"/>
        <strike val="0"/>
        <condense val="0"/>
        <extend val="0"/>
        <outline val="0"/>
        <shadow val="0"/>
        <u val="none"/>
        <vertAlign val="baseline"/>
        <sz val="11"/>
        <color rgb="FF000000"/>
        <name val="Calibri"/>
        <scheme val="none"/>
      </font>
      <numFmt numFmtId="164" formatCode="&quot;$&quot;#,##0.00"/>
      <fill>
        <patternFill patternType="none">
          <bgColor auto="1"/>
        </patternFill>
      </fill>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rgb="FF000000"/>
        </left>
        <right style="thin">
          <color rgb="FF000000"/>
        </right>
        <top/>
        <bottom/>
      </border>
      <protection locked="1" hidden="0"/>
    </dxf>
    <dxf>
      <font>
        <b val="0"/>
        <i val="0"/>
        <strike val="0"/>
        <condense val="0"/>
        <extend val="0"/>
        <outline val="0"/>
        <shadow val="0"/>
        <u val="none"/>
        <vertAlign val="baseline"/>
        <sz val="11"/>
        <color rgb="FF000000"/>
        <name val="Calibri"/>
        <scheme val="none"/>
      </font>
      <numFmt numFmtId="164" formatCode="&quot;$&quot;#,##0.00"/>
      <fill>
        <patternFill patternType="none">
          <bgColor auto="1"/>
        </patternFill>
      </fill>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family val="2"/>
        <scheme val="none"/>
      </font>
      <numFmt numFmtId="164" formatCode="&quot;$&quot;#,##0.00"/>
      <fill>
        <patternFill patternType="none">
          <fgColor indexed="64"/>
          <bgColor indexed="65"/>
        </patternFill>
      </fill>
      <alignment horizontal="general" vertical="bottom" textRotation="0" wrapText="0" indent="0" justifyLastLine="0" shrinkToFit="0" readingOrder="0"/>
      <border diagonalUp="0" diagonalDown="0" outline="0">
        <left style="thin">
          <color rgb="FF000000"/>
        </left>
        <right style="thin">
          <color rgb="FF000000"/>
        </right>
        <top/>
        <bottom/>
      </border>
      <protection locked="1" hidden="0"/>
    </dxf>
    <dxf>
      <font>
        <b val="0"/>
        <i val="0"/>
        <strike val="0"/>
        <condense val="0"/>
        <extend val="0"/>
        <outline val="0"/>
        <shadow val="0"/>
        <u val="none"/>
        <vertAlign val="baseline"/>
        <sz val="11"/>
        <color rgb="FF000000"/>
        <name val="Calibri"/>
        <scheme val="none"/>
      </font>
      <numFmt numFmtId="164" formatCode="&quot;$&quot;#,##0.00"/>
      <fill>
        <patternFill patternType="none">
          <bgColor auto="1"/>
        </patternFill>
      </fill>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rgb="FF000000"/>
        </left>
        <right style="thin">
          <color rgb="FF000000"/>
        </right>
        <top/>
        <bottom/>
      </border>
      <protection locked="1" hidden="0"/>
    </dxf>
    <dxf>
      <font>
        <b val="0"/>
        <i val="0"/>
        <strike val="0"/>
        <condense val="0"/>
        <extend val="0"/>
        <outline val="0"/>
        <shadow val="0"/>
        <u val="none"/>
        <vertAlign val="baseline"/>
        <sz val="11"/>
        <color rgb="FF000000"/>
        <name val="Calibri"/>
        <scheme val="none"/>
      </font>
      <numFmt numFmtId="164" formatCode="&quot;$&quot;#,##0.00"/>
      <fill>
        <patternFill patternType="none">
          <bgColor auto="1"/>
        </patternFill>
      </fill>
      <border diagonalUp="0" diagonalDown="0" outline="0">
        <left style="thin">
          <color rgb="FF000000"/>
        </left>
        <right style="thin">
          <color rgb="FF000000"/>
        </right>
        <top style="thin">
          <color rgb="FF000000"/>
        </top>
        <bottom/>
      </border>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medium">
          <color rgb="FF000000"/>
        </left>
        <right style="thin">
          <color rgb="FF000000"/>
        </right>
        <top/>
        <bottom/>
      </border>
      <protection locked="1" hidden="0"/>
    </dxf>
    <dxf>
      <font>
        <b val="0"/>
        <i val="0"/>
        <strike val="0"/>
        <condense val="0"/>
        <extend val="0"/>
        <outline val="0"/>
        <shadow val="0"/>
        <u val="none"/>
        <vertAlign val="baseline"/>
        <sz val="11"/>
        <color rgb="FF000000"/>
        <name val="Calibri"/>
        <scheme val="none"/>
      </font>
      <fill>
        <patternFill patternType="none">
          <bgColor auto="1"/>
        </patternFill>
      </fill>
      <border diagonalUp="0" diagonalDown="0" outline="0">
        <left style="medium">
          <color rgb="FF000000"/>
        </left>
        <right style="thin">
          <color rgb="FF000000"/>
        </right>
        <top style="thin">
          <color rgb="FF000000"/>
        </top>
        <bottom/>
      </border>
    </dxf>
    <dxf>
      <fill>
        <patternFill patternType="none">
          <fgColor indexed="64"/>
          <bgColor indexed="65"/>
        </patternFill>
      </fill>
    </dxf>
    <dxf>
      <fill>
        <patternFill patternType="none">
          <bgColor auto="1"/>
        </patternFill>
      </fill>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auto="1"/>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none"/>
      </font>
      <fill>
        <patternFill patternType="none">
          <bgColor auto="1"/>
        </patternFill>
      </fill>
    </dxf>
    <dxf>
      <font>
        <b/>
        <i val="0"/>
        <strike val="0"/>
        <condense val="0"/>
        <extend val="0"/>
        <outline val="0"/>
        <shadow val="0"/>
        <u val="none"/>
        <vertAlign val="baseline"/>
        <sz val="12"/>
        <color rgb="FF000000"/>
        <name val="Calibri"/>
        <scheme val="none"/>
      </font>
      <fill>
        <patternFill patternType="solid">
          <fgColor rgb="FFC4BD97"/>
          <bgColor rgb="FFC4BD97"/>
        </patternFill>
      </fill>
      <alignment horizontal="center"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fill>
        <patternFill patternType="none">
          <bgColor auto="1"/>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fill>
        <patternFill patternType="none">
          <bgColor auto="1"/>
        </patternFill>
      </fill>
      <border diagonalUp="0" diagonalDown="0" outline="0">
        <left style="thin">
          <color indexed="64"/>
        </left>
        <right/>
        <top style="thin">
          <color indexed="64"/>
        </top>
        <bottom style="thin">
          <color indexed="64"/>
        </bottom>
      </border>
    </dxf>
    <dxf>
      <numFmt numFmtId="164" formatCode="&quot;$&quot;#,##0.00"/>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bgColor auto="1"/>
        </patternFill>
      </fill>
    </dxf>
    <dxf>
      <font>
        <b val="0"/>
        <i val="0"/>
        <strike val="0"/>
        <condense val="0"/>
        <extend val="0"/>
        <outline val="0"/>
        <shadow val="0"/>
        <u val="none"/>
        <vertAlign val="baseline"/>
        <sz val="11"/>
        <color theme="1"/>
        <name val="Calibri"/>
        <scheme val="minor"/>
      </font>
      <fill>
        <patternFill patternType="none">
          <bgColor auto="1"/>
        </patternFill>
      </fill>
    </dxf>
    <dxf>
      <border outline="0">
        <right style="medium">
          <color indexed="64"/>
        </right>
      </border>
    </dxf>
    <dxf>
      <font>
        <b/>
        <i val="0"/>
        <strike val="0"/>
        <condense val="0"/>
        <extend val="0"/>
        <outline val="0"/>
        <shadow val="0"/>
        <u val="none"/>
        <vertAlign val="baseline"/>
        <sz val="12"/>
        <color rgb="FF000000"/>
        <name val="Calibri"/>
        <scheme val="none"/>
      </font>
      <fill>
        <patternFill patternType="solid">
          <fgColor rgb="FFFFC000"/>
          <bgColor rgb="FFFFC000"/>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style="medium">
          <color indexed="64"/>
        </right>
        <top/>
        <bottom/>
      </border>
    </dxf>
    <dxf>
      <font>
        <b val="0"/>
        <i val="0"/>
        <strike val="0"/>
        <condense val="0"/>
        <extend val="0"/>
        <outline val="0"/>
        <shadow val="0"/>
        <u val="none"/>
        <vertAlign val="baseline"/>
        <sz val="11"/>
        <color theme="1"/>
        <name val="Calibri"/>
        <scheme val="minor"/>
      </font>
      <fill>
        <patternFill patternType="none">
          <bgColor auto="1"/>
        </patternFill>
      </fill>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4" formatCode="&quot;$&quot;#,##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quot;$&quot;#,##0.00"/>
      <fill>
        <patternFill patternType="none">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quot;$&quot;#,##0.00"/>
      <fill>
        <patternFill patternType="none">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outline="0">
        <left style="medium">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bgColor auto="1"/>
        </patternFill>
      </fill>
      <alignment horizontal="general" vertical="bottom"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bgColor auto="1"/>
        </patternFill>
      </fill>
    </dxf>
    <dxf>
      <font>
        <b/>
        <i val="0"/>
        <strike val="0"/>
        <condense val="0"/>
        <extend val="0"/>
        <outline val="0"/>
        <shadow val="0"/>
        <u val="none"/>
        <vertAlign val="baseline"/>
        <sz val="12"/>
        <color rgb="FF000000"/>
        <name val="Calibri"/>
        <scheme val="none"/>
      </font>
      <fill>
        <patternFill patternType="solid">
          <fgColor rgb="FFFFC000"/>
          <bgColor rgb="FFFFC000"/>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style="medium">
          <color indexed="64"/>
        </right>
        <top/>
        <bottom/>
      </border>
    </dxf>
    <dxf>
      <font>
        <b val="0"/>
        <i val="0"/>
        <strike val="0"/>
        <condense val="0"/>
        <extend val="0"/>
        <outline val="0"/>
        <shadow val="0"/>
        <u val="none"/>
        <vertAlign val="baseline"/>
        <sz val="11"/>
        <color theme="1"/>
        <name val="Calibri"/>
        <scheme val="minor"/>
      </font>
      <fill>
        <patternFill patternType="none">
          <bgColor auto="1"/>
        </patternFill>
      </fill>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4" formatCode="&quot;$&quot;#,##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quot;$&quot;#,##0.00"/>
      <fill>
        <patternFill patternType="none">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quot;$&quot;#,##0.00"/>
      <fill>
        <patternFill patternType="none">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outline="0">
        <left style="medium">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bgColor auto="1"/>
        </patternFill>
      </fill>
      <alignment horizontal="general" vertical="bottom"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bgColor auto="1"/>
        </patternFill>
      </fill>
    </dxf>
    <dxf>
      <font>
        <b/>
        <i val="0"/>
        <strike val="0"/>
        <condense val="0"/>
        <extend val="0"/>
        <outline val="0"/>
        <shadow val="0"/>
        <u val="none"/>
        <vertAlign val="baseline"/>
        <sz val="12"/>
        <color rgb="FF000000"/>
        <name val="Calibri"/>
        <scheme val="none"/>
      </font>
      <fill>
        <patternFill patternType="solid">
          <fgColor rgb="FFFFC000"/>
          <bgColor rgb="FFFFC000"/>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bgColor auto="1"/>
        </patternFill>
      </fill>
      <alignment horizontal="general"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fill>
        <patternFill patternType="none">
          <bgColor auto="1"/>
        </patternFill>
      </fill>
      <alignment textRotation="0" wrapText="0" indent="0" justifyLastLine="0" shrinkToFit="0" readingOrder="0"/>
      <border diagonalUp="0" diagonalDown="0" outline="0">
        <left style="thin">
          <color indexed="64"/>
        </left>
        <right/>
        <top style="thin">
          <color indexed="64"/>
        </top>
        <bottom style="thin">
          <color indexed="64"/>
        </bottom>
      </border>
    </dxf>
    <dxf>
      <numFmt numFmtId="164" formatCode="&quot;$&quot;#,##0.00"/>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bgColor auto="1"/>
        </patternFill>
      </fill>
    </dxf>
    <dxf>
      <font>
        <b val="0"/>
        <i val="0"/>
        <strike val="0"/>
        <condense val="0"/>
        <extend val="0"/>
        <outline val="0"/>
        <shadow val="0"/>
        <u val="none"/>
        <vertAlign val="baseline"/>
        <sz val="11"/>
        <color theme="1"/>
        <name val="Calibri"/>
        <scheme val="minor"/>
      </font>
      <fill>
        <patternFill patternType="none">
          <bgColor auto="1"/>
        </patternFill>
      </fill>
    </dxf>
    <dxf>
      <border outline="0">
        <right style="medium">
          <color indexed="64"/>
        </right>
      </border>
    </dxf>
    <dxf>
      <font>
        <b/>
        <i val="0"/>
        <strike val="0"/>
        <condense val="0"/>
        <extend val="0"/>
        <outline val="0"/>
        <shadow val="0"/>
        <u val="none"/>
        <vertAlign val="baseline"/>
        <sz val="12"/>
        <color rgb="FF000000"/>
        <name val="Calibri"/>
        <scheme val="none"/>
      </font>
      <fill>
        <patternFill patternType="solid">
          <fgColor rgb="FFFFC000"/>
          <bgColor rgb="FFFFC000"/>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fill>
        <patternFill patternType="none">
          <bgColor auto="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4" formatCode="&quot;$&quot;#,##0.0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quot;$&quot;#,##0.00"/>
      <fill>
        <patternFill patternType="none">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quot;$&quot;#,##0.00"/>
      <fill>
        <patternFill patternType="none">
          <bgColor auto="1"/>
        </patternFill>
      </fill>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outline="0">
        <left style="medium">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bgColor auto="1"/>
        </patternFill>
      </fill>
      <alignment horizontal="general" vertical="bottom"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fill>
        <patternFill patternType="none">
          <bgColor auto="1"/>
        </patternFill>
      </fill>
    </dxf>
    <dxf>
      <border outline="0">
        <right style="medium">
          <color indexed="64"/>
        </right>
      </border>
    </dxf>
    <dxf>
      <fill>
        <patternFill patternType="none">
          <bgColor auto="1"/>
        </patternFill>
      </fill>
    </dxf>
    <dxf>
      <font>
        <b/>
        <i val="0"/>
        <strike val="0"/>
        <condense val="0"/>
        <extend val="0"/>
        <outline val="0"/>
        <shadow val="0"/>
        <u val="none"/>
        <vertAlign val="baseline"/>
        <sz val="12"/>
        <color rgb="FF000000"/>
        <name val="Calibri"/>
        <scheme val="none"/>
      </font>
      <fill>
        <patternFill patternType="solid">
          <fgColor rgb="FFFFC000"/>
          <bgColor rgb="FFFFC000"/>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fill>
        <patternFill patternType="none">
          <bgColor auto="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4" formatCode="&quot;$&quot;#,##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quot;$&quot;#,##0.00"/>
      <fill>
        <patternFill patternType="none">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quot;$&quot;#,##0.00"/>
      <fill>
        <patternFill patternType="none">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outline="0">
        <left style="medium">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bgColor auto="1"/>
        </patternFill>
      </fill>
      <alignment horizontal="general" vertical="bottom"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bgColor auto="1"/>
        </patternFill>
      </fill>
    </dxf>
    <dxf>
      <border outline="0">
        <right style="medium">
          <color indexed="64"/>
        </right>
      </border>
    </dxf>
    <dxf>
      <font>
        <b/>
        <i val="0"/>
        <strike val="0"/>
        <condense val="0"/>
        <extend val="0"/>
        <outline val="0"/>
        <shadow val="0"/>
        <u val="none"/>
        <vertAlign val="baseline"/>
        <sz val="12"/>
        <color rgb="FF000000"/>
        <name val="Calibri"/>
        <scheme val="none"/>
      </font>
      <fill>
        <patternFill patternType="solid">
          <fgColor rgb="FFFFC000"/>
          <bgColor rgb="FFFFC000"/>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quot;$&quot;#,##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quot;$&quot;#,##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ill>
        <patternFill patternType="none">
          <bgColor auto="1"/>
        </patternFill>
      </fill>
    </dxf>
    <dxf>
      <font>
        <b/>
        <i val="0"/>
        <strike val="0"/>
        <condense val="0"/>
        <extend val="0"/>
        <outline val="0"/>
        <shadow val="0"/>
        <u val="none"/>
        <vertAlign val="baseline"/>
        <sz val="12"/>
        <color rgb="FF000000"/>
        <name val="Calibri"/>
        <scheme val="none"/>
      </font>
      <fill>
        <patternFill patternType="solid">
          <fgColor rgb="FFFFC000"/>
          <bgColor rgb="FFFFC000"/>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4" formatCode="&quot;$&quot;#,##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quot;$&quot;#,##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4" formatCode="&quot;$&quot;#,##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border outline="0">
        <right style="thin">
          <color indexed="64"/>
        </right>
      </border>
    </dxf>
    <dxf>
      <fill>
        <patternFill patternType="none">
          <bgColor auto="1"/>
        </patternFill>
      </fill>
    </dxf>
    <dxf>
      <font>
        <b/>
        <i val="0"/>
        <strike val="0"/>
        <condense val="0"/>
        <extend val="0"/>
        <outline val="0"/>
        <shadow val="0"/>
        <u val="none"/>
        <vertAlign val="baseline"/>
        <sz val="12"/>
        <color rgb="FF000000"/>
        <name val="Calibri"/>
        <scheme val="none"/>
      </font>
      <fill>
        <patternFill patternType="solid">
          <fgColor rgb="FFFFC000"/>
          <bgColor rgb="FFFFC000"/>
        </patternFill>
      </fill>
      <alignment horizontal="center" vertical="bottom"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ill>
        <patternFill patternType="none">
          <bgColor auto="1"/>
        </patternFill>
      </fill>
    </dxf>
    <dxf>
      <font>
        <b/>
        <i val="0"/>
        <strike val="0"/>
        <condense val="0"/>
        <extend val="0"/>
        <outline val="0"/>
        <shadow val="0"/>
        <u val="none"/>
        <vertAlign val="baseline"/>
        <sz val="12"/>
        <color rgb="FF000000"/>
        <name val="Calibri"/>
        <scheme val="none"/>
      </font>
      <fill>
        <patternFill patternType="solid">
          <fgColor rgb="FFFFC000"/>
          <bgColor rgb="FFFFC000"/>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numFmt numFmtId="34" formatCode="_(&quot;$&quot;* #,##0.00_);_(&quot;$&quot;* \(#,##0.00\);_(&quot;$&quot;* &quot;-&quot;??_);_(@_)"/>
      <fill>
        <patternFill patternType="none">
          <fgColor indexed="64"/>
          <bgColor indexed="65"/>
        </patternFill>
      </fill>
    </dxf>
    <dxf>
      <numFmt numFmtId="34" formatCode="_(&quot;$&quot;* #,##0.00_);_(&quot;$&quot;* \(#,##0.00\);_(&quot;$&quot;* &quot;-&quot;??_);_(@_)"/>
    </dxf>
    <dxf>
      <numFmt numFmtId="34" formatCode="_(&quot;$&quot;* #,##0.00_);_(&quot;$&quot;* \(#,##0.00\);_(&quot;$&quot;* &quot;-&quot;??_);_(@_)"/>
      <fill>
        <patternFill patternType="none">
          <fgColor indexed="64"/>
          <bgColor indexed="65"/>
        </patternFill>
      </fill>
    </dxf>
    <dxf>
      <numFmt numFmtId="34" formatCode="_(&quot;$&quot;* #,##0.00_);_(&quot;$&quot;* \(#,##0.00\);_(&quot;$&quot;* &quot;-&quot;??_);_(@_)"/>
    </dxf>
    <dxf>
      <numFmt numFmtId="34" formatCode="_(&quot;$&quot;* #,##0.00_);_(&quot;$&quot;* \(#,##0.00\);_(&quot;$&quot;* &quot;-&quot;??_);_(@_)"/>
      <fill>
        <patternFill patternType="none">
          <fgColor indexed="64"/>
          <bgColor indexed="65"/>
        </patternFill>
      </fill>
    </dxf>
    <dxf>
      <numFmt numFmtId="34" formatCode="_(&quot;$&quot;* #,##0.00_);_(&quot;$&quot;* \(#,##0.00\);_(&quot;$&quot;* &quot;-&quot;??_);_(@_)"/>
    </dxf>
    <dxf>
      <numFmt numFmtId="34" formatCode="_(&quot;$&quot;* #,##0.00_);_(&quot;$&quot;* \(#,##0.00\);_(&quot;$&quot;* &quot;-&quot;??_);_(@_)"/>
      <fill>
        <patternFill patternType="none">
          <fgColor indexed="64"/>
          <bgColor indexed="65"/>
        </patternFill>
      </fill>
    </dxf>
    <dxf>
      <numFmt numFmtId="34" formatCode="_(&quot;$&quot;* #,##0.00_);_(&quot;$&quot;* \(#,##0.00\);_(&quot;$&quot;* &quot;-&quot;??_);_(@_)"/>
    </dxf>
    <dxf>
      <numFmt numFmtId="34" formatCode="_(&quot;$&quot;* #,##0.00_);_(&quot;$&quot;* \(#,##0.00\);_(&quot;$&quot;* &quot;-&quot;??_);_(@_)"/>
      <fill>
        <patternFill patternType="none">
          <fgColor indexed="64"/>
          <bgColor indexed="65"/>
        </patternFill>
      </fill>
    </dxf>
    <dxf>
      <numFmt numFmtId="34" formatCode="_(&quot;$&quot;* #,##0.00_);_(&quot;$&quot;* \(#,##0.00\);_(&quot;$&quot;* &quot;-&quot;??_);_(@_)"/>
    </dxf>
    <dxf>
      <numFmt numFmtId="34" formatCode="_(&quot;$&quot;* #,##0.00_);_(&quot;$&quot;* \(#,##0.00\);_(&quot;$&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dxf>
    <dxf>
      <numFmt numFmtId="34" formatCode="_(&quot;$&quot;* #,##0.00_);_(&quot;$&quot;* \(#,##0.00\);_(&quot;$&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dxf>
    <dxf>
      <numFmt numFmtId="34" formatCode="_(&quot;$&quot;* #,##0.00_);_(&quot;$&quot;* \(#,##0.00\);_(&quot;$&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dxf>
    <dxf>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border outline="0">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solid">
          <fgColor indexed="64"/>
          <bgColor rgb="FFCC99FF"/>
        </patternFill>
      </fill>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rgb="FFFFFF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solid">
          <fgColor indexed="64"/>
          <bgColor rgb="FFFFFF00"/>
        </patternFill>
      </fill>
      <border diagonalUp="0" diagonalDown="0"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rgb="FFFFFF00"/>
        </patternFill>
      </fill>
    </dxf>
    <dxf>
      <fill>
        <patternFill patternType="solid">
          <fgColor indexed="64"/>
          <bgColor rgb="FF99FFCC"/>
        </patternFill>
      </fill>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rgb="FFFFFF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solid">
          <fgColor indexed="64"/>
          <bgColor rgb="FFFFFF00"/>
        </patternFill>
      </fill>
      <border diagonalUp="0" diagonalDown="0"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rgb="FFFFFF00"/>
        </patternFill>
      </fill>
    </dxf>
    <dxf>
      <fill>
        <patternFill patternType="solid">
          <fgColor indexed="64"/>
          <bgColor rgb="FFFF7C80"/>
        </patternFill>
      </fill>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rgb="FFFFFF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solid">
          <fgColor indexed="64"/>
          <bgColor rgb="FFFFFF00"/>
        </patternFill>
      </fill>
      <border diagonalUp="0" diagonalDown="0"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rgb="FFFFFF00"/>
        </patternFill>
      </fill>
    </dxf>
    <dxf>
      <fill>
        <patternFill patternType="solid">
          <fgColor indexed="64"/>
          <bgColor rgb="FFCC99FF"/>
        </patternFill>
      </fill>
    </dxf>
    <dxf>
      <font>
        <b val="0"/>
        <i val="0"/>
        <strike val="0"/>
        <condense val="0"/>
        <extend val="0"/>
        <outline val="0"/>
        <shadow val="0"/>
        <u val="none"/>
        <vertAlign val="baseline"/>
        <sz val="11"/>
        <color theme="1"/>
        <name val="Calibri"/>
        <scheme val="minor"/>
      </font>
      <numFmt numFmtId="165" formatCode="_(* #,##0_);_(* \(#,##0\);_(* &quot;-&quot;??_);_(@_)"/>
      <fill>
        <patternFill patternType="solid">
          <fgColor indexed="64"/>
          <bgColor theme="2" tint="-9.9978637043366805E-2"/>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2" tint="-9.9978637043366805E-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theme="1"/>
        </left>
        <right/>
        <top style="thin">
          <color theme="1"/>
        </top>
        <bottom/>
        <vertical/>
        <horizontal/>
      </border>
    </dxf>
    <dxf>
      <border outline="0">
        <right style="thin">
          <color indexed="64"/>
        </right>
        <top style="thin">
          <color indexed="64"/>
        </top>
      </border>
    </dxf>
    <dxf>
      <border outline="0">
        <bottom style="thin">
          <color indexed="64"/>
        </bottom>
      </border>
    </dxf>
    <dxf>
      <font>
        <b/>
        <i val="0"/>
        <strike val="0"/>
        <condense val="0"/>
        <extend val="0"/>
        <outline val="0"/>
        <shadow val="0"/>
        <u val="none"/>
        <vertAlign val="baseline"/>
        <sz val="11"/>
        <color rgb="FF000000"/>
        <name val="Calibri"/>
        <scheme val="none"/>
      </font>
      <fill>
        <patternFill patternType="solid">
          <fgColor rgb="FFDBE5F1"/>
          <bgColor theme="2" tint="-9.9978637043366805E-2"/>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5" formatCode="_(* #,##0_);_(* \(#,##0\);_(* &quot;-&quot;??_);_(@_)"/>
      <fill>
        <patternFill patternType="solid">
          <fgColor indexed="64"/>
          <bgColor theme="2" tint="-9.9978637043366805E-2"/>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2" tint="-9.9978637043366805E-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theme="1"/>
        </left>
        <right/>
        <top style="thin">
          <color theme="1"/>
        </top>
        <bottom/>
        <vertical/>
        <horizontal/>
      </border>
    </dxf>
    <dxf>
      <border outline="0">
        <right style="thin">
          <color indexed="64"/>
        </right>
        <top style="thin">
          <color indexed="64"/>
        </top>
      </border>
    </dxf>
    <dxf>
      <border outline="0">
        <bottom style="thin">
          <color indexed="64"/>
        </bottom>
      </border>
    </dxf>
    <dxf>
      <font>
        <b/>
        <i val="0"/>
        <strike val="0"/>
        <condense val="0"/>
        <extend val="0"/>
        <outline val="0"/>
        <shadow val="0"/>
        <u val="none"/>
        <vertAlign val="baseline"/>
        <sz val="11"/>
        <color rgb="FF000000"/>
        <name val="Calibri"/>
        <scheme val="none"/>
      </font>
      <fill>
        <patternFill patternType="solid">
          <fgColor rgb="FFDBE5F1"/>
          <bgColor theme="2" tint="-9.9978637043366805E-2"/>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5" formatCode="_(* #,##0_);_(* \(#,##0\);_(* &quot;-&quot;??_);_(@_)"/>
      <fill>
        <patternFill patternType="solid">
          <fgColor indexed="64"/>
          <bgColor theme="2" tint="-9.9978637043366805E-2"/>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2" tint="-9.9978637043366805E-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theme="1"/>
        </left>
        <right/>
        <top style="thin">
          <color theme="1"/>
        </top>
        <bottom/>
        <vertical/>
        <horizontal/>
      </border>
    </dxf>
    <dxf>
      <border outline="0">
        <right style="thin">
          <color indexed="64"/>
        </right>
        <top style="thin">
          <color indexed="64"/>
        </top>
      </border>
    </dxf>
    <dxf>
      <border outline="0">
        <bottom style="thin">
          <color indexed="64"/>
        </bottom>
      </border>
    </dxf>
    <dxf>
      <font>
        <b/>
        <i val="0"/>
        <strike val="0"/>
        <condense val="0"/>
        <extend val="0"/>
        <outline val="0"/>
        <shadow val="0"/>
        <u val="none"/>
        <vertAlign val="baseline"/>
        <sz val="11"/>
        <color rgb="FF000000"/>
        <name val="Calibri"/>
        <scheme val="none"/>
      </font>
      <fill>
        <patternFill patternType="solid">
          <fgColor rgb="FFDBE5F1"/>
          <bgColor theme="2" tint="-9.9978637043366805E-2"/>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5" formatCode="_(* #,##0_);_(* \(#,##0\);_(* &quot;-&quot;??_);_(@_)"/>
      <fill>
        <patternFill patternType="solid">
          <fgColor indexed="64"/>
          <bgColor theme="2" tint="-9.9978637043366805E-2"/>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2" tint="-9.9978637043366805E-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1"/>
        </left>
        <right/>
        <top style="thin">
          <color theme="1"/>
        </top>
        <bottom/>
        <vertical/>
        <horizontal/>
      </border>
    </dxf>
    <dxf>
      <border outline="0">
        <right style="thin">
          <color indexed="64"/>
        </right>
        <top style="thin">
          <color indexed="64"/>
        </top>
      </border>
    </dxf>
    <dxf>
      <border outline="0">
        <bottom style="thin">
          <color indexed="64"/>
        </bottom>
      </border>
    </dxf>
    <dxf>
      <font>
        <b/>
        <i val="0"/>
        <strike val="0"/>
        <condense val="0"/>
        <extend val="0"/>
        <outline val="0"/>
        <shadow val="0"/>
        <u val="none"/>
        <vertAlign val="baseline"/>
        <sz val="11"/>
        <color rgb="FF000000"/>
        <name val="Calibri"/>
        <scheme val="none"/>
      </font>
      <fill>
        <patternFill patternType="solid">
          <fgColor rgb="FFDBE5F1"/>
          <bgColor theme="2" tint="-9.9978637043366805E-2"/>
        </patternFill>
      </fill>
      <alignment horizontal="general"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9999"/>
      <color rgb="FF99FFCC"/>
      <color rgb="FFFF7C80"/>
      <color rgb="FFCC99FF"/>
      <color rgb="FFFF9966"/>
      <color rgb="FFFFFF66"/>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[Vendor Cost Analysis Project.xlsx]Category Comparison Pivot!PivotTable1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CC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7C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9FF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Comparison Pivot'!$B$3</c:f>
              <c:strCache>
                <c:ptCount val="1"/>
                <c:pt idx="0">
                  <c:v>Sum of Vendor A Total Contract</c:v>
                </c:pt>
              </c:strCache>
            </c:strRef>
          </c:tx>
          <c:spPr>
            <a:solidFill>
              <a:srgbClr val="FF7C80"/>
            </a:solidFill>
            <a:ln>
              <a:noFill/>
            </a:ln>
            <a:effectLst/>
          </c:spPr>
          <c:invertIfNegative val="0"/>
          <c:cat>
            <c:strRef>
              <c:f>'Category Comparison Pivot'!$A$4:$A$13</c:f>
              <c:strCache>
                <c:ptCount val="9"/>
                <c:pt idx="0">
                  <c:v>Development Cost</c:v>
                </c:pt>
                <c:pt idx="1">
                  <c:v>Hardware</c:v>
                </c:pt>
                <c:pt idx="2">
                  <c:v>Management Fees</c:v>
                </c:pt>
                <c:pt idx="3">
                  <c:v>Materials</c:v>
                </c:pt>
                <c:pt idx="4">
                  <c:v>Onsite Staff</c:v>
                </c:pt>
                <c:pt idx="5">
                  <c:v>Pre-Printing</c:v>
                </c:pt>
                <c:pt idx="6">
                  <c:v>Pre-Registration</c:v>
                </c:pt>
                <c:pt idx="7">
                  <c:v>Setup Fees</c:v>
                </c:pt>
                <c:pt idx="8">
                  <c:v>Shipping</c:v>
                </c:pt>
              </c:strCache>
            </c:strRef>
          </c:cat>
          <c:val>
            <c:numRef>
              <c:f>'Category Comparison Pivot'!$B$4:$B$13</c:f>
              <c:numCache>
                <c:formatCode>_("$"* #,##0.00_);_("$"* \(#,##0.00\);_("$"* "-"??_);_(@_)</c:formatCode>
                <c:ptCount val="9"/>
                <c:pt idx="0">
                  <c:v>183690</c:v>
                </c:pt>
                <c:pt idx="1">
                  <c:v>134850</c:v>
                </c:pt>
                <c:pt idx="2">
                  <c:v>141200</c:v>
                </c:pt>
                <c:pt idx="3">
                  <c:v>12243</c:v>
                </c:pt>
                <c:pt idx="4">
                  <c:v>191779.39999999997</c:v>
                </c:pt>
                <c:pt idx="5">
                  <c:v>4500</c:v>
                </c:pt>
                <c:pt idx="6">
                  <c:v>0</c:v>
                </c:pt>
                <c:pt idx="7">
                  <c:v>0</c:v>
                </c:pt>
                <c:pt idx="8">
                  <c:v>51000</c:v>
                </c:pt>
              </c:numCache>
            </c:numRef>
          </c:val>
          <c:extLst>
            <c:ext xmlns:c16="http://schemas.microsoft.com/office/drawing/2014/chart" uri="{C3380CC4-5D6E-409C-BE32-E72D297353CC}">
              <c16:uniqueId val="{00000000-7163-42FE-9ECC-FD056481683B}"/>
            </c:ext>
          </c:extLst>
        </c:ser>
        <c:ser>
          <c:idx val="1"/>
          <c:order val="1"/>
          <c:tx>
            <c:strRef>
              <c:f>'Category Comparison Pivot'!$C$3</c:f>
              <c:strCache>
                <c:ptCount val="1"/>
                <c:pt idx="0">
                  <c:v>Sum of Vendor B Total Contract</c:v>
                </c:pt>
              </c:strCache>
            </c:strRef>
          </c:tx>
          <c:spPr>
            <a:solidFill>
              <a:srgbClr val="99FFCC"/>
            </a:solidFill>
            <a:ln>
              <a:noFill/>
            </a:ln>
            <a:effectLst/>
          </c:spPr>
          <c:invertIfNegative val="0"/>
          <c:cat>
            <c:strRef>
              <c:f>'Category Comparison Pivot'!$A$4:$A$13</c:f>
              <c:strCache>
                <c:ptCount val="9"/>
                <c:pt idx="0">
                  <c:v>Development Cost</c:v>
                </c:pt>
                <c:pt idx="1">
                  <c:v>Hardware</c:v>
                </c:pt>
                <c:pt idx="2">
                  <c:v>Management Fees</c:v>
                </c:pt>
                <c:pt idx="3">
                  <c:v>Materials</c:v>
                </c:pt>
                <c:pt idx="4">
                  <c:v>Onsite Staff</c:v>
                </c:pt>
                <c:pt idx="5">
                  <c:v>Pre-Printing</c:v>
                </c:pt>
                <c:pt idx="6">
                  <c:v>Pre-Registration</c:v>
                </c:pt>
                <c:pt idx="7">
                  <c:v>Setup Fees</c:v>
                </c:pt>
                <c:pt idx="8">
                  <c:v>Shipping</c:v>
                </c:pt>
              </c:strCache>
            </c:strRef>
          </c:cat>
          <c:val>
            <c:numRef>
              <c:f>'Category Comparison Pivot'!$C$4:$C$13</c:f>
              <c:numCache>
                <c:formatCode>_("$"* #,##0.00_);_("$"* \(#,##0.00\);_("$"* "-"??_);_(@_)</c:formatCode>
                <c:ptCount val="9"/>
                <c:pt idx="0">
                  <c:v>33500</c:v>
                </c:pt>
                <c:pt idx="1">
                  <c:v>105000</c:v>
                </c:pt>
                <c:pt idx="2">
                  <c:v>96125</c:v>
                </c:pt>
                <c:pt idx="3">
                  <c:v>48060</c:v>
                </c:pt>
                <c:pt idx="4">
                  <c:v>125304.40000000001</c:v>
                </c:pt>
                <c:pt idx="5">
                  <c:v>0</c:v>
                </c:pt>
                <c:pt idx="6">
                  <c:v>236100</c:v>
                </c:pt>
                <c:pt idx="7">
                  <c:v>0</c:v>
                </c:pt>
                <c:pt idx="8">
                  <c:v>17424</c:v>
                </c:pt>
              </c:numCache>
            </c:numRef>
          </c:val>
          <c:extLst>
            <c:ext xmlns:c16="http://schemas.microsoft.com/office/drawing/2014/chart" uri="{C3380CC4-5D6E-409C-BE32-E72D297353CC}">
              <c16:uniqueId val="{00000001-7163-42FE-9ECC-FD056481683B}"/>
            </c:ext>
          </c:extLst>
        </c:ser>
        <c:dLbls>
          <c:showLegendKey val="0"/>
          <c:showVal val="0"/>
          <c:showCatName val="0"/>
          <c:showSerName val="0"/>
          <c:showPercent val="0"/>
          <c:showBubbleSize val="0"/>
        </c:dLbls>
        <c:gapWidth val="219"/>
        <c:overlap val="-27"/>
        <c:axId val="592881320"/>
        <c:axId val="592875088"/>
      </c:barChart>
      <c:catAx>
        <c:axId val="59288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875088"/>
        <c:crosses val="autoZero"/>
        <c:auto val="1"/>
        <c:lblAlgn val="ctr"/>
        <c:lblOffset val="100"/>
        <c:noMultiLvlLbl val="0"/>
      </c:catAx>
      <c:valAx>
        <c:axId val="5928750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881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225424</xdr:colOff>
      <xdr:row>14</xdr:row>
      <xdr:rowOff>6350</xdr:rowOff>
    </xdr:from>
    <xdr:to>
      <xdr:col>4</xdr:col>
      <xdr:colOff>508000</xdr:colOff>
      <xdr:row>32</xdr:row>
      <xdr:rowOff>88900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Browning" refreshedDate="44463.706450347221" createdVersion="6" refreshedVersion="6" minRefreshableVersion="3" recordCount="9" xr:uid="{00000000-000A-0000-FFFF-FFFF00000000}">
  <cacheSource type="worksheet">
    <worksheetSource name="CategoryComparisonAll"/>
  </cacheSource>
  <cacheFields count="25">
    <cacheField name="Type" numFmtId="0">
      <sharedItems count="9">
        <s v="Pre-Registration"/>
        <s v="Hardware"/>
        <s v="Setup Fees"/>
        <s v="Materials"/>
        <s v="Pre-Printing"/>
        <s v="Onsite Staff"/>
        <s v="Development Cost"/>
        <s v="Shipping"/>
        <s v="Management Fees"/>
      </sharedItems>
    </cacheField>
    <cacheField name="Aventri_2024IC" numFmtId="44">
      <sharedItems containsSemiMixedTypes="0" containsString="0" containsNumber="1" minValue="350.87" maxValue="99100"/>
    </cacheField>
    <cacheField name="Aventri_2023IC" numFmtId="44">
      <sharedItems containsSemiMixedTypes="0" containsString="0" containsNumber="1" minValue="350.87" maxValue="99100"/>
    </cacheField>
    <cacheField name="Aventri_2022IC" numFmtId="44">
      <sharedItems containsSemiMixedTypes="0" containsString="0" containsNumber="1" minValue="0" maxValue="99100"/>
    </cacheField>
    <cacheField name="Aventri_2022IA" numFmtId="44">
      <sharedItems containsSemiMixedTypes="0" containsString="0" containsNumber="1" minValue="0" maxValue="9492.08"/>
    </cacheField>
    <cacheField name="Aventri_2023IA" numFmtId="44">
      <sharedItems containsSemiMixedTypes="0" containsString="0" containsNumber="1" minValue="0" maxValue="9672.08"/>
    </cacheField>
    <cacheField name="Aventri_2024" numFmtId="44">
      <sharedItems containsSemiMixedTypes="0" containsString="0" containsNumber="1" minValue="0" maxValue="9672.08"/>
    </cacheField>
    <cacheField name="Aventri_2022COL" numFmtId="44">
      <sharedItems containsSemiMixedTypes="0" containsString="0" containsNumber="1" minValue="0" maxValue="3000"/>
    </cacheField>
    <cacheField name="Aventri_Total Contract" numFmtId="44">
      <sharedItems containsSemiMixedTypes="0" containsString="0" containsNumber="1" minValue="2456.0899999999997" maxValue="297300"/>
    </cacheField>
    <cacheField name="CompuSystems2024IC" numFmtId="44">
      <sharedItems containsSemiMixedTypes="0" containsString="0" containsNumber="1" containsInteger="1" minValue="0" maxValue="56355"/>
    </cacheField>
    <cacheField name="CompuSystems2023IC" numFmtId="44">
      <sharedItems containsSemiMixedTypes="0" containsString="0" containsNumber="1" containsInteger="1" minValue="0" maxValue="49370"/>
    </cacheField>
    <cacheField name="CompuSystems2022IC" numFmtId="44">
      <sharedItems containsSemiMixedTypes="0" containsString="0" containsNumber="1" containsInteger="1" minValue="0" maxValue="61290"/>
    </cacheField>
    <cacheField name="CompuSystems2022IA" numFmtId="44">
      <sharedItems containsSemiMixedTypes="0" containsString="0" containsNumber="1" minValue="0" maxValue="13500"/>
    </cacheField>
    <cacheField name="CompuSystems2023IA" numFmtId="44">
      <sharedItems containsSemiMixedTypes="0" containsString="0" containsNumber="1" minValue="0" maxValue="13500"/>
    </cacheField>
    <cacheField name="CompuSystems2024IA" numFmtId="44">
      <sharedItems containsSemiMixedTypes="0" containsString="0" containsNumber="1" minValue="0" maxValue="13500"/>
    </cacheField>
    <cacheField name="CompuSystems2022COL" numFmtId="44">
      <sharedItems containsSemiMixedTypes="0" containsString="0" containsNumber="1" minValue="0" maxValue="13500"/>
    </cacheField>
    <cacheField name="CompuSystemsTotal Contract" numFmtId="44">
      <sharedItems containsSemiMixedTypes="0" containsString="0" containsNumber="1" minValue="0" maxValue="191779.39999999997"/>
    </cacheField>
    <cacheField name="MCI2024IC" numFmtId="44">
      <sharedItems containsSemiMixedTypes="0" containsString="0" containsNumber="1" containsInteger="1" minValue="0" maxValue="69750"/>
    </cacheField>
    <cacheField name="MCI2023IC" numFmtId="44">
      <sharedItems containsSemiMixedTypes="0" containsString="0" containsNumber="1" containsInteger="1" minValue="0" maxValue="69750"/>
    </cacheField>
    <cacheField name="MCI2022IC" numFmtId="44">
      <sharedItems containsSemiMixedTypes="0" containsString="0" containsNumber="1" containsInteger="1" minValue="0" maxValue="69750"/>
    </cacheField>
    <cacheField name="MCI2022IA" numFmtId="44">
      <sharedItems containsSemiMixedTypes="0" containsString="0" containsNumber="1" minValue="0" maxValue="9072.08"/>
    </cacheField>
    <cacheField name="MCI2023I" numFmtId="44">
      <sharedItems containsSemiMixedTypes="0" containsString="0" containsNumber="1" minValue="0" maxValue="9072.08"/>
    </cacheField>
    <cacheField name="MCI2024IA" numFmtId="44">
      <sharedItems containsSemiMixedTypes="0" containsString="0" containsNumber="1" minValue="0" maxValue="9252.08"/>
    </cacheField>
    <cacheField name="MCI2022COL" numFmtId="44">
      <sharedItems containsSemiMixedTypes="0" containsString="0" containsNumber="1" minValue="0" maxValue="13350"/>
    </cacheField>
    <cacheField name="MCITotal Contract" numFmtId="44">
      <sharedItems containsSemiMixedTypes="0" containsString="0" containsNumber="1" minValue="0" maxValue="236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99100"/>
    <n v="99100"/>
    <n v="99100"/>
    <n v="0"/>
    <n v="0"/>
    <n v="0"/>
    <n v="0"/>
    <n v="297300"/>
    <n v="0"/>
    <n v="0"/>
    <n v="0"/>
    <n v="0"/>
    <n v="0"/>
    <n v="0"/>
    <n v="0"/>
    <n v="0"/>
    <n v="69750"/>
    <n v="69750"/>
    <n v="69750"/>
    <n v="4500"/>
    <n v="4500"/>
    <n v="4500"/>
    <n v="13350"/>
    <n v="236100"/>
  </r>
  <r>
    <x v="1"/>
    <n v="27500"/>
    <n v="27500"/>
    <n v="29500"/>
    <n v="3775"/>
    <n v="3775"/>
    <n v="3775"/>
    <n v="1075"/>
    <n v="96900"/>
    <n v="50200"/>
    <n v="36450"/>
    <n v="36450"/>
    <n v="3400"/>
    <n v="3400"/>
    <n v="3400"/>
    <n v="1550"/>
    <n v="134850"/>
    <n v="30000"/>
    <n v="35000"/>
    <n v="27500"/>
    <n v="3800"/>
    <n v="3800"/>
    <n v="3800"/>
    <n v="1100"/>
    <n v="105000"/>
  </r>
  <r>
    <x v="2"/>
    <n v="425"/>
    <n v="425"/>
    <n v="425"/>
    <n v="425"/>
    <n v="425"/>
    <n v="425"/>
    <n v="325"/>
    <n v="2875"/>
    <n v="0"/>
    <n v="0"/>
    <n v="0"/>
    <n v="0"/>
    <n v="0"/>
    <n v="0"/>
    <n v="0"/>
    <n v="0"/>
    <n v="0"/>
    <n v="0"/>
    <n v="0"/>
    <n v="0"/>
    <n v="0"/>
    <n v="0"/>
    <n v="0"/>
    <n v="0"/>
  </r>
  <r>
    <x v="3"/>
    <n v="17000"/>
    <n v="17000"/>
    <n v="0"/>
    <n v="1275"/>
    <n v="1275"/>
    <n v="1275"/>
    <n v="1020"/>
    <n v="38845"/>
    <n v="3720"/>
    <n v="3720"/>
    <n v="3720"/>
    <n v="285"/>
    <n v="285"/>
    <n v="285"/>
    <n v="228"/>
    <n v="12243"/>
    <n v="13000"/>
    <n v="13000"/>
    <n v="13000"/>
    <n v="2265"/>
    <n v="2265"/>
    <n v="2265"/>
    <n v="2265"/>
    <n v="48060"/>
  </r>
  <r>
    <x v="4"/>
    <n v="350.87"/>
    <n v="350.87"/>
    <n v="350.87"/>
    <n v="350.87"/>
    <n v="350.87"/>
    <n v="350.87"/>
    <n v="350.87"/>
    <n v="2456.0899999999997"/>
    <n v="1500"/>
    <n v="1500"/>
    <n v="1500"/>
    <n v="0"/>
    <n v="0"/>
    <n v="0"/>
    <n v="0"/>
    <n v="4500"/>
    <n v="0"/>
    <n v="0"/>
    <n v="0"/>
    <n v="0"/>
    <n v="0"/>
    <n v="0"/>
    <n v="0"/>
    <n v="0"/>
  </r>
  <r>
    <x v="5"/>
    <n v="32205"/>
    <n v="32745"/>
    <n v="32814"/>
    <n v="9492.08"/>
    <n v="9672.08"/>
    <n v="9672.08"/>
    <n v="819.16000000000008"/>
    <n v="127419.40000000001"/>
    <n v="56355"/>
    <n v="49370"/>
    <n v="45239"/>
    <n v="13272.08"/>
    <n v="13272.08"/>
    <n v="13452.08"/>
    <n v="819.16000000000008"/>
    <n v="191779.39999999997"/>
    <n v="30105"/>
    <n v="33645"/>
    <n v="33339"/>
    <n v="9072.08"/>
    <n v="9072.08"/>
    <n v="9252.08"/>
    <n v="819.16000000000008"/>
    <n v="125304.40000000001"/>
  </r>
  <r>
    <x v="6"/>
    <n v="9000"/>
    <n v="9000"/>
    <n v="9000"/>
    <n v="6000"/>
    <n v="6000"/>
    <n v="6000"/>
    <n v="3000"/>
    <n v="48000"/>
    <n v="36650"/>
    <n v="31750"/>
    <n v="61290"/>
    <n v="13500"/>
    <n v="13500"/>
    <n v="13500"/>
    <n v="13500"/>
    <n v="183690"/>
    <n v="6000"/>
    <n v="6000"/>
    <n v="13500"/>
    <n v="2000"/>
    <n v="2000"/>
    <n v="2000"/>
    <n v="2000"/>
    <n v="33500"/>
  </r>
  <r>
    <x v="7"/>
    <n v="3400"/>
    <n v="3400"/>
    <n v="5648"/>
    <n v="2800"/>
    <n v="2800"/>
    <n v="2800"/>
    <n v="2800"/>
    <n v="23648"/>
    <n v="18000"/>
    <n v="15000"/>
    <n v="4000"/>
    <n v="4500"/>
    <n v="4500"/>
    <n v="4500"/>
    <n v="500"/>
    <n v="51000"/>
    <n v="1700"/>
    <n v="1700"/>
    <n v="2824"/>
    <n v="2800"/>
    <n v="2800"/>
    <n v="2800"/>
    <n v="2800"/>
    <n v="17424"/>
  </r>
  <r>
    <x v="8"/>
    <n v="3000"/>
    <n v="3000"/>
    <n v="3000"/>
    <n v="3000"/>
    <n v="3000"/>
    <n v="3000"/>
    <n v="3000"/>
    <n v="21000"/>
    <n v="34550"/>
    <n v="34550"/>
    <n v="34550"/>
    <n v="9750"/>
    <n v="9750"/>
    <n v="9750"/>
    <n v="8300"/>
    <n v="141200"/>
    <n v="27000"/>
    <n v="27000"/>
    <n v="27000"/>
    <n v="3875"/>
    <n v="3875"/>
    <n v="3875"/>
    <n v="3500"/>
    <n v="96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13" firstHeaderRow="0" firstDataRow="1" firstDataCol="1"/>
  <pivotFields count="25">
    <pivotField axis="axisRow" showAll="0">
      <items count="10">
        <item x="6"/>
        <item x="1"/>
        <item x="8"/>
        <item x="3"/>
        <item x="5"/>
        <item x="4"/>
        <item x="0"/>
        <item x="2"/>
        <item x="7"/>
        <item t="default"/>
      </items>
    </pivotField>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defaultSubtotal="0"/>
    <pivotField numFmtId="44" showAll="0"/>
    <pivotField numFmtId="44" showAll="0" defaultSubtotal="0"/>
    <pivotField numFmtId="44" showAll="0"/>
    <pivotField dataField="1" numFmtId="44" showAll="0"/>
    <pivotField numFmtId="44" showAll="0"/>
    <pivotField numFmtId="44" showAll="0"/>
    <pivotField numFmtId="44" showAll="0"/>
    <pivotField numFmtId="44" showAll="0" defaultSubtotal="0"/>
    <pivotField numFmtId="44" showAll="0" defaultSubtotal="0"/>
    <pivotField numFmtId="44" showAll="0" defaultSubtotal="0"/>
    <pivotField numFmtId="44" showAll="0"/>
    <pivotField dataField="1" numFmtId="44"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Sum of Vendor A Total Contract" fld="16" baseField="0" baseItem="0"/>
    <dataField name="Sum of Vendor B Total Contract" fld="24" baseField="0" baseItem="0"/>
  </dataFields>
  <formats count="1">
    <format dxfId="411">
      <pivotArea dataOnly="0" outline="0" fieldPosition="0">
        <references count="1">
          <reference field="4294967294" count="2">
            <x v="0"/>
            <x v="1"/>
          </reference>
        </references>
      </pivotArea>
    </format>
  </formats>
  <chartFormats count="2">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0000000}" name="AttendanceCount" displayName="AttendanceCount" ref="G39:I42" totalsRowShown="0" headerRowDxfId="498" headerRowBorderDxfId="497" tableBorderDxfId="496">
  <autoFilter ref="G39:I42" xr:uid="{00000000-0009-0000-0100-00001A000000}"/>
  <tableColumns count="3">
    <tableColumn id="1" xr3:uid="{00000000-0010-0000-0000-000001000000}" name="Event " dataDxfId="495"/>
    <tableColumn id="2" xr3:uid="{00000000-0010-0000-0000-000002000000}" name="Location" dataDxfId="494"/>
    <tableColumn id="3" xr3:uid="{00000000-0010-0000-0000-000003000000}" name="Expected Attendance " dataDxfId="493" dataCellStyle="Comma"/>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9000000}" name="CompuSystemsCategoryTable" displayName="CompuSystemsCategoryTable" ref="C16:K26" totalsRowCount="1">
  <autoFilter ref="C16:K25" xr:uid="{00000000-0009-0000-0100-000013000000}"/>
  <sortState xmlns:xlrd2="http://schemas.microsoft.com/office/spreadsheetml/2017/richdata2" ref="C17:K25">
    <sortCondition ref="C16:C25"/>
  </sortState>
  <tableColumns count="9">
    <tableColumn id="1" xr3:uid="{00000000-0010-0000-0900-000001000000}" name="Type" totalsRowLabel="Total"/>
    <tableColumn id="7" xr3:uid="{00000000-0010-0000-0900-000007000000}" name="Vendor A2023IC" totalsRowFunction="sum" dataDxfId="343" totalsRowDxfId="342" dataCellStyle="Currency">
      <calculatedColumnFormula>SUMIF(CompuSystems_2023IC[Type],CompuSystemsCategoryTable[[#This Row],[Type]],CompuSystems_2023IC[Total Cost])</calculatedColumnFormula>
    </tableColumn>
    <tableColumn id="11" xr3:uid="{00000000-0010-0000-0900-00000B000000}" name="Vendor A2024IC" totalsRowFunction="sum" dataDxfId="341" totalsRowDxfId="340" dataCellStyle="Currency">
      <calculatedColumnFormula>SUMIF(CompuSystems_2024IC[Type],CompuSystemsCategoryTable[[#This Row],[Type]],CompuSystems_2024IC[Total Cost])</calculatedColumnFormula>
    </tableColumn>
    <tableColumn id="12" xr3:uid="{00000000-0010-0000-0900-00000C000000}" name="Vendor A2025IC" totalsRowFunction="sum" dataDxfId="339" totalsRowDxfId="338">
      <calculatedColumnFormula>SUMIF(CompuSystems_2025IC[[Type ]],CompuSystemsCategoryTable[[#This Row],[Type]],CompuSystems_2025IC[Total Cost])</calculatedColumnFormula>
    </tableColumn>
    <tableColumn id="10" xr3:uid="{00000000-0010-0000-0900-00000A000000}" name="Vendor A2023IA" totalsRowFunction="sum" dataDxfId="337" totalsRowDxfId="336">
      <calculatedColumnFormula>SUMIF(CompuSystems_2023_2025IA[Type],CompuSystemsCategoryTable[[#This Row],[Type]],CompuSystems_2023_2025IA[Total Cost (2023)])</calculatedColumnFormula>
    </tableColumn>
    <tableColumn id="5" xr3:uid="{00000000-0010-0000-0900-000005000000}" name="Vendor A2024IA" totalsRowFunction="sum" dataDxfId="335" totalsRowDxfId="334">
      <calculatedColumnFormula>SUMIF(CompuSystems_2023_2025IA[Type],CompuSystemsCategoryTable[[#This Row],[Type]],CompuSystems_2023_2025IA[Total Cost (2024)])</calculatedColumnFormula>
    </tableColumn>
    <tableColumn id="6" xr3:uid="{00000000-0010-0000-0900-000006000000}" name="Vendor A2025IA" totalsRowFunction="sum" dataDxfId="333" totalsRowDxfId="332">
      <calculatedColumnFormula>SUMIF(CompuSystems_2023_2025IA[Type],CompuSystemsCategoryTable[[#This Row],[Type]],CompuSystems_2023_2025IA[Total Cost (2025)])</calculatedColumnFormula>
    </tableColumn>
    <tableColumn id="8" xr3:uid="{00000000-0010-0000-0900-000008000000}" name="Vendor A2025COL" totalsRowFunction="sum" dataDxfId="331" totalsRowDxfId="330">
      <calculatedColumnFormula>SUMIF(CompuSystems_2025COL[Type],CompuSystemsCategoryTable[[#This Row],[Type]],CompuSystems_2025COL[Total Cost])</calculatedColumnFormula>
    </tableColumn>
    <tableColumn id="9" xr3:uid="{00000000-0010-0000-0900-000009000000}" name="Vendor ATotal Contract" totalsRowFunction="sum" dataDxfId="329" totalsRowDxfId="328">
      <calculatedColumnFormula>SUM(CompuSystemsCategoryTable[[#This Row],[Vendor A2023IC]:[Vendor A2025COL]])</calculatedColumnFormula>
    </tableColumn>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A000000}" name="MCICategoryTable" displayName="MCICategoryTable" ref="C29:K39" totalsRowCount="1">
  <autoFilter ref="C29:K38" xr:uid="{00000000-0009-0000-0100-000014000000}"/>
  <sortState xmlns:xlrd2="http://schemas.microsoft.com/office/spreadsheetml/2017/richdata2" ref="C30:K38">
    <sortCondition ref="C29:C38"/>
  </sortState>
  <tableColumns count="9">
    <tableColumn id="1" xr3:uid="{00000000-0010-0000-0A00-000001000000}" name="Type" totalsRowLabel="Total"/>
    <tableColumn id="7" xr3:uid="{00000000-0010-0000-0A00-000007000000}" name="Vendor B2023IC" totalsRowFunction="sum" dataDxfId="327" totalsRowDxfId="326" dataCellStyle="Currency">
      <calculatedColumnFormula>SUMIF(MCI_2023IC[Type],MCICategoryTable[[#This Row],[Type]],MCI_2023IC[Total Cost])</calculatedColumnFormula>
    </tableColumn>
    <tableColumn id="11" xr3:uid="{00000000-0010-0000-0A00-00000B000000}" name="Vendor B2024IC" totalsRowFunction="sum" dataDxfId="325" totalsRowDxfId="324" dataCellStyle="Currency">
      <calculatedColumnFormula>SUMIF(MCI_2024IC[Type],MCICategoryTable[[#This Row],[Type]],MCI_2024IC[Total Cost])</calculatedColumnFormula>
    </tableColumn>
    <tableColumn id="12" xr3:uid="{00000000-0010-0000-0A00-00000C000000}" name="Vendor B2025IC" totalsRowFunction="sum" dataDxfId="323" totalsRowDxfId="322" dataCellStyle="Currency">
      <calculatedColumnFormula>SUMIF(MCI_2025IC[[Type ]],MCICategoryTable[[#This Row],[Type]],MCI_2025IC[Total Cost])</calculatedColumnFormula>
    </tableColumn>
    <tableColumn id="10" xr3:uid="{00000000-0010-0000-0A00-00000A000000}" name="Vendor B2023IA" totalsRowFunction="sum" dataDxfId="321" totalsRowDxfId="320">
      <calculatedColumnFormula>SUMIF(MCI_2023_2025IA[Type],MCICategoryTable[[#This Row],[Type]],MCI_2023_2025IA[Total Cost (2023)])</calculatedColumnFormula>
    </tableColumn>
    <tableColumn id="5" xr3:uid="{00000000-0010-0000-0A00-000005000000}" name="Vendor B2024IA" totalsRowFunction="sum" dataDxfId="319" totalsRowDxfId="318">
      <calculatedColumnFormula>SUMIF(MCI_2023_2025IA[Type],MCICategoryTable[[#This Row],[Type]],MCI_2023_2025IA[Total Cost (2024)])</calculatedColumnFormula>
    </tableColumn>
    <tableColumn id="6" xr3:uid="{00000000-0010-0000-0A00-000006000000}" name="Vendor B2025IA" totalsRowFunction="sum" dataDxfId="317" totalsRowDxfId="316">
      <calculatedColumnFormula>SUMIF(MCI_2023_2025IA[Type],MCICategoryTable[[#This Row],[Type]],MCI_2023_2025IA[Total Cost (2025)])</calculatedColumnFormula>
    </tableColumn>
    <tableColumn id="8" xr3:uid="{00000000-0010-0000-0A00-000008000000}" name="Vendor B2025COL" totalsRowFunction="sum" dataDxfId="315" totalsRowDxfId="314">
      <calculatedColumnFormula>SUMIF(MCI_2025COL[Type],MCICategoryTable[[#This Row],[Type]],MCI_2025COL[Total Cost])</calculatedColumnFormula>
    </tableColumn>
    <tableColumn id="9" xr3:uid="{00000000-0010-0000-0A00-000009000000}" name="Vendor BTotal Contract" totalsRowFunction="sum" dataDxfId="313" totalsRowDxfId="312">
      <calculatedColumnFormula>SUM(MCICategoryTable[[#This Row],[Vendor B2023IC]:[Vendor B2025COL]])</calculatedColumnFormula>
    </tableColumn>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B000000}" name="CategoryComparisonAll" displayName="CategoryComparisonAll" ref="B3:Z13" totalsRowCount="1" totalsRowCellStyle="Currency">
  <autoFilter ref="B3:Z12" xr:uid="{00000000-0009-0000-0100-000010000000}"/>
  <tableColumns count="25">
    <tableColumn id="1" xr3:uid="{00000000-0010-0000-0B00-000001000000}" name="Type" totalsRowLabel="Total" totalsRowDxfId="311"/>
    <tableColumn id="2" xr3:uid="{00000000-0010-0000-0B00-000002000000}" name="Aventri_2024IC" totalsRowFunction="sum" totalsRowDxfId="310" dataCellStyle="Currency">
      <calculatedColumnFormula>SUMIF(Aventri_2024IC[Type],CategoryComparisonAll[[#This Row],[Type]],Aventri_2024IC[Total Cost])</calculatedColumnFormula>
    </tableColumn>
    <tableColumn id="3" xr3:uid="{00000000-0010-0000-0B00-000003000000}" name="Aventri_2023IC" totalsRowFunction="sum" totalsRowDxfId="309" dataCellStyle="Currency">
      <calculatedColumnFormula>SUMIF(Aventri_2023IC[Type],CategoryComparisonAll[[#This Row],[Type]],Aventri_2023IC[Total Cost])</calculatedColumnFormula>
    </tableColumn>
    <tableColumn id="4" xr3:uid="{00000000-0010-0000-0B00-000004000000}" name="Aventri_2022IC" totalsRowFunction="sum" totalsRowDxfId="308" dataCellStyle="Currency">
      <calculatedColumnFormula>SUMIF(Aventri_2022IC[Type],CategoryComparisonAll[[#This Row],[Type]],Aventri_2022IC[Total Cost])</calculatedColumnFormula>
    </tableColumn>
    <tableColumn id="5" xr3:uid="{00000000-0010-0000-0B00-000005000000}" name="Aventri_2022IA" totalsRowFunction="sum" totalsRowDxfId="307" dataCellStyle="Currency">
      <calculatedColumnFormula>SUMIF(Aventri_2021_2023IA[Type],CategoryComparisonAll[[#This Row],[Type]],Aventri_2021_2023IA[Total Cost (2022)])</calculatedColumnFormula>
    </tableColumn>
    <tableColumn id="9" xr3:uid="{00000000-0010-0000-0B00-000009000000}" name="Aventri_2023IA" totalsRowFunction="sum" totalsRowDxfId="306" dataCellStyle="Currency">
      <calculatedColumnFormula>SUMIF(Aventri_2021_2023IA[Type],CategoryComparisonAll[[#This Row],[Type]],Aventri_2021_2023IA[Total Cost (2023)])</calculatedColumnFormula>
    </tableColumn>
    <tableColumn id="8" xr3:uid="{00000000-0010-0000-0B00-000008000000}" name="Aventri_2024" totalsRowFunction="sum" totalsRowDxfId="305" dataCellStyle="Currency">
      <calculatedColumnFormula>SUMIF(Aventri_2021_2023IA[Type],CategoryComparisonAll[[#This Row],[Type]],Aventri_2021_2023IA[Total Cost (2024)])</calculatedColumnFormula>
    </tableColumn>
    <tableColumn id="6" xr3:uid="{00000000-0010-0000-0B00-000006000000}" name="Aventri_2022COL" totalsRowFunction="sum" totalsRowDxfId="304" dataCellStyle="Currency">
      <calculatedColumnFormula>SUMIF(Aventri_2022COL[Type],CategoryComparisonAll[[#This Row],[Type]],Aventri_2022COL[Total Cost])</calculatedColumnFormula>
    </tableColumn>
    <tableColumn id="7" xr3:uid="{00000000-0010-0000-0B00-000007000000}" name="Aventri_Total Contract" totalsRowFunction="sum" totalsRowDxfId="303" dataCellStyle="Currency">
      <calculatedColumnFormula>SUM(CategoryComparisonAll[[#This Row],[Aventri_2024IC]:[Aventri_2022COL]])</calculatedColumnFormula>
    </tableColumn>
    <tableColumn id="10" xr3:uid="{00000000-0010-0000-0B00-00000A000000}" name="CompuSystems2024IC" totalsRowFunction="sum" totalsRowDxfId="302" dataCellStyle="Currency">
      <calculatedColumnFormula>SUMIF(CompuSystems_2025IC[[Type ]],CategoryComparisonAll[[#This Row],[Type]],CompuSystems_2025IC[Total Cost])</calculatedColumnFormula>
    </tableColumn>
    <tableColumn id="11" xr3:uid="{00000000-0010-0000-0B00-00000B000000}" name="CompuSystems2023IC" totalsRowFunction="sum" totalsRowDxfId="301" dataCellStyle="Currency">
      <calculatedColumnFormula>SUMIF(CompuSystems_2024IC[Type],CategoryComparisonAll[[#This Row],[Type]],CompuSystems_2024IC[Total Cost])</calculatedColumnFormula>
    </tableColumn>
    <tableColumn id="12" xr3:uid="{00000000-0010-0000-0B00-00000C000000}" name="CompuSystems2022IC" totalsRowFunction="sum" totalsRowDxfId="300" dataCellStyle="Currency">
      <calculatedColumnFormula>SUMIF(CompuSystems_2023IC[Type],CategoryComparisonAll[[#This Row],[Type]],CompuSystems_2023IC[Total Cost])</calculatedColumnFormula>
    </tableColumn>
    <tableColumn id="13" xr3:uid="{00000000-0010-0000-0B00-00000D000000}" name="CompuSystems2022IA" totalsRowFunction="sum" totalsRowDxfId="299" dataCellStyle="Currency">
      <calculatedColumnFormula>SUMIF(CompuSystems_2023_2025IA[Type],CategoryComparisonAll[[#This Row],[Type]],CompuSystems_2023_2025IA[Total Cost (2023)])</calculatedColumnFormula>
    </tableColumn>
    <tableColumn id="14" xr3:uid="{00000000-0010-0000-0B00-00000E000000}" name="CompuSystems2023IA" totalsRowFunction="sum" totalsRowDxfId="298" dataCellStyle="Currency">
      <calculatedColumnFormula>SUMIF(CompuSystems_2023_2025IA[Type],CategoryComparisonAll[[#This Row],[Type]],CompuSystems_2023_2025IA[Total Cost (2024)])</calculatedColumnFormula>
    </tableColumn>
    <tableColumn id="15" xr3:uid="{00000000-0010-0000-0B00-00000F000000}" name="CompuSystems2024IA" totalsRowFunction="sum" totalsRowDxfId="297" dataCellStyle="Currency">
      <calculatedColumnFormula>SUMIF(CompuSystems_2023_2025IA[Type],CategoryComparisonAll[[#This Row],[Type]],CompuSystems_2023_2025IA[Total Cost (2025)])</calculatedColumnFormula>
    </tableColumn>
    <tableColumn id="16" xr3:uid="{00000000-0010-0000-0B00-000010000000}" name="CompuSystems2022COL" totalsRowFunction="sum" totalsRowDxfId="296" dataCellStyle="Currency">
      <calculatedColumnFormula>SUMIF(CompuSystems_2025COL[Type],CategoryComparisonAll[[#This Row],[Type]],CompuSystems_2025COL[Total Cost])</calculatedColumnFormula>
    </tableColumn>
    <tableColumn id="17" xr3:uid="{00000000-0010-0000-0B00-000011000000}" name="CompuSystemsTotal Contract" totalsRowFunction="sum" totalsRowDxfId="295" dataCellStyle="Currency">
      <calculatedColumnFormula>SUM(CategoryComparisonAll[[#This Row],[CompuSystems2024IC]:[CompuSystems2022COL]])</calculatedColumnFormula>
    </tableColumn>
    <tableColumn id="18" xr3:uid="{00000000-0010-0000-0B00-000012000000}" name="MCI2024IC" totalsRowFunction="sum" totalsRowDxfId="294" dataCellStyle="Currency">
      <calculatedColumnFormula>SUMIF(MCI_2025IC[[Type ]],CategoryComparisonAll[[#This Row],[Type]],MCI_2025IC[Total Cost])</calculatedColumnFormula>
    </tableColumn>
    <tableColumn id="19" xr3:uid="{00000000-0010-0000-0B00-000013000000}" name="MCI2023IC" totalsRowFunction="sum" totalsRowDxfId="293" dataCellStyle="Currency">
      <calculatedColumnFormula>SUMIF(MCI_2024IC[Type],CategoryComparisonAll[[#This Row],[Type]],MCI_2024IC[Total Cost])</calculatedColumnFormula>
    </tableColumn>
    <tableColumn id="20" xr3:uid="{00000000-0010-0000-0B00-000014000000}" name="MCI2022IC" totalsRowFunction="sum" totalsRowDxfId="292" dataCellStyle="Currency">
      <calculatedColumnFormula>SUMIF(MCI_2023IC[Type],CategoryComparisonAll[[#This Row],[Type]],MCI_2023IC[Total Cost])</calculatedColumnFormula>
    </tableColumn>
    <tableColumn id="21" xr3:uid="{00000000-0010-0000-0B00-000015000000}" name="MCI2022IA" totalsRowFunction="sum" totalsRowDxfId="291" dataCellStyle="Currency">
      <calculatedColumnFormula>SUMIF(MCI_2023_2025IA[Type],CategoryComparisonAll[[#This Row],[Type]],MCI_2023_2025IA[Total Cost (2023)])</calculatedColumnFormula>
    </tableColumn>
    <tableColumn id="22" xr3:uid="{00000000-0010-0000-0B00-000016000000}" name="MCI2023I" totalsRowFunction="sum" totalsRowDxfId="290" dataCellStyle="Currency">
      <calculatedColumnFormula>SUMIF(MCI_2023_2025IA[Type],CategoryComparisonAll[[#This Row],[Type]],MCI_2023_2025IA[Total Cost (2024)])</calculatedColumnFormula>
    </tableColumn>
    <tableColumn id="23" xr3:uid="{00000000-0010-0000-0B00-000017000000}" name="MCI2024IA" totalsRowFunction="sum" totalsRowDxfId="289" dataCellStyle="Currency">
      <calculatedColumnFormula>SUMIF(MCI_2023_2025IA[Type],CategoryComparisonAll[[#This Row],[Type]],MCI_2023_2025IA[Total Cost (2025)])</calculatedColumnFormula>
    </tableColumn>
    <tableColumn id="24" xr3:uid="{00000000-0010-0000-0B00-000018000000}" name="MCI2022COL" totalsRowFunction="sum" totalsRowDxfId="288" dataCellStyle="Currency">
      <calculatedColumnFormula>SUMIF(MCI_2025COL[Type],CategoryComparisonAll[[#This Row],[Type]],MCI_2025COL[Total Cost])</calculatedColumnFormula>
    </tableColumn>
    <tableColumn id="25" xr3:uid="{00000000-0010-0000-0B00-000019000000}" name="MCITotal Contract" totalsRowFunction="sum" totalsRowDxfId="287" dataCellStyle="Currency">
      <calculatedColumnFormula>SUM(CategoryComparisonAll[[#This Row],[MCI2024IC]:[MCI2022COL]])</calculatedColumnFormula>
    </tableColumn>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Aventri_2022IC" displayName="Aventri_2022IC" ref="B4:I40" totalsRowCount="1" headerRowDxfId="286" dataDxfId="285">
  <autoFilter ref="B4:I39" xr:uid="{00000000-0009-0000-0100-000007000000}"/>
  <tableColumns count="8">
    <tableColumn id="1" xr3:uid="{00000000-0010-0000-0C00-000001000000}" name="Event" totalsRowLabel="Total" dataDxfId="284" totalsRowDxfId="283"/>
    <tableColumn id="2" xr3:uid="{00000000-0010-0000-0C00-000002000000}" name="Company" dataDxfId="282" totalsRowDxfId="281"/>
    <tableColumn id="3" xr3:uid="{00000000-0010-0000-0C00-000003000000}" name="Type" dataDxfId="280" totalsRowDxfId="279"/>
    <tableColumn id="4" xr3:uid="{00000000-0010-0000-0C00-000004000000}" name="Detailed Description" dataDxfId="278" totalsRowDxfId="277"/>
    <tableColumn id="5" xr3:uid="{00000000-0010-0000-0C00-000005000000}" name="Estimated 2022 Qty" dataDxfId="276" totalsRowDxfId="275"/>
    <tableColumn id="6" xr3:uid="{00000000-0010-0000-0C00-000006000000}" name="Your_x000a_Price" dataDxfId="274" totalsRowDxfId="273"/>
    <tableColumn id="7" xr3:uid="{00000000-0010-0000-0C00-000007000000}" name="Total Cost" totalsRowFunction="sum" dataDxfId="272" totalsRowDxfId="271">
      <calculatedColumnFormula>F5*G5</calculatedColumnFormula>
    </tableColumn>
    <tableColumn id="8" xr3:uid="{00000000-0010-0000-0C00-000008000000}" name="Comments" dataDxfId="270" totalsRowDxfId="269"/>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D000000}" name="CompuSystems_2023IC" displayName="CompuSystems_2023IC" ref="L4:S44" totalsRowCount="1" headerRowDxfId="268" dataDxfId="267" tableBorderDxfId="266">
  <autoFilter ref="L4:S43" xr:uid="{00000000-0009-0000-0100-000008000000}"/>
  <tableColumns count="8">
    <tableColumn id="1" xr3:uid="{00000000-0010-0000-0D00-000001000000}" name="Event" totalsRowLabel="Total" dataDxfId="265" totalsRowDxfId="264"/>
    <tableColumn id="2" xr3:uid="{00000000-0010-0000-0D00-000002000000}" name="Company" dataDxfId="263" totalsRowDxfId="262"/>
    <tableColumn id="3" xr3:uid="{00000000-0010-0000-0D00-000003000000}" name="Type" dataDxfId="261" totalsRowDxfId="260"/>
    <tableColumn id="4" xr3:uid="{00000000-0010-0000-0D00-000004000000}" name="Detailed Description" dataDxfId="259" totalsRowDxfId="258"/>
    <tableColumn id="5" xr3:uid="{00000000-0010-0000-0D00-000005000000}" name="Estimated 2023 Qty" dataDxfId="257" totalsRowDxfId="256"/>
    <tableColumn id="6" xr3:uid="{00000000-0010-0000-0D00-000006000000}" name="Your_x000a_Price" dataDxfId="255" totalsRowDxfId="254"/>
    <tableColumn id="7" xr3:uid="{00000000-0010-0000-0D00-000007000000}" name="Total Cost" totalsRowFunction="sum" dataDxfId="253" totalsRowDxfId="252">
      <calculatedColumnFormula>P5*Q5</calculatedColumnFormula>
    </tableColumn>
    <tableColumn id="8" xr3:uid="{00000000-0010-0000-0D00-000008000000}" name="Comments" dataDxfId="251" totalsRowDxfId="250"/>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E000000}" name="MCI_2023IC" displayName="MCI_2023IC" ref="U4:AB40" totalsRowCount="1" headerRowDxfId="249" dataDxfId="248">
  <autoFilter ref="U4:AB39" xr:uid="{00000000-0009-0000-0100-000009000000}"/>
  <tableColumns count="8">
    <tableColumn id="1" xr3:uid="{00000000-0010-0000-0E00-000001000000}" name="Event" totalsRowLabel="Total" dataDxfId="247"/>
    <tableColumn id="2" xr3:uid="{00000000-0010-0000-0E00-000002000000}" name="Company" dataDxfId="246"/>
    <tableColumn id="3" xr3:uid="{00000000-0010-0000-0E00-000003000000}" name="Type" dataDxfId="245" totalsRowDxfId="4"/>
    <tableColumn id="4" xr3:uid="{00000000-0010-0000-0E00-000004000000}" name="Detailed Description" dataDxfId="244" totalsRowDxfId="3"/>
    <tableColumn id="5" xr3:uid="{00000000-0010-0000-0E00-000005000000}" name="Estimated 2023 Qty" dataDxfId="243"/>
    <tableColumn id="6" xr3:uid="{00000000-0010-0000-0E00-000006000000}" name="Your_x000a_Price" dataDxfId="242" totalsRowDxfId="2"/>
    <tableColumn id="7" xr3:uid="{00000000-0010-0000-0E00-000007000000}" name="Total Cost" totalsRowFunction="sum" dataDxfId="241" totalsRowDxfId="1">
      <calculatedColumnFormula>Y5*Z5</calculatedColumnFormula>
    </tableColumn>
    <tableColumn id="8" xr3:uid="{00000000-0010-0000-0E00-000008000000}" name="Comments" dataDxfId="240" totalsRowDxfId="0"/>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F000000}" name="MCI_2024IC" displayName="MCI_2024IC" ref="T4:AA40" totalsRowCount="1" headerRowDxfId="239" tableBorderDxfId="238">
  <autoFilter ref="T4:AA39" xr:uid="{00000000-0009-0000-0100-00000A000000}"/>
  <tableColumns count="8">
    <tableColumn id="1" xr3:uid="{00000000-0010-0000-0F00-000001000000}" name="Event" totalsRowLabel="Total" dataDxfId="237" totalsRowDxfId="236"/>
    <tableColumn id="2" xr3:uid="{00000000-0010-0000-0F00-000002000000}" name="Company" dataDxfId="235" totalsRowDxfId="234"/>
    <tableColumn id="3" xr3:uid="{00000000-0010-0000-0F00-000003000000}" name="Type" dataDxfId="233" totalsRowDxfId="232"/>
    <tableColumn id="4" xr3:uid="{00000000-0010-0000-0F00-000004000000}" name="Detailed Description" dataDxfId="231" totalsRowDxfId="230"/>
    <tableColumn id="5" xr3:uid="{00000000-0010-0000-0F00-000005000000}" name="Estimated 2024 Qty" dataDxfId="229" totalsRowDxfId="228"/>
    <tableColumn id="6" xr3:uid="{00000000-0010-0000-0F00-000006000000}" name="Your_x000a_Price" dataDxfId="227" totalsRowDxfId="226"/>
    <tableColumn id="7" xr3:uid="{00000000-0010-0000-0F00-000007000000}" name="Total Cost" totalsRowFunction="sum" dataDxfId="225" totalsRowDxfId="224"/>
    <tableColumn id="8" xr3:uid="{00000000-0010-0000-0F00-000008000000}" name="Comments" totalsRowFunction="count" dataDxfId="223" totalsRowDxfId="222"/>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10000000}" name="CompuSystems_2024IC" displayName="CompuSystems_2024IC" ref="K4:R42" totalsRowCount="1" headerRowDxfId="221" dataDxfId="220" tableBorderDxfId="219">
  <autoFilter ref="K4:R41" xr:uid="{00000000-0009-0000-0100-00000B000000}"/>
  <tableColumns count="8">
    <tableColumn id="1" xr3:uid="{00000000-0010-0000-1000-000001000000}" name="Event" totalsRowLabel="Total" dataDxfId="218" totalsRowDxfId="217"/>
    <tableColumn id="2" xr3:uid="{00000000-0010-0000-1000-000002000000}" name="Company" dataDxfId="216"/>
    <tableColumn id="3" xr3:uid="{00000000-0010-0000-1000-000003000000}" name="Type" dataDxfId="215" totalsRowDxfId="214"/>
    <tableColumn id="4" xr3:uid="{00000000-0010-0000-1000-000004000000}" name="Detailed Description" dataDxfId="213" totalsRowDxfId="212"/>
    <tableColumn id="5" xr3:uid="{00000000-0010-0000-1000-000005000000}" name="Estimated 2024 Qty" dataDxfId="211"/>
    <tableColumn id="6" xr3:uid="{00000000-0010-0000-1000-000006000000}" name="Your_x000a_Price" dataDxfId="210" totalsRowDxfId="209"/>
    <tableColumn id="7" xr3:uid="{00000000-0010-0000-1000-000007000000}" name="Total Cost" totalsRowFunction="sum" dataDxfId="208" totalsRowDxfId="207"/>
    <tableColumn id="8" xr3:uid="{00000000-0010-0000-1000-000008000000}" name="Comments" totalsRowFunction="count" dataDxfId="206" totalsRowDxfId="205"/>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1000000}" name="Aventri_2023IC" displayName="Aventri_2023IC" ref="B4:I40" totalsRowCount="1" headerRowDxfId="204" tableBorderDxfId="203">
  <autoFilter ref="B4:I39" xr:uid="{00000000-0009-0000-0100-00000C000000}"/>
  <tableColumns count="8">
    <tableColumn id="1" xr3:uid="{00000000-0010-0000-1100-000001000000}" name="Event" totalsRowLabel="Total" dataDxfId="202" totalsRowDxfId="201"/>
    <tableColumn id="2" xr3:uid="{00000000-0010-0000-1100-000002000000}" name="Company" dataDxfId="200" totalsRowDxfId="199"/>
    <tableColumn id="3" xr3:uid="{00000000-0010-0000-1100-000003000000}" name="Type" dataDxfId="198" totalsRowDxfId="197"/>
    <tableColumn id="4" xr3:uid="{00000000-0010-0000-1100-000004000000}" name="Detailed Description" dataDxfId="196" totalsRowDxfId="195"/>
    <tableColumn id="5" xr3:uid="{00000000-0010-0000-1100-000005000000}" name="Estimated 2023 Qty" dataDxfId="194" totalsRowDxfId="193"/>
    <tableColumn id="6" xr3:uid="{00000000-0010-0000-1100-000006000000}" name="Your_x000a_Price" dataDxfId="192" totalsRowDxfId="191"/>
    <tableColumn id="7" xr3:uid="{00000000-0010-0000-1100-000007000000}" name="Total Cost" totalsRowFunction="sum" dataDxfId="190" totalsRowDxfId="189"/>
    <tableColumn id="8" xr3:uid="{00000000-0010-0000-1100-000008000000}" name="Comments" totalsRowFunction="count" dataDxfId="188" totalsRowDxfId="187"/>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12000000}" name="MCI_2025IC" displayName="MCI_2025IC" ref="T4:AA40" totalsRowCount="1" headerRowDxfId="186">
  <autoFilter ref="T4:AA39" xr:uid="{00000000-0009-0000-0100-00000D000000}"/>
  <tableColumns count="8">
    <tableColumn id="1" xr3:uid="{00000000-0010-0000-1200-000001000000}" name="Event" totalsRowLabel="Total" dataDxfId="185" totalsRowDxfId="184"/>
    <tableColumn id="2" xr3:uid="{00000000-0010-0000-1200-000002000000}" name="Company" dataDxfId="183" totalsRowDxfId="182"/>
    <tableColumn id="3" xr3:uid="{00000000-0010-0000-1200-000003000000}" name="Type " dataDxfId="181" totalsRowDxfId="180"/>
    <tableColumn id="4" xr3:uid="{00000000-0010-0000-1200-000004000000}" name="Detailed Description" dataDxfId="179" totalsRowDxfId="178"/>
    <tableColumn id="5" xr3:uid="{00000000-0010-0000-1200-000005000000}" name="Estimated 2025 Qty" dataDxfId="177" totalsRowDxfId="176"/>
    <tableColumn id="6" xr3:uid="{00000000-0010-0000-1200-000006000000}" name="Your_x000a_Price" dataDxfId="175" totalsRowDxfId="174"/>
    <tableColumn id="7" xr3:uid="{00000000-0010-0000-1200-000007000000}" name="Total Cost" totalsRowFunction="sum" dataDxfId="173" totalsRowDxfId="172">
      <calculatedColumnFormula>X5*Y5</calculatedColumnFormula>
    </tableColumn>
    <tableColumn id="8" xr3:uid="{00000000-0010-0000-1200-000008000000}" name="Comments" totalsRowFunction="count" dataDxfId="171" totalsRowDxfId="170"/>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AventriAttendance" displayName="AventriAttendance" ref="C29:E32" totalsRowShown="0" headerRowDxfId="492" headerRowBorderDxfId="491" tableBorderDxfId="490">
  <autoFilter ref="C29:E32" xr:uid="{00000000-0009-0000-0100-000018000000}"/>
  <tableColumns count="3">
    <tableColumn id="1" xr3:uid="{00000000-0010-0000-0100-000001000000}" name="Event " dataDxfId="489"/>
    <tableColumn id="2" xr3:uid="{00000000-0010-0000-0100-000002000000}" name="Location" dataDxfId="488"/>
    <tableColumn id="3" xr3:uid="{00000000-0010-0000-0100-000003000000}" name="Expected Attendance " dataDxfId="487" dataCellStyle="Comma"/>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3000000}" name="CompuSystems_2025IC" displayName="CompuSystems_2025IC" ref="K4:R43" totalsRowCount="1" headerRowDxfId="169">
  <autoFilter ref="K4:R42" xr:uid="{00000000-0009-0000-0100-00000E000000}"/>
  <tableColumns count="8">
    <tableColumn id="1" xr3:uid="{00000000-0010-0000-1300-000001000000}" name="Event" totalsRowLabel="Total" dataDxfId="168" totalsRowDxfId="167"/>
    <tableColumn id="2" xr3:uid="{00000000-0010-0000-1300-000002000000}" name="Company" dataDxfId="166" totalsRowDxfId="165"/>
    <tableColumn id="3" xr3:uid="{00000000-0010-0000-1300-000003000000}" name="Type " dataDxfId="164" totalsRowDxfId="163"/>
    <tableColumn id="4" xr3:uid="{00000000-0010-0000-1300-000004000000}" name="Detailed Description" dataDxfId="162" totalsRowDxfId="161"/>
    <tableColumn id="5" xr3:uid="{00000000-0010-0000-1300-000005000000}" name="Estimated 2025 Qty" dataDxfId="160" totalsRowDxfId="159"/>
    <tableColumn id="6" xr3:uid="{00000000-0010-0000-1300-000006000000}" name="Your_x000a_Price" dataDxfId="158" totalsRowDxfId="157"/>
    <tableColumn id="7" xr3:uid="{00000000-0010-0000-1300-000007000000}" name="Total Cost" totalsRowFunction="sum" dataDxfId="156" totalsRowDxfId="155">
      <calculatedColumnFormula>O5*P5</calculatedColumnFormula>
    </tableColumn>
    <tableColumn id="8" xr3:uid="{00000000-0010-0000-1300-000008000000}" name="Comments" totalsRowFunction="count" dataDxfId="154" totalsRowDxfId="153"/>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4000000}" name="Aventri_2024IC" displayName="Aventri_2024IC" ref="B4:I40" totalsRowCount="1" headerRowDxfId="152" tableBorderDxfId="151">
  <autoFilter ref="B4:I39" xr:uid="{00000000-0009-0000-0100-00000F000000}"/>
  <tableColumns count="8">
    <tableColumn id="1" xr3:uid="{00000000-0010-0000-1400-000001000000}" name="Event" totalsRowLabel="Total" dataDxfId="150" totalsRowDxfId="149"/>
    <tableColumn id="2" xr3:uid="{00000000-0010-0000-1400-000002000000}" name="Company" dataDxfId="148" totalsRowDxfId="147"/>
    <tableColumn id="3" xr3:uid="{00000000-0010-0000-1400-000003000000}" name="Type" dataDxfId="146" totalsRowDxfId="145"/>
    <tableColumn id="4" xr3:uid="{00000000-0010-0000-1400-000004000000}" name="Detailed Description" dataDxfId="144" totalsRowDxfId="143"/>
    <tableColumn id="5" xr3:uid="{00000000-0010-0000-1400-000005000000}" name="Estimated 2023 Qty" dataDxfId="142" totalsRowDxfId="141"/>
    <tableColumn id="6" xr3:uid="{00000000-0010-0000-1400-000006000000}" name="Your_x000a_Price" dataDxfId="140" totalsRowDxfId="139"/>
    <tableColumn id="7" xr3:uid="{00000000-0010-0000-1400-000007000000}" name="Total Cost" totalsRowFunction="sum" dataDxfId="138" totalsRowDxfId="137">
      <calculatedColumnFormula>F5*G5</calculatedColumnFormula>
    </tableColumn>
    <tableColumn id="8" xr3:uid="{00000000-0010-0000-1400-000008000000}" name="Comments" totalsRowFunction="count" dataDxfId="136" totalsRowDxfId="135"/>
  </tableColumns>
  <tableStyleInfo name="TableStyleLight8"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5000000}" name="MCI_2023_2025IA" displayName="MCI_2023_2025IA" ref="AD4:AO38" totalsRowCount="1" headerRowDxfId="134" headerRowCellStyle="Normal 2">
  <autoFilter ref="AD4:AO37" xr:uid="{00000000-0009-0000-0100-000004000000}"/>
  <tableColumns count="12">
    <tableColumn id="1" xr3:uid="{00000000-0010-0000-1500-000001000000}" name="Event" totalsRowLabel="Total" dataDxfId="133" totalsRowDxfId="132" dataCellStyle="Normal 2"/>
    <tableColumn id="2" xr3:uid="{00000000-0010-0000-1500-000002000000}" name="Company" dataDxfId="131" totalsRowDxfId="130"/>
    <tableColumn id="3" xr3:uid="{00000000-0010-0000-1500-000003000000}" name="Type" dataDxfId="129" totalsRowDxfId="128"/>
    <tableColumn id="4" xr3:uid="{00000000-0010-0000-1500-000004000000}" name="Detailed Description" dataDxfId="127" totalsRowDxfId="126" dataCellStyle="Normal 2"/>
    <tableColumn id="5" xr3:uid="{00000000-0010-0000-1500-000005000000}" name="Estimated Qty" dataDxfId="125" totalsRowDxfId="124"/>
    <tableColumn id="6" xr3:uid="{00000000-0010-0000-1500-000006000000}" name="Price (2023)" dataDxfId="123" totalsRowDxfId="122" dataCellStyle="Normal 2"/>
    <tableColumn id="7" xr3:uid="{00000000-0010-0000-1500-000007000000}" name="Total Cost (2023)" totalsRowFunction="sum" dataDxfId="121" totalsRowDxfId="120" dataCellStyle="Normal 2">
      <calculatedColumnFormula>AH5*AI5</calculatedColumnFormula>
    </tableColumn>
    <tableColumn id="8" xr3:uid="{00000000-0010-0000-1500-000008000000}" name="Price (2024)" dataDxfId="119" totalsRowDxfId="118" dataCellStyle="Normal 2"/>
    <tableColumn id="9" xr3:uid="{00000000-0010-0000-1500-000009000000}" name="Total Cost (2024)" totalsRowFunction="sum" dataDxfId="117" totalsRowDxfId="116" dataCellStyle="Normal 2">
      <calculatedColumnFormula>AH5*AK5</calculatedColumnFormula>
    </tableColumn>
    <tableColumn id="10" xr3:uid="{00000000-0010-0000-1500-00000A000000}" name="Price (2025) " dataDxfId="115" totalsRowDxfId="114" dataCellStyle="Normal 2"/>
    <tableColumn id="11" xr3:uid="{00000000-0010-0000-1500-00000B000000}" name="Total Cost (2025)" totalsRowFunction="sum" dataDxfId="113" totalsRowDxfId="112" dataCellStyle="Normal 2">
      <calculatedColumnFormula>AH5*AM5</calculatedColumnFormula>
    </tableColumn>
    <tableColumn id="12" xr3:uid="{00000000-0010-0000-1500-00000C000000}" name="Comments" totalsRowFunction="count" dataDxfId="111" totalsRowDxfId="110" dataCellStyle="Normal 2"/>
  </tableColumns>
  <tableStyleInfo name="TableStyleLight8"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6000000}" name="CompuSystems_2023_2025IA" displayName="CompuSystems_2023_2025IA" ref="Q4:AB39" totalsRowCount="1" headerRowDxfId="109" dataDxfId="108" tableBorderDxfId="107" headerRowCellStyle="Normal 2">
  <autoFilter ref="Q4:AB38" xr:uid="{00000000-0009-0000-0100-000005000000}"/>
  <tableColumns count="12">
    <tableColumn id="1" xr3:uid="{00000000-0010-0000-1600-000001000000}" name="Event" totalsRowLabel="Total" dataDxfId="106" totalsRowDxfId="105" dataCellStyle="Normal 2"/>
    <tableColumn id="2" xr3:uid="{00000000-0010-0000-1600-000002000000}" name="Company" dataDxfId="104"/>
    <tableColumn id="3" xr3:uid="{00000000-0010-0000-1600-000003000000}" name="Type" dataDxfId="103"/>
    <tableColumn id="4" xr3:uid="{00000000-0010-0000-1600-000004000000}" name="Detailed Description" dataDxfId="102" totalsRowDxfId="101" dataCellStyle="Normal 2"/>
    <tableColumn id="5" xr3:uid="{00000000-0010-0000-1600-000005000000}" name="Estimated Qty" dataDxfId="100"/>
    <tableColumn id="6" xr3:uid="{00000000-0010-0000-1600-000006000000}" name="Price (2023)" dataDxfId="99" totalsRowDxfId="98" dataCellStyle="Normal 2"/>
    <tableColumn id="7" xr3:uid="{00000000-0010-0000-1600-000007000000}" name="Total Cost (2023)" totalsRowFunction="sum" dataDxfId="97" totalsRowDxfId="96" dataCellStyle="Normal 2">
      <calculatedColumnFormula>U5*V5</calculatedColumnFormula>
    </tableColumn>
    <tableColumn id="8" xr3:uid="{00000000-0010-0000-1600-000008000000}" name="Price (2024)" dataDxfId="95" totalsRowDxfId="94" dataCellStyle="Normal 2"/>
    <tableColumn id="9" xr3:uid="{00000000-0010-0000-1600-000009000000}" name="Total Cost (2024)" totalsRowFunction="sum" dataDxfId="93" totalsRowDxfId="92" dataCellStyle="Normal 2">
      <calculatedColumnFormula>U5*X5</calculatedColumnFormula>
    </tableColumn>
    <tableColumn id="10" xr3:uid="{00000000-0010-0000-1600-00000A000000}" name="Price (2025) " dataDxfId="91" totalsRowDxfId="90" dataCellStyle="Normal 2"/>
    <tableColumn id="11" xr3:uid="{00000000-0010-0000-1600-00000B000000}" name="Total Cost (2025)" totalsRowFunction="sum" dataDxfId="89" totalsRowDxfId="88" dataCellStyle="Normal 2">
      <calculatedColumnFormula>U5*Z5</calculatedColumnFormula>
    </tableColumn>
    <tableColumn id="12" xr3:uid="{00000000-0010-0000-1600-00000C000000}" name="Comments" totalsRowFunction="count" dataDxfId="87" totalsRowDxfId="86" dataCellStyle="Normal 2"/>
  </tableColumns>
  <tableStyleInfo name="TableStyleLight8"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7000000}" name="Aventri_2021_2023IA" displayName="Aventri_2021_2023IA" ref="B4:O38" totalsRowCount="1" headerRowDxfId="85" headerRowCellStyle="Normal 2">
  <autoFilter ref="B4:O37" xr:uid="{00000000-0009-0000-0100-000006000000}"/>
  <tableColumns count="14">
    <tableColumn id="1" xr3:uid="{00000000-0010-0000-1700-000001000000}" name="Event" totalsRowLabel="Total" dataDxfId="84" totalsRowDxfId="83" dataCellStyle="Normal 2"/>
    <tableColumn id="2" xr3:uid="{00000000-0010-0000-1700-000002000000}" name="Company" dataDxfId="82" totalsRowDxfId="81"/>
    <tableColumn id="3" xr3:uid="{00000000-0010-0000-1700-000003000000}" name="Type" dataDxfId="80" totalsRowDxfId="79"/>
    <tableColumn id="4" xr3:uid="{00000000-0010-0000-1700-000004000000}" name="Detailed Description" dataDxfId="78" totalsRowDxfId="77" dataCellStyle="Normal 2"/>
    <tableColumn id="5" xr3:uid="{00000000-0010-0000-1700-000005000000}" name="Estimated Qty" dataDxfId="76" totalsRowDxfId="75"/>
    <tableColumn id="6" xr3:uid="{00000000-0010-0000-1700-000006000000}" name="0" dataDxfId="74" totalsRowDxfId="73"/>
    <tableColumn id="7" xr3:uid="{00000000-0010-0000-1700-000007000000}" name="Total Cost (2021)" dataDxfId="72" totalsRowDxfId="71">
      <calculatedColumnFormula>F5*G5</calculatedColumnFormula>
    </tableColumn>
    <tableColumn id="8" xr3:uid="{00000000-0010-0000-1700-000008000000}" name="Price (2022) " dataDxfId="70" totalsRowDxfId="69" dataCellStyle="Normal 2"/>
    <tableColumn id="9" xr3:uid="{00000000-0010-0000-1700-000009000000}" name="Total Cost (2022)" totalsRowFunction="sum" dataDxfId="68" totalsRowDxfId="67" dataCellStyle="Normal 2">
      <calculatedColumnFormula>F5*I5</calculatedColumnFormula>
    </tableColumn>
    <tableColumn id="10" xr3:uid="{00000000-0010-0000-1700-00000A000000}" name="Price (2023) " dataDxfId="66" totalsRowDxfId="65" dataCellStyle="Normal 2"/>
    <tableColumn id="11" xr3:uid="{00000000-0010-0000-1700-00000B000000}" name="Total Cost (2023)" totalsRowFunction="sum" dataDxfId="64" totalsRowDxfId="63" dataCellStyle="Normal 2">
      <calculatedColumnFormula>F5*K5</calculatedColumnFormula>
    </tableColumn>
    <tableColumn id="12" xr3:uid="{00000000-0010-0000-1700-00000C000000}" name="Price (2024) " dataDxfId="62" totalsRowDxfId="61" dataCellStyle="Normal 2"/>
    <tableColumn id="13" xr3:uid="{00000000-0010-0000-1700-00000D000000}" name="Total Cost (2024)" totalsRowFunction="sum" dataDxfId="60" totalsRowDxfId="59" dataCellStyle="Normal 2">
      <calculatedColumnFormula>F5*M5</calculatedColumnFormula>
    </tableColumn>
    <tableColumn id="14" xr3:uid="{00000000-0010-0000-1700-00000E000000}" name="Comments" totalsRowFunction="count" dataDxfId="58" totalsRowDxfId="57" dataCellStyle="Normal 2"/>
  </tableColumns>
  <tableStyleInfo name="TableStyleLight8"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8000000}" name="Aventri_2022COL" displayName="Aventri_2022COL" ref="B4:I30" totalsRowCount="1" headerRowDxfId="56" tableBorderDxfId="55" headerRowCellStyle="Normal 2">
  <autoFilter ref="B4:I29" xr:uid="{00000000-0009-0000-0100-000001000000}"/>
  <tableColumns count="8">
    <tableColumn id="1" xr3:uid="{00000000-0010-0000-1800-000001000000}" name="Event" totalsRowLabel="Total" dataDxfId="54" totalsRowDxfId="53"/>
    <tableColumn id="2" xr3:uid="{00000000-0010-0000-1800-000002000000}" name="Company" dataDxfId="52" totalsRowDxfId="51"/>
    <tableColumn id="3" xr3:uid="{00000000-0010-0000-1800-000003000000}" name="Type" dataDxfId="50" totalsRowDxfId="49" dataCellStyle="Normal 2"/>
    <tableColumn id="4" xr3:uid="{00000000-0010-0000-1800-000004000000}" name="Detailed Description" dataDxfId="48" totalsRowDxfId="47" dataCellStyle="Normal 2"/>
    <tableColumn id="5" xr3:uid="{00000000-0010-0000-1800-000005000000}" name="Estimated 2025 Qty" dataDxfId="46" totalsRowDxfId="45"/>
    <tableColumn id="6" xr3:uid="{00000000-0010-0000-1800-000006000000}" name="Your_x000a_Price" dataDxfId="44" totalsRowDxfId="43"/>
    <tableColumn id="7" xr3:uid="{00000000-0010-0000-1800-000007000000}" name="Total Cost" totalsRowFunction="sum" dataDxfId="42" totalsRowDxfId="41">
      <calculatedColumnFormula>F5*G5</calculatedColumnFormula>
    </tableColumn>
    <tableColumn id="8" xr3:uid="{00000000-0010-0000-1800-000008000000}" name="Comments" totalsRowFunction="count" dataDxfId="40" totalsRowDxfId="39" dataCellStyle="Normal 2"/>
  </tableColumns>
  <tableStyleInfo name="TableStyleLight8"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9000000}" name="CompuSystems_2025COL" displayName="CompuSystems_2025COL" ref="K4:R28" totalsRowCount="1" headerRowDxfId="38" tableBorderDxfId="37" headerRowCellStyle="Normal 2">
  <autoFilter ref="K4:R27" xr:uid="{00000000-0009-0000-0100-000002000000}"/>
  <tableColumns count="8">
    <tableColumn id="1" xr3:uid="{00000000-0010-0000-1900-000001000000}" name="Event" totalsRowLabel="Total" dataDxfId="36" totalsRowDxfId="35"/>
    <tableColumn id="2" xr3:uid="{00000000-0010-0000-1900-000002000000}" name="Company" dataDxfId="34" totalsRowDxfId="33"/>
    <tableColumn id="3" xr3:uid="{00000000-0010-0000-1900-000003000000}" name="Type" dataDxfId="32" totalsRowDxfId="31" dataCellStyle="Normal 2"/>
    <tableColumn id="4" xr3:uid="{00000000-0010-0000-1900-000004000000}" name="Detailed Description" dataDxfId="30" totalsRowDxfId="29" dataCellStyle="Normal 2"/>
    <tableColumn id="5" xr3:uid="{00000000-0010-0000-1900-000005000000}" name="Estimated 2025 Qty" dataDxfId="28" totalsRowDxfId="27"/>
    <tableColumn id="6" xr3:uid="{00000000-0010-0000-1900-000006000000}" name="Your_x000a_Price" dataDxfId="26" totalsRowDxfId="25" dataCellStyle="Normal 2"/>
    <tableColumn id="7" xr3:uid="{00000000-0010-0000-1900-000007000000}" name="Total Cost" totalsRowFunction="sum" dataDxfId="24" totalsRowDxfId="23" dataCellStyle="Normal 2">
      <calculatedColumnFormula>O5*P5</calculatedColumnFormula>
    </tableColumn>
    <tableColumn id="8" xr3:uid="{00000000-0010-0000-1900-000008000000}" name="Comments" totalsRowFunction="count" dataDxfId="22" totalsRowDxfId="21" dataCellStyle="Normal 2"/>
  </tableColumns>
  <tableStyleInfo name="TableStyleLight8"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A000000}" name="MCI_2025COL" displayName="MCI_2025COL" ref="T4:AA33" totalsRowCount="1" headerRowDxfId="20" headerRowCellStyle="Normal 2">
  <autoFilter ref="T4:AA32" xr:uid="{00000000-0009-0000-0100-000003000000}"/>
  <tableColumns count="8">
    <tableColumn id="1" xr3:uid="{00000000-0010-0000-1A00-000001000000}" name="Event" totalsRowLabel="Total" totalsRowDxfId="19"/>
    <tableColumn id="2" xr3:uid="{00000000-0010-0000-1A00-000002000000}" name="Company" totalsRowDxfId="18"/>
    <tableColumn id="3" xr3:uid="{00000000-0010-0000-1A00-000003000000}" name="Type" dataDxfId="17" totalsRowDxfId="16" dataCellStyle="Normal 2"/>
    <tableColumn id="4" xr3:uid="{00000000-0010-0000-1A00-000004000000}" name="Detailed Description" dataDxfId="15" totalsRowDxfId="14" dataCellStyle="Normal 2"/>
    <tableColumn id="5" xr3:uid="{00000000-0010-0000-1A00-000005000000}" name="Estimated 2025 Qty" totalsRowDxfId="13"/>
    <tableColumn id="6" xr3:uid="{00000000-0010-0000-1A00-000006000000}" name="Your_x000a_Price" dataDxfId="12" totalsRowDxfId="11" dataCellStyle="Normal 2"/>
    <tableColumn id="7" xr3:uid="{00000000-0010-0000-1A00-000007000000}" name="Total Cost" totalsRowFunction="sum" dataDxfId="10" totalsRowDxfId="9" dataCellStyle="Normal 2"/>
    <tableColumn id="8" xr3:uid="{00000000-0010-0000-1A00-000008000000}" name="Comments" totalsRowFunction="count" dataDxfId="8" totalsRowDxfId="7" dataCellStyle="Normal 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2000000}" name="CompuSystemAttendance" displayName="CompuSystemAttendance" ref="G29:I32" totalsRowShown="0" headerRowDxfId="486" headerRowBorderDxfId="485" tableBorderDxfId="484">
  <autoFilter ref="G29:I32" xr:uid="{00000000-0009-0000-0100-000019000000}"/>
  <sortState xmlns:xlrd2="http://schemas.microsoft.com/office/spreadsheetml/2017/richdata2" ref="G23:I25">
    <sortCondition ref="G22:G25"/>
  </sortState>
  <tableColumns count="3">
    <tableColumn id="1" xr3:uid="{00000000-0010-0000-0200-000001000000}" name="Event " dataDxfId="483"/>
    <tableColumn id="2" xr3:uid="{00000000-0010-0000-0200-000002000000}" name="Location" dataDxfId="482"/>
    <tableColumn id="3" xr3:uid="{00000000-0010-0000-0200-000003000000}" name="Expected Attendance " dataDxfId="481" dataCellStyle="Comma"/>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03000000}" name="MCIAttendance" displayName="MCIAttendance" ref="K29:M32" totalsRowShown="0" headerRowDxfId="480" headerRowBorderDxfId="479" tableBorderDxfId="478">
  <autoFilter ref="K29:M32" xr:uid="{00000000-0009-0000-0100-00001B000000}"/>
  <tableColumns count="3">
    <tableColumn id="1" xr3:uid="{00000000-0010-0000-0300-000001000000}" name="Event " dataDxfId="477"/>
    <tableColumn id="2" xr3:uid="{00000000-0010-0000-0300-000002000000}" name="Location" dataDxfId="476"/>
    <tableColumn id="3" xr3:uid="{00000000-0010-0000-0300-000003000000}" name="Expected Attendance " dataDxfId="475" dataCellStyle="Comma"/>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4000000}" name="Table1622" displayName="Table1622" ref="B3:J48" totalsRowCount="1" headerRowDxfId="474" dataDxfId="473" tableBorderDxfId="472" dataCellStyle="Currency">
  <autoFilter ref="B3:J47" xr:uid="{00000000-0009-0000-0100-000015000000}"/>
  <tableColumns count="9">
    <tableColumn id="1" xr3:uid="{00000000-0010-0000-0400-000001000000}" name="Detailed Description" totalsRowLabel="Total" dataDxfId="471" totalsRowDxfId="470" dataCellStyle="Currency"/>
    <tableColumn id="2" xr3:uid="{00000000-0010-0000-0400-000002000000}" name="Aventri_2024IC" totalsRowFunction="sum" dataDxfId="469" totalsRowDxfId="468" dataCellStyle="Currency">
      <calculatedColumnFormula>SUMIF(Aventri_2024IC[Detailed Description],Table1622[[#This Row],[Detailed Description]],Aventri_2024IC[Total Cost])</calculatedColumnFormula>
    </tableColumn>
    <tableColumn id="3" xr3:uid="{00000000-0010-0000-0400-000003000000}" name="Aventri_2023IC" totalsRowFunction="sum" dataDxfId="467" totalsRowDxfId="466" dataCellStyle="Currency">
      <calculatedColumnFormula>SUMIF(Aventri_2023IC[Detailed Description],Table1622[[#This Row],[Detailed Description]],Aventri_2023IC[Total Cost])</calculatedColumnFormula>
    </tableColumn>
    <tableColumn id="4" xr3:uid="{00000000-0010-0000-0400-000004000000}" name="Aventri_2022IC" totalsRowFunction="sum" dataDxfId="465" totalsRowDxfId="464" dataCellStyle="Currency">
      <calculatedColumnFormula>SUMIF(Aventri_2022IC[Detailed Description],Table1622[[#This Row],[Detailed Description]],Aventri_2022IC[Total Cost])</calculatedColumnFormula>
    </tableColumn>
    <tableColumn id="5" xr3:uid="{00000000-0010-0000-0400-000005000000}" name="Aventri_2022IA" totalsRowFunction="sum" dataDxfId="463" totalsRowDxfId="462" dataCellStyle="Currency">
      <calculatedColumnFormula>SUMIF(Aventri_2021_2023IA[Detailed Description],Table1622[[#This Row],[Detailed Description]],Aventri_2021_2023IA[Total Cost (2022)])</calculatedColumnFormula>
    </tableColumn>
    <tableColumn id="6" xr3:uid="{00000000-0010-0000-0400-000006000000}" name="Aventri_2023IA" totalsRowFunction="sum" dataDxfId="461" totalsRowDxfId="460" dataCellStyle="Currency">
      <calculatedColumnFormula>SUMIF(Aventri_2021_2023IA[Detailed Description],Table1622[[#This Row],[Detailed Description]],Aventri_2021_2023IA[Total Cost (2023)])</calculatedColumnFormula>
    </tableColumn>
    <tableColumn id="7" xr3:uid="{00000000-0010-0000-0400-000007000000}" name="Aventri_2024" totalsRowFunction="sum" dataDxfId="459" totalsRowDxfId="458" dataCellStyle="Currency">
      <calculatedColumnFormula>SUMIF(Aventri_2021_2023IA[Detailed Description],Table1622[[#This Row],[Detailed Description]],Aventri_2021_2023IA[Total Cost (2024)])</calculatedColumnFormula>
    </tableColumn>
    <tableColumn id="8" xr3:uid="{00000000-0010-0000-0400-000008000000}" name="Aventri_2022COL" totalsRowFunction="sum" dataDxfId="457" totalsRowDxfId="456" dataCellStyle="Currency">
      <calculatedColumnFormula>SUMIF(Aventri_2022COL[Detailed Description],Table1622[[#This Row],[Detailed Description]],Aventri_2022COL[Total Cost])</calculatedColumnFormula>
    </tableColumn>
    <tableColumn id="9" xr3:uid="{00000000-0010-0000-0400-000009000000}" name="Aventri_Total Contract" totalsRowFunction="sum" dataDxfId="455" totalsRowDxfId="454" dataCellStyle="Currency">
      <calculatedColumnFormula>SUM(Table1622[[#This Row],[Aventri_2024IC]:[Aventri_2022COL]])</calculatedColumnFormula>
    </tableColum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5000000}" name="Table162223" displayName="Table162223" ref="L3:T48" totalsRowCount="1" headerRowDxfId="453" dataDxfId="452" tableBorderDxfId="451" dataCellStyle="Currency">
  <autoFilter ref="L3:T47" xr:uid="{00000000-0009-0000-0100-000016000000}"/>
  <tableColumns count="9">
    <tableColumn id="1" xr3:uid="{00000000-0010-0000-0500-000001000000}" name="Detailed Description" totalsRowLabel="Total" dataDxfId="450" totalsRowDxfId="449" dataCellStyle="Currency"/>
    <tableColumn id="2" xr3:uid="{00000000-0010-0000-0500-000002000000}" name="CompuSystems2024IC" totalsRowFunction="sum" dataDxfId="448" totalsRowDxfId="447" dataCellStyle="Currency">
      <calculatedColumnFormula>SUMIF(CompuSystems_2025IC[Detailed Description],Table162223[[#This Row],[Detailed Description]],CompuSystems_2025IC[Total Cost])</calculatedColumnFormula>
    </tableColumn>
    <tableColumn id="3" xr3:uid="{00000000-0010-0000-0500-000003000000}" name="CompuSystems2023IC" totalsRowFunction="sum" dataDxfId="446" totalsRowDxfId="445" dataCellStyle="Currency">
      <calculatedColumnFormula>SUMIF(CompuSystems_2024IC[Detailed Description],Table162223[[#This Row],[Detailed Description]],CompuSystems_2024IC[Total Cost])</calculatedColumnFormula>
    </tableColumn>
    <tableColumn id="4" xr3:uid="{00000000-0010-0000-0500-000004000000}" name="CompuSystems2022IC" totalsRowFunction="sum" dataDxfId="444" totalsRowDxfId="443" dataCellStyle="Currency">
      <calculatedColumnFormula>SUMIF(CompuSystems_2023IC[Detailed Description],Table162223[[#This Row],[Detailed Description]],CompuSystems_2023IC[Total Cost])</calculatedColumnFormula>
    </tableColumn>
    <tableColumn id="5" xr3:uid="{00000000-0010-0000-0500-000005000000}" name="CompuSystems2021IA" totalsRowFunction="sum" dataDxfId="442" totalsRowDxfId="441" dataCellStyle="Currency">
      <calculatedColumnFormula>SUMIF(CompuSystems_2023_2025IA[Detailed Description],Table162223[[#This Row],[Detailed Description]],CompuSystems_2023_2025IA[Total Cost (2023)])</calculatedColumnFormula>
    </tableColumn>
    <tableColumn id="6" xr3:uid="{00000000-0010-0000-0500-000006000000}" name="CompuSystems2022IA2" totalsRowFunction="sum" dataDxfId="440" totalsRowDxfId="439" dataCellStyle="Currency">
      <calculatedColumnFormula>SUMIF(CompuSystems_2023_2025IA[Detailed Description],Table162223[[#This Row],[Detailed Description]],CompuSystems_2023_2025IA[Total Cost (2025)])</calculatedColumnFormula>
    </tableColumn>
    <tableColumn id="7" xr3:uid="{00000000-0010-0000-0500-000007000000}" name="CompuSystems2023IA" totalsRowFunction="sum" dataDxfId="438" totalsRowDxfId="437" dataCellStyle="Currency">
      <calculatedColumnFormula>SUMIF(CompuSystems_2023_2025IA[Detailed Description],Table162223[[#This Row],[Detailed Description]],CompuSystems_2023_2025IA[Total Cost (2025)])</calculatedColumnFormula>
    </tableColumn>
    <tableColumn id="8" xr3:uid="{00000000-0010-0000-0500-000008000000}" name="CompuSystems2022COL" totalsRowFunction="sum" dataDxfId="436" totalsRowDxfId="435" dataCellStyle="Currency">
      <calculatedColumnFormula>SUMIF(CompuSystems_2025COL[Detailed Description],Table162223[[#This Row],[Detailed Description]],CompuSystems_2025COL[Total Cost])</calculatedColumnFormula>
    </tableColumn>
    <tableColumn id="9" xr3:uid="{00000000-0010-0000-0500-000009000000}" name="CompuSystemsTotal Contract" totalsRowFunction="sum" dataDxfId="434" totalsRowDxfId="433" dataCellStyle="Currency">
      <calculatedColumnFormula>SUM(Table162223[[#This Row],[CompuSystems2024IC]:[CompuSystems2022COL]])</calculatedColumnFormula>
    </tableColum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6000000}" name="Table16222324" displayName="Table16222324" ref="V3:AD48" totalsRowCount="1" headerRowDxfId="432" dataDxfId="431" tableBorderDxfId="430" dataCellStyle="Currency">
  <autoFilter ref="V3:AD47" xr:uid="{00000000-0009-0000-0100-000017000000}"/>
  <tableColumns count="9">
    <tableColumn id="1" xr3:uid="{00000000-0010-0000-0600-000001000000}" name="Detailed Description" totalsRowLabel="Total" dataDxfId="429" totalsRowDxfId="428" dataCellStyle="Currency"/>
    <tableColumn id="2" xr3:uid="{00000000-0010-0000-0600-000002000000}" name="MCI2024IC" totalsRowFunction="sum" dataDxfId="427" totalsRowDxfId="426" dataCellStyle="Currency">
      <calculatedColumnFormula>SUMIF(CompuSystems_2025IC[Detailed Description],Table16222324[[#This Row],[Detailed Description]],CompuSystems_2025IC[Total Cost])</calculatedColumnFormula>
    </tableColumn>
    <tableColumn id="3" xr3:uid="{00000000-0010-0000-0600-000003000000}" name="MCI2023IC" totalsRowFunction="sum" dataDxfId="425" totalsRowDxfId="424" dataCellStyle="Currency">
      <calculatedColumnFormula>SUMIF(CompuSystems_2024IC[Detailed Description],Table16222324[[#This Row],[Detailed Description]],CompuSystems_2024IC[Total Cost])</calculatedColumnFormula>
    </tableColumn>
    <tableColumn id="4" xr3:uid="{00000000-0010-0000-0600-000004000000}" name="MCI2022IC" totalsRowFunction="sum" dataDxfId="423" totalsRowDxfId="422" dataCellStyle="Currency">
      <calculatedColumnFormula>SUMIF(CompuSystems_2023IC[Detailed Description],Table16222324[[#This Row],[Detailed Description]],CompuSystems_2023IC[Total Cost])</calculatedColumnFormula>
    </tableColumn>
    <tableColumn id="5" xr3:uid="{00000000-0010-0000-0600-000005000000}" name="MCI2021IA" totalsRowFunction="sum" dataDxfId="421" totalsRowDxfId="420" dataCellStyle="Currency">
      <calculatedColumnFormula>SUMIF(CompuSystems_2023_2025IA[Detailed Description],Table16222324[[#This Row],[Detailed Description]],CompuSystems_2023_2025IA[Total Cost (2023)])</calculatedColumnFormula>
    </tableColumn>
    <tableColumn id="6" xr3:uid="{00000000-0010-0000-0600-000006000000}" name="MCI2022IA2" totalsRowFunction="sum" dataDxfId="419" totalsRowDxfId="418" dataCellStyle="Currency">
      <calculatedColumnFormula>SUMIF(CompuSystems_2023_2025IA[Detailed Description],Table16222324[[#This Row],[Detailed Description]],CompuSystems_2023_2025IA[Total Cost (2025)])</calculatedColumnFormula>
    </tableColumn>
    <tableColumn id="7" xr3:uid="{00000000-0010-0000-0600-000007000000}" name="MCI2023IA" totalsRowFunction="sum" dataDxfId="417" totalsRowDxfId="416" dataCellStyle="Currency">
      <calculatedColumnFormula>SUMIF(CompuSystems_2023_2025IA[Detailed Description],Table16222324[[#This Row],[Detailed Description]],CompuSystems_2023_2025IA[Total Cost (2025)])</calculatedColumnFormula>
    </tableColumn>
    <tableColumn id="8" xr3:uid="{00000000-0010-0000-0600-000008000000}" name="MCI2022COL" totalsRowFunction="sum" dataDxfId="415" totalsRowDxfId="414" dataCellStyle="Currency">
      <calculatedColumnFormula>SUMIF(CompuSystems_2025COL[Detailed Description],Table16222324[[#This Row],[Detailed Description]],CompuSystems_2025COL[Total Cost])</calculatedColumnFormula>
    </tableColumn>
    <tableColumn id="9" xr3:uid="{00000000-0010-0000-0600-000009000000}" name="MCITotal Contract" totalsRowFunction="sum" dataDxfId="413" totalsRowDxfId="412" dataCellStyle="Currency">
      <calculatedColumnFormula>SUM(Table16222324[[#This Row],[MCI2024IC]:[MCI2022COL]])</calculatedColumnFormula>
    </tableColumn>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7000000}" name="LineItemTableAll" displayName="LineItemTableAll" ref="B3:Z41" totalsRowCount="1" headerRowDxfId="410" dataDxfId="409" totalsRowDxfId="407" tableBorderDxfId="408" dataCellStyle="Currency">
  <autoFilter ref="B3:Z40" xr:uid="{00000000-0009-0000-0100-000012000000}"/>
  <tableColumns count="25">
    <tableColumn id="1" xr3:uid="{00000000-0010-0000-0700-000001000000}" name="Detailed Description" totalsRowLabel="Total" dataDxfId="406" totalsRowDxfId="405" dataCellStyle="Currency"/>
    <tableColumn id="2" xr3:uid="{00000000-0010-0000-0700-000002000000}" name="Aventri_2024IC" totalsRowFunction="sum" dataDxfId="404" totalsRowDxfId="403" dataCellStyle="Currency">
      <calculatedColumnFormula>SUMIF(Aventri_2024IC[Detailed Description],LineItemTableAll[[#This Row],[Detailed Description]],Aventri_2024IC[Total Cost])</calculatedColumnFormula>
    </tableColumn>
    <tableColumn id="3" xr3:uid="{00000000-0010-0000-0700-000003000000}" name="Aventri_2023IC" totalsRowFunction="sum" dataDxfId="402" totalsRowDxfId="401" dataCellStyle="Currency">
      <calculatedColumnFormula>SUMIF(Aventri_2023IC[Detailed Description],LineItemTableAll[[#This Row],[Detailed Description]],Aventri_2023IC[Total Cost])</calculatedColumnFormula>
    </tableColumn>
    <tableColumn id="4" xr3:uid="{00000000-0010-0000-0700-000004000000}" name="Aventri_2022IC" totalsRowFunction="sum" dataDxfId="400" totalsRowDxfId="399" dataCellStyle="Currency">
      <calculatedColumnFormula>SUMIF(Aventri_2022IC[Detailed Description],LineItemTableAll[[#This Row],[Detailed Description]],Aventri_2022IC[Total Cost])</calculatedColumnFormula>
    </tableColumn>
    <tableColumn id="5" xr3:uid="{00000000-0010-0000-0700-000005000000}" name="Aventri_2022IA" totalsRowFunction="sum" dataDxfId="398" totalsRowDxfId="397" dataCellStyle="Currency">
      <calculatedColumnFormula>SUMIF(Aventri_2021_2023IA[Detailed Description],LineItemTableAll[[#This Row],[Detailed Description]],Aventri_2021_2023IA[Total Cost (2022)])</calculatedColumnFormula>
    </tableColumn>
    <tableColumn id="6" xr3:uid="{00000000-0010-0000-0700-000006000000}" name="Aventri_2023IA" totalsRowFunction="sum" dataDxfId="396" totalsRowDxfId="395" dataCellStyle="Currency">
      <calculatedColumnFormula>SUMIF(Aventri_2021_2023IA[Detailed Description],LineItemTableAll[[#This Row],[Detailed Description]],Aventri_2021_2023IA[Total Cost (2023)])</calculatedColumnFormula>
    </tableColumn>
    <tableColumn id="7" xr3:uid="{00000000-0010-0000-0700-000007000000}" name="Aventri_2024" totalsRowFunction="sum" dataDxfId="394" totalsRowDxfId="393" dataCellStyle="Currency">
      <calculatedColumnFormula>SUMIF(Aventri_2021_2023IA[Detailed Description],LineItemTableAll[[#This Row],[Detailed Description]],Aventri_2021_2023IA[Total Cost (2024)])</calculatedColumnFormula>
    </tableColumn>
    <tableColumn id="8" xr3:uid="{00000000-0010-0000-0700-000008000000}" name="Aventri_2022COL" totalsRowFunction="sum" dataDxfId="392" totalsRowDxfId="391" dataCellStyle="Currency">
      <calculatedColumnFormula>SUMIF(Aventri_2022COL[Detailed Description],LineItemTableAll[[#This Row],[Detailed Description]],Aventri_2022COL[Total Cost])</calculatedColumnFormula>
    </tableColumn>
    <tableColumn id="9" xr3:uid="{00000000-0010-0000-0700-000009000000}" name="Aventri_Total Contract" totalsRowFunction="sum" dataDxfId="390" totalsRowDxfId="389" dataCellStyle="Currency">
      <calculatedColumnFormula>SUM(LineItemTableAll[[#This Row],[Aventri_2024IC]:[Aventri_2022COL]])</calculatedColumnFormula>
    </tableColumn>
    <tableColumn id="10" xr3:uid="{00000000-0010-0000-0700-00000A000000}" name="CompuSystems2024IC" totalsRowFunction="sum" dataDxfId="388" totalsRowDxfId="387" dataCellStyle="Currency">
      <calculatedColumnFormula>SUMIF(CompuSystems_2025IC[Detailed Description],Table162223[[#This Row],[Detailed Description]],CompuSystems_2025IC[Total Cost])</calculatedColumnFormula>
    </tableColumn>
    <tableColumn id="11" xr3:uid="{00000000-0010-0000-0700-00000B000000}" name="CompuSystems2023IC" totalsRowFunction="sum" dataDxfId="386" totalsRowDxfId="385" dataCellStyle="Currency">
      <calculatedColumnFormula>SUMIF(CompuSystems_2024IC[Detailed Description],Table162223[[#This Row],[Detailed Description]],CompuSystems_2024IC[Total Cost])</calculatedColumnFormula>
    </tableColumn>
    <tableColumn id="12" xr3:uid="{00000000-0010-0000-0700-00000C000000}" name="CompuSystems2022IC" totalsRowFunction="sum" dataDxfId="384" totalsRowDxfId="383" dataCellStyle="Currency">
      <calculatedColumnFormula>SUMIF(CompuSystems_2023IC[Detailed Description],Table162223[[#This Row],[Detailed Description]],CompuSystems_2023IC[Total Cost])</calculatedColumnFormula>
    </tableColumn>
    <tableColumn id="13" xr3:uid="{00000000-0010-0000-0700-00000D000000}" name="CompuSystems2022IA" totalsRowFunction="sum" dataDxfId="382" totalsRowDxfId="381" dataCellStyle="Currency">
      <calculatedColumnFormula>SUMIF(CompuSystems_2023_2025IA[Detailed Description],Table162223[[#This Row],[Detailed Description]],CompuSystems_2023_2025IA[Total Cost (2023)])</calculatedColumnFormula>
    </tableColumn>
    <tableColumn id="14" xr3:uid="{00000000-0010-0000-0700-00000E000000}" name="CompuSystems2023I" totalsRowFunction="sum" dataDxfId="380" totalsRowDxfId="379" dataCellStyle="Currency">
      <calculatedColumnFormula>SUMIF(CompuSystems_2023_2025IA[Detailed Description],Table162223[[#This Row],[Detailed Description]],CompuSystems_2023_2025IA[Total Cost (2025)])</calculatedColumnFormula>
    </tableColumn>
    <tableColumn id="15" xr3:uid="{00000000-0010-0000-0700-00000F000000}" name="CompuSystems2024IA" totalsRowFunction="sum" dataDxfId="378" totalsRowDxfId="377" dataCellStyle="Currency">
      <calculatedColumnFormula>SUMIF(CompuSystems_2023_2025IA[Detailed Description],Table162223[[#This Row],[Detailed Description]],CompuSystems_2023_2025IA[Total Cost (2025)])</calculatedColumnFormula>
    </tableColumn>
    <tableColumn id="16" xr3:uid="{00000000-0010-0000-0700-000010000000}" name="CompuSystems2022COL" totalsRowFunction="sum" dataDxfId="376" totalsRowDxfId="375" dataCellStyle="Currency">
      <calculatedColumnFormula>SUMIF(CompuSystems_2025COL[Detailed Description],Table162223[[#This Row],[Detailed Description]],CompuSystems_2025COL[Total Cost])</calculatedColumnFormula>
    </tableColumn>
    <tableColumn id="17" xr3:uid="{00000000-0010-0000-0700-000011000000}" name="CompuSystemsTotal Contract" totalsRowFunction="sum" dataDxfId="374" totalsRowDxfId="373" dataCellStyle="Currency">
      <calculatedColumnFormula>SUM(Table162223[[#This Row],[CompuSystems2024IC]:[CompuSystems2022COL]])</calculatedColumnFormula>
    </tableColumn>
    <tableColumn id="18" xr3:uid="{00000000-0010-0000-0700-000012000000}" name="MCI2024IC" totalsRowFunction="sum" dataDxfId="372" totalsRowDxfId="371" dataCellStyle="Currency">
      <calculatedColumnFormula>SUMIF(MCI_2025IC[Detailed Description],Table16222324[[#This Row],[Detailed Description]],MCI_2025IC[Total Cost])</calculatedColumnFormula>
    </tableColumn>
    <tableColumn id="19" xr3:uid="{00000000-0010-0000-0700-000013000000}" name="MCI2023IC" totalsRowFunction="sum" dataDxfId="370" totalsRowDxfId="369" dataCellStyle="Currency">
      <calculatedColumnFormula>SUMIF(MCI_2024IC[Detailed Description],Table16222324[[#This Row],[Detailed Description]],MCI_2024IC[Total Cost])</calculatedColumnFormula>
    </tableColumn>
    <tableColumn id="20" xr3:uid="{00000000-0010-0000-0700-000014000000}" name="MCI2022IC" totalsRowFunction="sum" dataDxfId="368" totalsRowDxfId="367" dataCellStyle="Currency">
      <calculatedColumnFormula>SUMIF(MCI_2023IC[Detailed Description],Table16222324[[#This Row],[Detailed Description]],MCI_2023IC[Total Cost])</calculatedColumnFormula>
    </tableColumn>
    <tableColumn id="21" xr3:uid="{00000000-0010-0000-0700-000015000000}" name="MCI2022IA" totalsRowFunction="sum" dataDxfId="366" totalsRowDxfId="365" dataCellStyle="Currency">
      <calculatedColumnFormula>SUMIF(MCI_2023_2025IA[Detailed Description],Table16222324[[#This Row],[Detailed Description]],MCI_2023_2025IA[Total Cost (2023)])</calculatedColumnFormula>
    </tableColumn>
    <tableColumn id="22" xr3:uid="{00000000-0010-0000-0700-000016000000}" name="MCI2023IA" totalsRowFunction="sum" dataDxfId="364" totalsRowDxfId="363" dataCellStyle="Currency">
      <calculatedColumnFormula>SUMIF(MCI_2023_2025IA[Detailed Description],Table16222324[[#This Row],[Detailed Description]],MCI_2023_2025IA[Total Cost (2025)])</calculatedColumnFormula>
    </tableColumn>
    <tableColumn id="23" xr3:uid="{00000000-0010-0000-0700-000017000000}" name="MCI2024IA" totalsRowFunction="sum" dataDxfId="362" totalsRowDxfId="361" dataCellStyle="Currency">
      <calculatedColumnFormula>SUMIF(MCI_2023_2025IA[Detailed Description],Table16222324[[#This Row],[Detailed Description]],MCI_2023_2025IA[Total Cost (2025)])</calculatedColumnFormula>
    </tableColumn>
    <tableColumn id="24" xr3:uid="{00000000-0010-0000-0700-000018000000}" name="MCI2022COL" totalsRowFunction="sum" dataDxfId="360" totalsRowDxfId="359" dataCellStyle="Currency">
      <calculatedColumnFormula>SUMIF(MCI_2025COL[Detailed Description],Table16222324[[#This Row],[Detailed Description]],MCI_2025COL[Total Cost])</calculatedColumnFormula>
    </tableColumn>
    <tableColumn id="25" xr3:uid="{00000000-0010-0000-0700-000019000000}" name="MCITotal Contract" totalsRowFunction="sum" dataDxfId="358" totalsRowDxfId="357" dataCellStyle="Currency">
      <calculatedColumnFormula>SUM(Table16222324[[#This Row],[MCI2024IC]:[MCI2022COL]])</calculatedColumnFormula>
    </tableColumn>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8000000}" name="AvenrtiCategoryTable" displayName="AvenrtiCategoryTable" ref="C3:K13" totalsRowCount="1" totalsRowCellStyle="Currency">
  <autoFilter ref="C3:K12" xr:uid="{00000000-0009-0000-0100-000011000000}"/>
  <sortState xmlns:xlrd2="http://schemas.microsoft.com/office/spreadsheetml/2017/richdata2" ref="C4:K12">
    <sortCondition ref="C3:C12"/>
  </sortState>
  <tableColumns count="9">
    <tableColumn id="1" xr3:uid="{00000000-0010-0000-0800-000001000000}" name="Type" totalsRowLabel="Total" totalsRowDxfId="356"/>
    <tableColumn id="11" xr3:uid="{00000000-0010-0000-0800-00000B000000}" name="Aventri_2022IC" totalsRowFunction="sum" dataDxfId="355" totalsRowDxfId="354" dataCellStyle="Currency">
      <calculatedColumnFormula>SUMIF(Aventri_2022IC[Type],AvenrtiCategoryTable[[#This Row],[Type]],Aventri_2022IC[Total Cost])</calculatedColumnFormula>
    </tableColumn>
    <tableColumn id="12" xr3:uid="{00000000-0010-0000-0800-00000C000000}" name="Aventri_2023IC" totalsRowFunction="sum" dataDxfId="353" totalsRowDxfId="352" dataCellStyle="Currency">
      <calculatedColumnFormula>SUMIF(Aventri_2023IC[Type],AvenrtiCategoryTable[[#This Row],[Type]],Aventri_2023IC[Total Cost])</calculatedColumnFormula>
    </tableColumn>
    <tableColumn id="13" xr3:uid="{00000000-0010-0000-0800-00000D000000}" name="Aventri_2024IC" totalsRowFunction="sum" dataDxfId="351" totalsRowDxfId="350" dataCellStyle="Currency">
      <calculatedColumnFormula>SUMIF(Aventri_2024IC[Type],AvenrtiCategoryTable[[#This Row],[Type]],Aventri_2024IC[Total Cost])</calculatedColumnFormula>
    </tableColumn>
    <tableColumn id="5" xr3:uid="{00000000-0010-0000-0800-000005000000}" name="Aventri_2022IA" totalsRowFunction="sum" totalsRowDxfId="349" dataCellStyle="Currency">
      <calculatedColumnFormula>SUMIF(Aventri_2021_2023IA[Type],AvenrtiCategoryTable[[#This Row],[Type]],Aventri_2021_2023IA[Total Cost (2022)])</calculatedColumnFormula>
    </tableColumn>
    <tableColumn id="9" xr3:uid="{00000000-0010-0000-0800-000009000000}" name="Aventri_2023IA" totalsRowFunction="sum" totalsRowDxfId="348" dataCellStyle="Currency">
      <calculatedColumnFormula>SUMIF(Aventri_2021_2023IA[Type],AvenrtiCategoryTable[[#This Row],[Type]],Aventri_2021_2023IA[Total Cost (2023)])</calculatedColumnFormula>
    </tableColumn>
    <tableColumn id="8" xr3:uid="{00000000-0010-0000-0800-000008000000}" name="Aventri_2024" totalsRowFunction="sum" totalsRowDxfId="347" dataCellStyle="Currency">
      <calculatedColumnFormula>SUMIF(Aventri_2021_2023IA[Type],AvenrtiCategoryTable[[#This Row],[Type]],Aventri_2021_2023IA[Total Cost (2024)])</calculatedColumnFormula>
    </tableColumn>
    <tableColumn id="6" xr3:uid="{00000000-0010-0000-0800-000006000000}" name="Aventri_2022COL" totalsRowFunction="sum" totalsRowDxfId="346" dataCellStyle="Currency">
      <calculatedColumnFormula>SUMIF(Aventri_2022COL[Type],AvenrtiCategoryTable[[#This Row],[Type]],Aventri_2022COL[Total Cost])</calculatedColumnFormula>
    </tableColumn>
    <tableColumn id="7" xr3:uid="{00000000-0010-0000-0800-000007000000}" name="Aventri_Total Contract" totalsRowFunction="sum" dataDxfId="345" totalsRowDxfId="344" dataCellStyle="Currency">
      <calculatedColumnFormula>SUM(AvenrtiCategoryTable[[#This Row],[Aventri_2022IC]:[Aventri_2022COL]])</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table" Target="../tables/table16.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table" Target="../tables/table23.xml"/><Relationship Id="rId1" Type="http://schemas.openxmlformats.org/officeDocument/2006/relationships/table" Target="../tables/table22.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table" Target="../tables/table2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 Id="rId4"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table" Target="../tables/table9.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5"/>
  <sheetViews>
    <sheetView zoomScale="80" zoomScaleNormal="80" workbookViewId="0">
      <pane xSplit="2" ySplit="2" topLeftCell="C14" activePane="bottomRight" state="frozen"/>
      <selection pane="topRight" activeCell="C1" sqref="C1"/>
      <selection pane="bottomLeft" activeCell="A3" sqref="A3"/>
      <selection pane="bottomRight" activeCell="F10" sqref="F10"/>
    </sheetView>
  </sheetViews>
  <sheetFormatPr defaultColWidth="9.1796875" defaultRowHeight="14.5" x14ac:dyDescent="0.35"/>
  <cols>
    <col min="1" max="1" width="14.54296875" style="2" customWidth="1"/>
    <col min="2" max="2" width="27.453125" style="2" customWidth="1"/>
    <col min="3" max="3" width="46" style="2" hidden="1" customWidth="1"/>
    <col min="4" max="4" width="2.7265625" style="2" hidden="1" customWidth="1"/>
    <col min="5" max="5" width="46.81640625" style="2" customWidth="1"/>
    <col min="6" max="6" width="46" style="2" customWidth="1"/>
    <col min="7" max="7" width="8.984375E-2" style="2" customWidth="1"/>
    <col min="8" max="8" width="9.1796875" style="3"/>
    <col min="9" max="9" width="73.453125" style="2" customWidth="1"/>
    <col min="10" max="16384" width="9.1796875" style="3"/>
  </cols>
  <sheetData>
    <row r="1" spans="1:7" ht="19" thickBot="1" x14ac:dyDescent="0.4">
      <c r="A1" s="213"/>
      <c r="B1" s="213"/>
      <c r="C1" s="213"/>
      <c r="D1" s="1"/>
      <c r="E1" s="1"/>
      <c r="F1" s="1"/>
      <c r="G1" s="2" t="s">
        <v>140</v>
      </c>
    </row>
    <row r="2" spans="1:7" ht="18.5" x14ac:dyDescent="0.35">
      <c r="A2" s="214" t="s">
        <v>351</v>
      </c>
      <c r="B2" s="215"/>
      <c r="C2" s="215"/>
      <c r="D2" s="215"/>
      <c r="E2" s="215"/>
      <c r="F2" s="215"/>
      <c r="G2" s="216"/>
    </row>
    <row r="3" spans="1:7" x14ac:dyDescent="0.35">
      <c r="A3" s="217" t="s">
        <v>3</v>
      </c>
      <c r="B3" s="218"/>
      <c r="C3" s="4" t="s">
        <v>29</v>
      </c>
      <c r="D3" s="5" t="s">
        <v>1</v>
      </c>
      <c r="E3" s="6" t="s">
        <v>381</v>
      </c>
      <c r="F3" s="17" t="s">
        <v>30</v>
      </c>
      <c r="G3" s="7" t="s">
        <v>31</v>
      </c>
    </row>
    <row r="4" spans="1:7" ht="218.25" customHeight="1" x14ac:dyDescent="0.35">
      <c r="A4" s="13" t="s">
        <v>11</v>
      </c>
      <c r="B4" s="14" t="s">
        <v>22</v>
      </c>
      <c r="C4" s="18" t="s">
        <v>40</v>
      </c>
      <c r="D4" s="18" t="s">
        <v>93</v>
      </c>
      <c r="E4" s="18" t="s">
        <v>382</v>
      </c>
      <c r="F4" s="19" t="s">
        <v>116</v>
      </c>
      <c r="G4" s="20" t="s">
        <v>89</v>
      </c>
    </row>
    <row r="5" spans="1:7" x14ac:dyDescent="0.35">
      <c r="A5" s="219" t="s">
        <v>12</v>
      </c>
      <c r="B5" s="9" t="s">
        <v>13</v>
      </c>
      <c r="C5" s="18">
        <v>21</v>
      </c>
      <c r="D5" s="18">
        <v>49</v>
      </c>
      <c r="E5" s="18">
        <v>43</v>
      </c>
      <c r="F5" s="19">
        <v>32</v>
      </c>
      <c r="G5" s="20">
        <v>35</v>
      </c>
    </row>
    <row r="6" spans="1:7" ht="409.5" x14ac:dyDescent="0.35">
      <c r="A6" s="219"/>
      <c r="B6" s="9" t="s">
        <v>23</v>
      </c>
      <c r="C6" s="18" t="s">
        <v>39</v>
      </c>
      <c r="D6" s="18" t="s">
        <v>44</v>
      </c>
      <c r="E6" s="18" t="s">
        <v>383</v>
      </c>
      <c r="F6" s="19" t="s">
        <v>384</v>
      </c>
      <c r="G6" s="20" t="s">
        <v>56</v>
      </c>
    </row>
    <row r="7" spans="1:7" ht="409.5" x14ac:dyDescent="0.35">
      <c r="A7" s="219"/>
      <c r="B7" s="9" t="s">
        <v>9</v>
      </c>
      <c r="C7" s="18" t="s">
        <v>81</v>
      </c>
      <c r="D7" s="18" t="s">
        <v>45</v>
      </c>
      <c r="E7" s="18" t="s">
        <v>117</v>
      </c>
      <c r="F7" s="19" t="s">
        <v>385</v>
      </c>
      <c r="G7" s="20" t="s">
        <v>65</v>
      </c>
    </row>
    <row r="8" spans="1:7" ht="43.5" x14ac:dyDescent="0.35">
      <c r="A8" s="220" t="s">
        <v>14</v>
      </c>
      <c r="B8" s="9" t="s">
        <v>24</v>
      </c>
      <c r="C8" s="18" t="s">
        <v>118</v>
      </c>
      <c r="D8" s="18"/>
      <c r="E8" s="18" t="s">
        <v>83</v>
      </c>
      <c r="F8" s="19" t="s">
        <v>101</v>
      </c>
      <c r="G8" s="20" t="s">
        <v>64</v>
      </c>
    </row>
    <row r="9" spans="1:7" ht="409.5" x14ac:dyDescent="0.35">
      <c r="A9" s="220"/>
      <c r="B9" s="9" t="s">
        <v>25</v>
      </c>
      <c r="C9" s="18" t="s">
        <v>94</v>
      </c>
      <c r="D9" s="30" t="s">
        <v>76</v>
      </c>
      <c r="E9" s="18" t="s">
        <v>84</v>
      </c>
      <c r="F9" s="19" t="s">
        <v>70</v>
      </c>
      <c r="G9" s="20" t="s">
        <v>66</v>
      </c>
    </row>
    <row r="10" spans="1:7" ht="377" x14ac:dyDescent="0.35">
      <c r="A10" s="220"/>
      <c r="B10" s="9" t="s">
        <v>6</v>
      </c>
      <c r="C10" s="18" t="s">
        <v>49</v>
      </c>
      <c r="D10" s="18" t="s">
        <v>50</v>
      </c>
      <c r="E10" s="18" t="s">
        <v>49</v>
      </c>
      <c r="F10" s="19" t="s">
        <v>386</v>
      </c>
      <c r="G10" s="20" t="s">
        <v>59</v>
      </c>
    </row>
    <row r="11" spans="1:7" ht="95.25" customHeight="1" x14ac:dyDescent="0.35">
      <c r="A11" s="220"/>
      <c r="B11" s="9" t="s">
        <v>26</v>
      </c>
      <c r="C11" s="18" t="s">
        <v>95</v>
      </c>
      <c r="D11" s="30" t="s">
        <v>75</v>
      </c>
      <c r="E11" s="18" t="s">
        <v>92</v>
      </c>
      <c r="F11" s="19" t="s">
        <v>119</v>
      </c>
      <c r="G11" s="20"/>
    </row>
    <row r="12" spans="1:7" ht="117" customHeight="1" x14ac:dyDescent="0.35">
      <c r="A12" s="212" t="s">
        <v>15</v>
      </c>
      <c r="B12" s="9" t="s">
        <v>5</v>
      </c>
      <c r="C12" s="18" t="s">
        <v>120</v>
      </c>
      <c r="E12" s="18" t="s">
        <v>368</v>
      </c>
      <c r="F12" s="19" t="s">
        <v>102</v>
      </c>
      <c r="G12" s="20"/>
    </row>
    <row r="13" spans="1:7" ht="87" x14ac:dyDescent="0.35">
      <c r="A13" s="212"/>
      <c r="B13" s="9" t="s">
        <v>52</v>
      </c>
      <c r="C13" s="18" t="s">
        <v>96</v>
      </c>
      <c r="D13" s="18"/>
      <c r="E13" s="18" t="s">
        <v>121</v>
      </c>
      <c r="F13" s="19" t="s">
        <v>122</v>
      </c>
      <c r="G13" s="20" t="s">
        <v>60</v>
      </c>
    </row>
    <row r="14" spans="1:7" ht="409.5" x14ac:dyDescent="0.35">
      <c r="A14" s="212"/>
      <c r="B14" s="9" t="s">
        <v>16</v>
      </c>
      <c r="C14" s="18" t="s">
        <v>114</v>
      </c>
      <c r="D14" s="18" t="s">
        <v>53</v>
      </c>
      <c r="E14" s="18" t="s">
        <v>123</v>
      </c>
      <c r="F14" s="19" t="s">
        <v>124</v>
      </c>
      <c r="G14" s="20" t="s">
        <v>86</v>
      </c>
    </row>
    <row r="15" spans="1:7" ht="258" customHeight="1" x14ac:dyDescent="0.35">
      <c r="A15" s="212"/>
      <c r="B15" s="9" t="s">
        <v>37</v>
      </c>
      <c r="C15" s="18" t="s">
        <v>125</v>
      </c>
      <c r="D15" s="30" t="s">
        <v>74</v>
      </c>
      <c r="E15" s="18" t="s">
        <v>126</v>
      </c>
      <c r="F15" s="19" t="s">
        <v>127</v>
      </c>
      <c r="G15" s="20" t="s">
        <v>87</v>
      </c>
    </row>
    <row r="16" spans="1:7" ht="246.5" x14ac:dyDescent="0.35">
      <c r="A16" s="212"/>
      <c r="B16" s="9" t="s">
        <v>36</v>
      </c>
      <c r="C16" s="18" t="s">
        <v>41</v>
      </c>
      <c r="D16" s="18" t="s">
        <v>91</v>
      </c>
      <c r="E16" s="18" t="s">
        <v>108</v>
      </c>
      <c r="F16" s="19" t="s">
        <v>128</v>
      </c>
      <c r="G16" s="20" t="s">
        <v>61</v>
      </c>
    </row>
    <row r="17" spans="1:9" ht="43.5" x14ac:dyDescent="0.35">
      <c r="A17" s="212" t="s">
        <v>17</v>
      </c>
      <c r="B17" s="9" t="s">
        <v>4</v>
      </c>
      <c r="C17" s="18" t="s">
        <v>100</v>
      </c>
      <c r="D17" s="18"/>
      <c r="E17" s="35" t="s">
        <v>109</v>
      </c>
      <c r="F17" s="19" t="s">
        <v>326</v>
      </c>
      <c r="G17" s="20" t="s">
        <v>319</v>
      </c>
    </row>
    <row r="18" spans="1:9" ht="130.5" x14ac:dyDescent="0.35">
      <c r="A18" s="212"/>
      <c r="B18" s="9" t="s">
        <v>7</v>
      </c>
      <c r="C18" s="34" t="s">
        <v>42</v>
      </c>
      <c r="D18" s="18"/>
      <c r="E18" s="37" t="s">
        <v>129</v>
      </c>
      <c r="F18" s="19" t="s">
        <v>130</v>
      </c>
      <c r="G18" s="20"/>
    </row>
    <row r="19" spans="1:9" ht="208.5" customHeight="1" x14ac:dyDescent="0.35">
      <c r="A19" s="212"/>
      <c r="B19" s="9" t="s">
        <v>8</v>
      </c>
      <c r="C19" s="18" t="s">
        <v>133</v>
      </c>
      <c r="D19" s="18" t="s">
        <v>55</v>
      </c>
      <c r="E19" s="36" t="s">
        <v>132</v>
      </c>
      <c r="F19" s="19" t="s">
        <v>131</v>
      </c>
      <c r="G19" s="20" t="s">
        <v>67</v>
      </c>
    </row>
    <row r="20" spans="1:9" ht="126" customHeight="1" x14ac:dyDescent="0.35">
      <c r="A20" s="212"/>
      <c r="B20" s="9" t="s">
        <v>18</v>
      </c>
      <c r="C20" s="18" t="s">
        <v>333</v>
      </c>
      <c r="D20" s="18"/>
      <c r="E20" s="162" t="s">
        <v>134</v>
      </c>
      <c r="F20" s="19" t="s">
        <v>135</v>
      </c>
      <c r="G20" s="20"/>
    </row>
    <row r="21" spans="1:9" ht="116" x14ac:dyDescent="0.35">
      <c r="A21" s="212"/>
      <c r="B21" s="10" t="s">
        <v>19</v>
      </c>
      <c r="C21" s="18" t="s">
        <v>136</v>
      </c>
      <c r="D21" s="32"/>
      <c r="E21" s="35" t="s">
        <v>137</v>
      </c>
      <c r="F21" s="19" t="s">
        <v>110</v>
      </c>
      <c r="G21" s="20"/>
    </row>
    <row r="22" spans="1:9" ht="116" x14ac:dyDescent="0.35">
      <c r="A22" s="212"/>
      <c r="B22" s="11" t="s">
        <v>46</v>
      </c>
      <c r="C22" s="18" t="s">
        <v>51</v>
      </c>
      <c r="D22" s="18" t="s">
        <v>47</v>
      </c>
      <c r="E22" s="18" t="s">
        <v>369</v>
      </c>
      <c r="F22" s="19" t="s">
        <v>370</v>
      </c>
      <c r="G22" s="20" t="s">
        <v>62</v>
      </c>
    </row>
    <row r="23" spans="1:9" ht="87" x14ac:dyDescent="0.35">
      <c r="A23" s="212"/>
      <c r="B23" s="9" t="s">
        <v>38</v>
      </c>
      <c r="C23" s="18" t="s">
        <v>48</v>
      </c>
      <c r="D23" s="18" t="s">
        <v>48</v>
      </c>
      <c r="E23" s="18" t="s">
        <v>35</v>
      </c>
      <c r="F23" s="19" t="s">
        <v>48</v>
      </c>
      <c r="G23" s="20"/>
    </row>
    <row r="24" spans="1:9" ht="101.5" x14ac:dyDescent="0.35">
      <c r="A24" s="224" t="s">
        <v>20</v>
      </c>
      <c r="B24" s="9" t="s">
        <v>10</v>
      </c>
      <c r="C24" s="18" t="s">
        <v>82</v>
      </c>
      <c r="D24" s="18" t="s">
        <v>77</v>
      </c>
      <c r="E24" s="18" t="s">
        <v>327</v>
      </c>
      <c r="F24" s="18" t="s">
        <v>82</v>
      </c>
      <c r="G24" s="20" t="s">
        <v>63</v>
      </c>
    </row>
    <row r="25" spans="1:9" ht="92.5" customHeight="1" x14ac:dyDescent="0.35">
      <c r="A25" s="224"/>
      <c r="B25" s="9" t="s">
        <v>21</v>
      </c>
      <c r="C25" s="29" t="s">
        <v>43</v>
      </c>
      <c r="D25" s="18" t="s">
        <v>78</v>
      </c>
      <c r="E25" s="18" t="s">
        <v>371</v>
      </c>
      <c r="F25" s="19" t="s">
        <v>73</v>
      </c>
      <c r="G25" s="20" t="s">
        <v>85</v>
      </c>
    </row>
    <row r="26" spans="1:9" ht="130.5" x14ac:dyDescent="0.35">
      <c r="A26" s="228" t="s">
        <v>32</v>
      </c>
      <c r="B26" s="9" t="s">
        <v>33</v>
      </c>
      <c r="C26" s="18" t="s">
        <v>68</v>
      </c>
      <c r="D26" s="18" t="s">
        <v>58</v>
      </c>
      <c r="E26" s="18" t="s">
        <v>138</v>
      </c>
      <c r="F26" s="19" t="s">
        <v>58</v>
      </c>
      <c r="G26" s="20" t="s">
        <v>69</v>
      </c>
    </row>
    <row r="27" spans="1:9" ht="29" x14ac:dyDescent="0.35">
      <c r="A27" s="229"/>
      <c r="B27" s="9" t="s">
        <v>54</v>
      </c>
      <c r="C27" s="18" t="s">
        <v>51</v>
      </c>
      <c r="D27" s="18" t="s">
        <v>51</v>
      </c>
      <c r="E27" s="18" t="s">
        <v>51</v>
      </c>
      <c r="F27" s="19" t="s">
        <v>51</v>
      </c>
      <c r="G27" s="20" t="s">
        <v>88</v>
      </c>
    </row>
    <row r="28" spans="1:9" ht="335.5" customHeight="1" x14ac:dyDescent="0.35">
      <c r="A28" s="230"/>
      <c r="B28" s="9" t="s">
        <v>34</v>
      </c>
      <c r="C28" s="18" t="s">
        <v>139</v>
      </c>
      <c r="D28" s="32"/>
      <c r="E28" s="18" t="s">
        <v>99</v>
      </c>
      <c r="F28" s="19" t="s">
        <v>98</v>
      </c>
      <c r="G28" s="20" t="s">
        <v>318</v>
      </c>
      <c r="H28" s="222" t="s">
        <v>338</v>
      </c>
      <c r="I28" s="223"/>
    </row>
    <row r="29" spans="1:9" ht="409.5" x14ac:dyDescent="0.35">
      <c r="A29" s="8" t="s">
        <v>0</v>
      </c>
      <c r="B29" s="9" t="s">
        <v>27</v>
      </c>
      <c r="C29" s="18" t="s">
        <v>80</v>
      </c>
      <c r="D29" s="18" t="s">
        <v>90</v>
      </c>
      <c r="E29" s="18" t="s">
        <v>113</v>
      </c>
      <c r="F29" s="19" t="s">
        <v>79</v>
      </c>
      <c r="G29" s="20" t="s">
        <v>57</v>
      </c>
      <c r="H29" s="222"/>
      <c r="I29" s="223"/>
    </row>
    <row r="30" spans="1:9" ht="175" customHeight="1" x14ac:dyDescent="0.35">
      <c r="A30" s="33"/>
      <c r="B30" s="9" t="s">
        <v>103</v>
      </c>
      <c r="C30" s="18" t="s">
        <v>334</v>
      </c>
      <c r="D30" s="18"/>
      <c r="E30" s="18" t="s">
        <v>104</v>
      </c>
      <c r="F30" s="19" t="s">
        <v>112</v>
      </c>
      <c r="G30" s="20"/>
      <c r="H30" s="222"/>
      <c r="I30" s="223"/>
    </row>
    <row r="31" spans="1:9" ht="221" customHeight="1" x14ac:dyDescent="0.35">
      <c r="A31" s="33"/>
      <c r="B31" s="9"/>
      <c r="C31" s="18" t="s">
        <v>335</v>
      </c>
      <c r="D31" s="18"/>
      <c r="E31" s="18" t="s">
        <v>105</v>
      </c>
      <c r="F31" s="19" t="s">
        <v>111</v>
      </c>
      <c r="G31" s="20"/>
      <c r="H31" s="231"/>
      <c r="I31" s="221"/>
    </row>
    <row r="32" spans="1:9" ht="43.5" customHeight="1" x14ac:dyDescent="0.35">
      <c r="A32" s="33"/>
      <c r="B32" s="9"/>
      <c r="C32" s="18"/>
      <c r="D32" s="18"/>
      <c r="E32" s="18" t="s">
        <v>106</v>
      </c>
      <c r="F32" s="19"/>
      <c r="G32" s="20"/>
      <c r="H32" s="231"/>
      <c r="I32" s="221"/>
    </row>
    <row r="33" spans="1:9" ht="87" x14ac:dyDescent="0.35">
      <c r="A33" s="33"/>
      <c r="B33" s="9"/>
      <c r="C33" s="18"/>
      <c r="D33" s="18"/>
      <c r="E33" s="18" t="s">
        <v>107</v>
      </c>
      <c r="F33" s="19"/>
      <c r="G33" s="20"/>
      <c r="H33" s="231"/>
      <c r="I33" s="221"/>
    </row>
    <row r="34" spans="1:9" ht="14.5" customHeight="1" x14ac:dyDescent="0.35">
      <c r="A34" s="225" t="s">
        <v>28</v>
      </c>
      <c r="B34" s="11" t="s">
        <v>352</v>
      </c>
      <c r="C34" s="21">
        <f>'Fiscal Year Breakdown'!D16</f>
        <v>0</v>
      </c>
      <c r="D34" s="21">
        <v>213450</v>
      </c>
      <c r="E34" s="21">
        <f>'Fiscal Year Breakdown'!H16</f>
        <v>560064</v>
      </c>
      <c r="F34" s="22">
        <f>'Fiscal Year Breakdown'!L16</f>
        <v>550563</v>
      </c>
      <c r="G34" s="23">
        <v>150225</v>
      </c>
      <c r="H34" s="231"/>
      <c r="I34" s="221"/>
    </row>
    <row r="35" spans="1:9" ht="14.5" customHeight="1" x14ac:dyDescent="0.35">
      <c r="A35" s="226"/>
      <c r="B35" s="11" t="s">
        <v>353</v>
      </c>
      <c r="C35" s="21">
        <f>'Fiscal Year Breakdown'!D17</f>
        <v>0</v>
      </c>
      <c r="D35" s="21">
        <v>1148200</v>
      </c>
      <c r="E35" s="21">
        <f>'Fiscal Year Breakdown'!H17</f>
        <v>134301.24</v>
      </c>
      <c r="F35" s="22">
        <f>'Fiscal Year Breakdown'!L17</f>
        <v>85116.24</v>
      </c>
      <c r="G35" s="23">
        <v>802003</v>
      </c>
      <c r="H35" s="231"/>
      <c r="I35" s="221"/>
    </row>
    <row r="36" spans="1:9" ht="14.5" customHeight="1" x14ac:dyDescent="0.35">
      <c r="A36" s="226"/>
      <c r="B36" s="16" t="s">
        <v>354</v>
      </c>
      <c r="C36" s="21">
        <f>'Fiscal Year Breakdown'!D18</f>
        <v>0</v>
      </c>
      <c r="D36" s="24">
        <v>36900</v>
      </c>
      <c r="E36" s="21">
        <f>'Fiscal Year Breakdown'!H18</f>
        <v>24897.16</v>
      </c>
      <c r="F36" s="22">
        <f>'Fiscal Year Breakdown'!L18</f>
        <v>25834.16</v>
      </c>
      <c r="G36" s="25">
        <v>6451</v>
      </c>
      <c r="H36" s="231"/>
      <c r="I36" s="221"/>
    </row>
    <row r="37" spans="1:9" ht="15" customHeight="1" thickBot="1" x14ac:dyDescent="0.4">
      <c r="A37" s="227"/>
      <c r="B37" s="12" t="s">
        <v>355</v>
      </c>
      <c r="C37" s="26">
        <f>SUM(C34:C36)</f>
        <v>0</v>
      </c>
      <c r="D37" s="26">
        <f>SUM(D34:D36)</f>
        <v>1398550</v>
      </c>
      <c r="E37" s="26">
        <f>SUM(E34:E36)</f>
        <v>719262.4</v>
      </c>
      <c r="F37" s="27">
        <f>SUM(F34:F36)</f>
        <v>661513.4</v>
      </c>
      <c r="G37" s="28">
        <f>SUM(G34:G36)</f>
        <v>958679</v>
      </c>
      <c r="H37" s="231"/>
      <c r="I37" s="221"/>
    </row>
    <row r="38" spans="1:9" ht="14.5" customHeight="1" x14ac:dyDescent="0.35">
      <c r="C38" s="15"/>
      <c r="H38" s="221"/>
      <c r="I38" s="221"/>
    </row>
    <row r="39" spans="1:9" ht="130.5" x14ac:dyDescent="0.35">
      <c r="C39" s="2" t="s">
        <v>328</v>
      </c>
      <c r="D39" s="2" t="s">
        <v>71</v>
      </c>
      <c r="E39" s="2" t="s">
        <v>366</v>
      </c>
      <c r="F39" s="2" t="s">
        <v>367</v>
      </c>
      <c r="G39" s="2" t="s">
        <v>72</v>
      </c>
      <c r="H39" s="221"/>
      <c r="I39" s="221"/>
    </row>
    <row r="40" spans="1:9" ht="29" x14ac:dyDescent="0.35">
      <c r="E40" s="2" t="s">
        <v>365</v>
      </c>
      <c r="F40" s="2" t="s">
        <v>373</v>
      </c>
      <c r="I40" s="3"/>
    </row>
    <row r="41" spans="1:9" x14ac:dyDescent="0.35">
      <c r="C41" s="2" t="s">
        <v>115</v>
      </c>
      <c r="E41" s="2" t="s">
        <v>364</v>
      </c>
      <c r="F41" s="2" t="s">
        <v>337</v>
      </c>
      <c r="H41" s="221"/>
      <c r="I41" s="221"/>
    </row>
    <row r="42" spans="1:9" x14ac:dyDescent="0.35">
      <c r="E42" s="2" t="s">
        <v>374</v>
      </c>
      <c r="I42" s="3"/>
    </row>
    <row r="43" spans="1:9" ht="14.5" customHeight="1" x14ac:dyDescent="0.35">
      <c r="E43" s="2" t="s">
        <v>329</v>
      </c>
      <c r="H43" s="221"/>
      <c r="I43" s="221"/>
    </row>
    <row r="44" spans="1:9" ht="29" x14ac:dyDescent="0.35">
      <c r="E44" s="2" t="s">
        <v>330</v>
      </c>
    </row>
    <row r="45" spans="1:9" x14ac:dyDescent="0.35">
      <c r="C45" s="31" t="s">
        <v>97</v>
      </c>
      <c r="E45" s="31" t="s">
        <v>97</v>
      </c>
      <c r="F45" s="31" t="s">
        <v>97</v>
      </c>
    </row>
  </sheetData>
  <mergeCells count="22">
    <mergeCell ref="H43:I43"/>
    <mergeCell ref="H28:I30"/>
    <mergeCell ref="A17:A23"/>
    <mergeCell ref="A24:A25"/>
    <mergeCell ref="A34:A37"/>
    <mergeCell ref="A26:A28"/>
    <mergeCell ref="H36:I36"/>
    <mergeCell ref="H37:I37"/>
    <mergeCell ref="H38:I38"/>
    <mergeCell ref="H39:I39"/>
    <mergeCell ref="H41:I41"/>
    <mergeCell ref="H31:I31"/>
    <mergeCell ref="H32:I32"/>
    <mergeCell ref="H33:I33"/>
    <mergeCell ref="H34:I34"/>
    <mergeCell ref="H35:I35"/>
    <mergeCell ref="A12:A16"/>
    <mergeCell ref="A1:C1"/>
    <mergeCell ref="A2:G2"/>
    <mergeCell ref="A3:B3"/>
    <mergeCell ref="A5:A7"/>
    <mergeCell ref="A8:A11"/>
  </mergeCells>
  <pageMargins left="0.25" right="0.25" top="0.75" bottom="0.75" header="0.3" footer="0.3"/>
  <pageSetup paperSize="17" scale="67" orientation="landscape" r:id="rId1"/>
  <rowBreaks count="1" manualBreakCount="1">
    <brk id="12" max="6"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AA48"/>
  <sheetViews>
    <sheetView topLeftCell="K1" zoomScale="90" zoomScaleNormal="90" workbookViewId="0">
      <selection activeCell="K2" sqref="K2:R2"/>
    </sheetView>
  </sheetViews>
  <sheetFormatPr defaultColWidth="14.81640625" defaultRowHeight="14.5" x14ac:dyDescent="0.35"/>
  <cols>
    <col min="2" max="2" width="9.453125" hidden="1" customWidth="1"/>
    <col min="3" max="3" width="12.54296875" hidden="1" customWidth="1"/>
    <col min="4" max="4" width="16.1796875" hidden="1" customWidth="1"/>
    <col min="5" max="5" width="51.1796875" hidden="1" customWidth="1"/>
    <col min="6" max="6" width="26.1796875" hidden="1" customWidth="1"/>
    <col min="7" max="7" width="12.81640625" hidden="1" customWidth="1"/>
    <col min="8" max="8" width="17.54296875" hidden="1" customWidth="1"/>
    <col min="9" max="9" width="140.1796875" hidden="1" customWidth="1"/>
    <col min="10" max="10" width="16.54296875" hidden="1" customWidth="1"/>
    <col min="11" max="11" width="9.453125" bestFit="1" customWidth="1"/>
    <col min="12" max="12" width="13.6328125" bestFit="1" customWidth="1"/>
    <col min="13" max="13" width="16.1796875" bestFit="1" customWidth="1"/>
    <col min="14" max="14" width="30.81640625" bestFit="1" customWidth="1"/>
    <col min="15" max="15" width="26.1796875" bestFit="1" customWidth="1"/>
    <col min="16" max="16" width="12.81640625" bestFit="1" customWidth="1"/>
    <col min="17" max="17" width="17.54296875" bestFit="1" customWidth="1"/>
    <col min="18" max="18" width="29" bestFit="1" customWidth="1"/>
    <col min="19" max="19" width="21.08984375" customWidth="1"/>
    <col min="20" max="20" width="9.453125" bestFit="1" customWidth="1"/>
    <col min="21" max="21" width="12.54296875" bestFit="1" customWidth="1"/>
    <col min="22" max="22" width="16.1796875" bestFit="1" customWidth="1"/>
    <col min="23" max="23" width="30.81640625" bestFit="1" customWidth="1"/>
    <col min="24" max="24" width="26.1796875" bestFit="1" customWidth="1"/>
    <col min="25" max="25" width="12.81640625" bestFit="1" customWidth="1"/>
    <col min="26" max="26" width="17.54296875" bestFit="1" customWidth="1"/>
    <col min="27" max="27" width="42.81640625" bestFit="1" customWidth="1"/>
  </cols>
  <sheetData>
    <row r="2" spans="2:27" ht="15" customHeight="1" x14ac:dyDescent="0.35">
      <c r="B2" s="248" t="s">
        <v>29</v>
      </c>
      <c r="C2" s="248"/>
      <c r="D2" s="248"/>
      <c r="E2" s="248"/>
      <c r="F2" s="248"/>
      <c r="G2" s="248"/>
      <c r="H2" s="248"/>
      <c r="I2" s="248"/>
      <c r="J2" s="88"/>
      <c r="K2" s="249" t="s">
        <v>381</v>
      </c>
      <c r="L2" s="249"/>
      <c r="M2" s="249"/>
      <c r="N2" s="249"/>
      <c r="O2" s="249"/>
      <c r="P2" s="249"/>
      <c r="Q2" s="249"/>
      <c r="R2" s="249"/>
      <c r="S2" s="88"/>
      <c r="T2" s="247" t="s">
        <v>390</v>
      </c>
      <c r="U2" s="247"/>
      <c r="V2" s="247"/>
      <c r="W2" s="247"/>
      <c r="X2" s="247"/>
      <c r="Y2" s="247"/>
      <c r="Z2" s="247"/>
      <c r="AA2" s="247"/>
    </row>
    <row r="3" spans="2:27" ht="18.5" x14ac:dyDescent="0.45">
      <c r="B3" s="252" t="s">
        <v>232</v>
      </c>
      <c r="C3" s="252"/>
      <c r="D3" s="252"/>
      <c r="E3" s="252"/>
      <c r="F3" s="252"/>
      <c r="G3" s="252"/>
      <c r="H3" s="252"/>
      <c r="I3" s="253"/>
      <c r="J3" s="92"/>
      <c r="K3" s="252" t="s">
        <v>341</v>
      </c>
      <c r="L3" s="252"/>
      <c r="M3" s="252"/>
      <c r="N3" s="252"/>
      <c r="O3" s="252"/>
      <c r="P3" s="252"/>
      <c r="Q3" s="252"/>
      <c r="R3" s="253"/>
      <c r="S3" s="92"/>
      <c r="T3" s="252" t="s">
        <v>341</v>
      </c>
      <c r="U3" s="252"/>
      <c r="V3" s="252"/>
      <c r="W3" s="252"/>
      <c r="X3" s="252"/>
      <c r="Y3" s="252"/>
      <c r="Z3" s="252"/>
      <c r="AA3" s="253"/>
    </row>
    <row r="4" spans="2:27" ht="31" x14ac:dyDescent="0.35">
      <c r="B4" t="s">
        <v>141</v>
      </c>
      <c r="C4" t="s">
        <v>22</v>
      </c>
      <c r="D4" s="49" t="s">
        <v>152</v>
      </c>
      <c r="E4" s="50" t="s">
        <v>153</v>
      </c>
      <c r="F4" s="51" t="s">
        <v>154</v>
      </c>
      <c r="G4" s="52" t="s">
        <v>155</v>
      </c>
      <c r="H4" s="51" t="s">
        <v>156</v>
      </c>
      <c r="I4" s="154" t="s">
        <v>157</v>
      </c>
      <c r="J4" s="93"/>
      <c r="K4" t="s">
        <v>141</v>
      </c>
      <c r="L4" t="s">
        <v>22</v>
      </c>
      <c r="M4" s="49" t="s">
        <v>152</v>
      </c>
      <c r="N4" s="50" t="s">
        <v>153</v>
      </c>
      <c r="O4" s="51" t="s">
        <v>350</v>
      </c>
      <c r="P4" s="52" t="s">
        <v>155</v>
      </c>
      <c r="Q4" s="51" t="s">
        <v>156</v>
      </c>
      <c r="R4" s="97" t="s">
        <v>157</v>
      </c>
      <c r="S4" s="93"/>
      <c r="T4" t="s">
        <v>141</v>
      </c>
      <c r="U4" t="s">
        <v>22</v>
      </c>
      <c r="V4" s="49" t="s">
        <v>152</v>
      </c>
      <c r="W4" s="50" t="s">
        <v>153</v>
      </c>
      <c r="X4" s="51" t="s">
        <v>350</v>
      </c>
      <c r="Y4" s="52" t="s">
        <v>155</v>
      </c>
      <c r="Z4" s="51" t="s">
        <v>156</v>
      </c>
      <c r="AA4" s="97" t="s">
        <v>157</v>
      </c>
    </row>
    <row r="5" spans="2:27" x14ac:dyDescent="0.35">
      <c r="B5" t="s">
        <v>272</v>
      </c>
      <c r="C5" t="s">
        <v>29</v>
      </c>
      <c r="D5" s="54" t="s">
        <v>158</v>
      </c>
      <c r="E5" s="55" t="s">
        <v>159</v>
      </c>
      <c r="F5" s="153">
        <f>IF('Fiscal Year Breakdown'!G37="N",SUMIF(AventriAttendance[[Event ]],Aventri_2023IC[[#This Row],[Event]],AventriAttendance[[Expected Attendance ]]),SUMIF(AttendanceCount[[Event ]],Aventri_2023IC[[#This Row],[Event]],AttendanceCount[[Expected Attendance ]]))</f>
        <v>20000</v>
      </c>
      <c r="G5" s="57">
        <v>79100</v>
      </c>
      <c r="H5" s="57">
        <f>G5</f>
        <v>79100</v>
      </c>
      <c r="I5" s="159" t="s">
        <v>160</v>
      </c>
      <c r="K5" t="s">
        <v>273</v>
      </c>
      <c r="L5" t="s">
        <v>381</v>
      </c>
      <c r="M5" s="54" t="s">
        <v>158</v>
      </c>
      <c r="N5" s="55" t="s">
        <v>159</v>
      </c>
      <c r="O5" s="153">
        <f>IF('Fiscal Year Breakdown'!G37="N",SUMIF(CompuSystemAttendance[[Event ]],CompuSystems_2024IC[[#This Row],[Event]],CompuSystemAttendance[[Expected Attendance ]]),SUMIF(AttendanceCount[[Event ]],CompuSystems_2024IC[[#This Row],[Event]],AttendanceCount[[Expected Attendance ]]))</f>
        <v>20000</v>
      </c>
      <c r="P5" s="57">
        <v>0</v>
      </c>
      <c r="Q5" s="57">
        <f>O5*P5</f>
        <v>0</v>
      </c>
      <c r="R5" s="159"/>
      <c r="T5" t="s">
        <v>273</v>
      </c>
      <c r="U5" t="s">
        <v>390</v>
      </c>
      <c r="V5" s="54" t="s">
        <v>158</v>
      </c>
      <c r="W5" s="55" t="s">
        <v>159</v>
      </c>
      <c r="X5" s="153">
        <f>IF('Fiscal Year Breakdown'!G37="N",SUMIF(MCIAttendance[[Event ]],MCI_2024IC[[#This Row],[Event]],MCIAttendance[[Expected Attendance ]]),SUMIF(AttendanceCount[[Event ]],MCI_2024IC[[#This Row],[Event]],AttendanceCount[[Expected Attendance ]]))</f>
        <v>20000</v>
      </c>
      <c r="Y5" s="57">
        <v>3</v>
      </c>
      <c r="Z5" s="57">
        <f>X5*Y5</f>
        <v>60000</v>
      </c>
      <c r="AA5" s="159" t="s">
        <v>219</v>
      </c>
    </row>
    <row r="6" spans="2:27" x14ac:dyDescent="0.35">
      <c r="B6" t="s">
        <v>272</v>
      </c>
      <c r="C6" t="s">
        <v>29</v>
      </c>
      <c r="D6" s="54" t="s">
        <v>158</v>
      </c>
      <c r="E6" s="55" t="s">
        <v>161</v>
      </c>
      <c r="F6" s="153">
        <v>1</v>
      </c>
      <c r="G6" s="57" t="s">
        <v>162</v>
      </c>
      <c r="H6" s="57">
        <v>0</v>
      </c>
      <c r="I6" s="159" t="s">
        <v>163</v>
      </c>
      <c r="K6" t="s">
        <v>273</v>
      </c>
      <c r="L6" t="s">
        <v>381</v>
      </c>
      <c r="M6" s="54" t="s">
        <v>158</v>
      </c>
      <c r="N6" s="55" t="s">
        <v>161</v>
      </c>
      <c r="O6" s="153">
        <v>0</v>
      </c>
      <c r="P6" s="57">
        <v>140</v>
      </c>
      <c r="Q6" s="57">
        <f>O6*P6</f>
        <v>0</v>
      </c>
      <c r="R6" s="159" t="s">
        <v>208</v>
      </c>
      <c r="T6" t="s">
        <v>273</v>
      </c>
      <c r="U6" t="s">
        <v>390</v>
      </c>
      <c r="V6" s="54" t="s">
        <v>158</v>
      </c>
      <c r="W6" s="55" t="s">
        <v>161</v>
      </c>
      <c r="X6" s="153">
        <v>1</v>
      </c>
      <c r="Y6" s="57"/>
      <c r="Z6" s="57">
        <f>X6*Y6</f>
        <v>0</v>
      </c>
      <c r="AA6" s="159"/>
    </row>
    <row r="7" spans="2:27" x14ac:dyDescent="0.35">
      <c r="B7" t="s">
        <v>272</v>
      </c>
      <c r="C7" t="s">
        <v>29</v>
      </c>
      <c r="D7" s="54" t="s">
        <v>158</v>
      </c>
      <c r="E7" s="55" t="s">
        <v>164</v>
      </c>
      <c r="F7" s="153">
        <v>1</v>
      </c>
      <c r="G7" s="57">
        <v>0</v>
      </c>
      <c r="H7" s="57">
        <f>F7*G7</f>
        <v>0</v>
      </c>
      <c r="I7" s="159" t="s">
        <v>165</v>
      </c>
      <c r="K7" t="s">
        <v>273</v>
      </c>
      <c r="L7" t="s">
        <v>381</v>
      </c>
      <c r="M7" s="54" t="s">
        <v>158</v>
      </c>
      <c r="N7" s="55" t="s">
        <v>164</v>
      </c>
      <c r="O7" s="153">
        <v>1</v>
      </c>
      <c r="P7" s="57">
        <v>0</v>
      </c>
      <c r="Q7" s="57">
        <f>O7*P7</f>
        <v>0</v>
      </c>
      <c r="R7" s="159"/>
      <c r="T7" t="s">
        <v>273</v>
      </c>
      <c r="U7" t="s">
        <v>390</v>
      </c>
      <c r="V7" s="54" t="s">
        <v>158</v>
      </c>
      <c r="W7" s="55" t="s">
        <v>164</v>
      </c>
      <c r="X7" s="153">
        <v>1</v>
      </c>
      <c r="Y7" s="57">
        <v>3750</v>
      </c>
      <c r="Z7" s="57">
        <f>X7*Y7</f>
        <v>3750</v>
      </c>
      <c r="AA7" s="159"/>
    </row>
    <row r="8" spans="2:27" x14ac:dyDescent="0.35">
      <c r="B8" t="s">
        <v>272</v>
      </c>
      <c r="C8" t="s">
        <v>29</v>
      </c>
      <c r="D8" s="54" t="s">
        <v>158</v>
      </c>
      <c r="E8" s="55" t="s">
        <v>166</v>
      </c>
      <c r="F8" s="153">
        <v>6</v>
      </c>
      <c r="G8" s="57">
        <v>0</v>
      </c>
      <c r="H8" s="57">
        <f>F8*G8</f>
        <v>0</v>
      </c>
      <c r="I8" s="159" t="s">
        <v>167</v>
      </c>
      <c r="K8" t="s">
        <v>273</v>
      </c>
      <c r="L8" t="s">
        <v>381</v>
      </c>
      <c r="M8" s="54" t="s">
        <v>158</v>
      </c>
      <c r="N8" s="55" t="s">
        <v>166</v>
      </c>
      <c r="O8" s="153">
        <v>6</v>
      </c>
      <c r="P8" s="57">
        <v>0</v>
      </c>
      <c r="Q8" s="57">
        <f>O8*P8</f>
        <v>0</v>
      </c>
      <c r="R8" s="159" t="s">
        <v>209</v>
      </c>
      <c r="T8" t="s">
        <v>273</v>
      </c>
      <c r="U8" t="s">
        <v>390</v>
      </c>
      <c r="V8" s="54" t="s">
        <v>158</v>
      </c>
      <c r="W8" s="55" t="s">
        <v>166</v>
      </c>
      <c r="X8" s="153">
        <v>6</v>
      </c>
      <c r="Y8" s="57">
        <v>1000</v>
      </c>
      <c r="Z8" s="57">
        <f>X8*Y8</f>
        <v>6000</v>
      </c>
      <c r="AA8" s="159"/>
    </row>
    <row r="9" spans="2:27" x14ac:dyDescent="0.35">
      <c r="B9" t="s">
        <v>272</v>
      </c>
      <c r="C9" t="s">
        <v>29</v>
      </c>
      <c r="D9" s="54" t="s">
        <v>158</v>
      </c>
      <c r="E9" s="55" t="s">
        <v>168</v>
      </c>
      <c r="F9" s="153">
        <v>1</v>
      </c>
      <c r="G9" s="57">
        <v>20000</v>
      </c>
      <c r="H9" s="57">
        <v>20000</v>
      </c>
      <c r="I9" s="159"/>
      <c r="K9" t="s">
        <v>273</v>
      </c>
      <c r="L9" t="s">
        <v>381</v>
      </c>
      <c r="M9" s="54" t="s">
        <v>158</v>
      </c>
      <c r="N9" s="55" t="s">
        <v>175</v>
      </c>
      <c r="O9" s="153"/>
      <c r="P9" s="57"/>
      <c r="Q9" s="57">
        <f>O9*P9</f>
        <v>0</v>
      </c>
      <c r="R9" s="159"/>
      <c r="T9" t="s">
        <v>273</v>
      </c>
      <c r="U9" t="s">
        <v>390</v>
      </c>
      <c r="V9" s="54" t="s">
        <v>158</v>
      </c>
      <c r="W9" s="55" t="s">
        <v>175</v>
      </c>
      <c r="X9" s="153"/>
      <c r="Y9" s="57"/>
      <c r="Z9" s="57">
        <f>X9*Y9</f>
        <v>0</v>
      </c>
      <c r="AA9" s="159"/>
    </row>
    <row r="10" spans="2:27" x14ac:dyDescent="0.35">
      <c r="B10" t="s">
        <v>272</v>
      </c>
      <c r="C10" t="s">
        <v>29</v>
      </c>
      <c r="D10" s="54" t="s">
        <v>169</v>
      </c>
      <c r="E10" s="55" t="s">
        <v>170</v>
      </c>
      <c r="F10" s="56">
        <v>35</v>
      </c>
      <c r="G10" s="57">
        <v>350</v>
      </c>
      <c r="H10" s="57">
        <f t="shared" ref="H10:H15" si="0">F10*G10</f>
        <v>12250</v>
      </c>
      <c r="I10" s="159"/>
      <c r="K10" t="s">
        <v>273</v>
      </c>
      <c r="L10" t="s">
        <v>381</v>
      </c>
      <c r="M10" s="54" t="s">
        <v>169</v>
      </c>
      <c r="N10" s="55" t="s">
        <v>170</v>
      </c>
      <c r="O10" s="56">
        <v>35</v>
      </c>
      <c r="P10" s="57">
        <v>150</v>
      </c>
      <c r="Q10" s="57">
        <f t="shared" ref="Q10:Q15" si="1">O10*P10</f>
        <v>5250</v>
      </c>
      <c r="R10" s="159"/>
      <c r="T10" t="s">
        <v>273</v>
      </c>
      <c r="U10" t="s">
        <v>390</v>
      </c>
      <c r="V10" s="54" t="s">
        <v>169</v>
      </c>
      <c r="W10" s="55" t="s">
        <v>170</v>
      </c>
      <c r="X10" s="56">
        <v>50</v>
      </c>
      <c r="Y10" s="57">
        <v>300</v>
      </c>
      <c r="Z10" s="57">
        <f t="shared" ref="Z10:Z15" si="2">X10*Y10</f>
        <v>15000</v>
      </c>
      <c r="AA10" s="159" t="s">
        <v>233</v>
      </c>
    </row>
    <row r="11" spans="2:27" x14ac:dyDescent="0.35">
      <c r="B11" t="s">
        <v>272</v>
      </c>
      <c r="C11" t="s">
        <v>29</v>
      </c>
      <c r="D11" s="54" t="s">
        <v>169</v>
      </c>
      <c r="E11" s="55" t="s">
        <v>171</v>
      </c>
      <c r="F11" s="56">
        <v>70</v>
      </c>
      <c r="G11" s="57">
        <v>75</v>
      </c>
      <c r="H11" s="57">
        <f t="shared" si="0"/>
        <v>5250</v>
      </c>
      <c r="I11" s="159"/>
      <c r="K11" t="s">
        <v>273</v>
      </c>
      <c r="L11" t="s">
        <v>381</v>
      </c>
      <c r="M11" s="54" t="s">
        <v>169</v>
      </c>
      <c r="N11" s="55" t="s">
        <v>171</v>
      </c>
      <c r="O11" s="56">
        <v>70</v>
      </c>
      <c r="P11" s="57">
        <v>150</v>
      </c>
      <c r="Q11" s="57">
        <f t="shared" si="1"/>
        <v>10500</v>
      </c>
      <c r="R11" s="159"/>
      <c r="T11" t="s">
        <v>273</v>
      </c>
      <c r="U11" t="s">
        <v>390</v>
      </c>
      <c r="V11" s="54" t="s">
        <v>169</v>
      </c>
      <c r="W11" s="55" t="s">
        <v>171</v>
      </c>
      <c r="X11" s="56">
        <v>90</v>
      </c>
      <c r="Y11" s="57">
        <v>100</v>
      </c>
      <c r="Z11" s="57">
        <f t="shared" si="2"/>
        <v>9000</v>
      </c>
      <c r="AA11" s="159" t="s">
        <v>234</v>
      </c>
    </row>
    <row r="12" spans="2:27" x14ac:dyDescent="0.35">
      <c r="B12" t="s">
        <v>272</v>
      </c>
      <c r="C12" t="s">
        <v>29</v>
      </c>
      <c r="D12" s="54" t="s">
        <v>169</v>
      </c>
      <c r="E12" s="55" t="s">
        <v>172</v>
      </c>
      <c r="F12" s="56">
        <v>1</v>
      </c>
      <c r="G12" s="57"/>
      <c r="H12" s="57">
        <f t="shared" si="0"/>
        <v>0</v>
      </c>
      <c r="I12" s="159" t="s">
        <v>173</v>
      </c>
      <c r="K12" t="s">
        <v>273</v>
      </c>
      <c r="L12" t="s">
        <v>381</v>
      </c>
      <c r="M12" s="54" t="s">
        <v>169</v>
      </c>
      <c r="N12" s="55" t="s">
        <v>172</v>
      </c>
      <c r="O12" s="56">
        <v>1</v>
      </c>
      <c r="P12" s="57">
        <v>0</v>
      </c>
      <c r="Q12" s="57">
        <f t="shared" si="1"/>
        <v>0</v>
      </c>
      <c r="R12" s="159"/>
      <c r="T12" t="s">
        <v>273</v>
      </c>
      <c r="U12" t="s">
        <v>390</v>
      </c>
      <c r="V12" s="54" t="s">
        <v>169</v>
      </c>
      <c r="W12" s="55" t="s">
        <v>172</v>
      </c>
      <c r="X12" s="56">
        <v>1</v>
      </c>
      <c r="Y12" s="57"/>
      <c r="Z12" s="57">
        <f t="shared" si="2"/>
        <v>0</v>
      </c>
      <c r="AA12" s="159" t="s">
        <v>222</v>
      </c>
    </row>
    <row r="13" spans="2:27" x14ac:dyDescent="0.35">
      <c r="B13" t="s">
        <v>272</v>
      </c>
      <c r="C13" t="s">
        <v>29</v>
      </c>
      <c r="D13" s="54" t="s">
        <v>169</v>
      </c>
      <c r="E13" s="55" t="s">
        <v>174</v>
      </c>
      <c r="F13" s="56">
        <v>100</v>
      </c>
      <c r="G13" s="57">
        <v>100</v>
      </c>
      <c r="H13" s="57">
        <f t="shared" si="0"/>
        <v>10000</v>
      </c>
      <c r="I13" s="159"/>
      <c r="K13" t="s">
        <v>273</v>
      </c>
      <c r="L13" t="s">
        <v>381</v>
      </c>
      <c r="M13" s="54" t="s">
        <v>169</v>
      </c>
      <c r="N13" s="55" t="s">
        <v>174</v>
      </c>
      <c r="O13" s="56">
        <v>100</v>
      </c>
      <c r="P13" s="57">
        <v>100</v>
      </c>
      <c r="Q13" s="57">
        <f t="shared" si="1"/>
        <v>10000</v>
      </c>
      <c r="R13" s="159"/>
      <c r="T13" t="s">
        <v>273</v>
      </c>
      <c r="U13" t="s">
        <v>390</v>
      </c>
      <c r="V13" s="54" t="s">
        <v>169</v>
      </c>
      <c r="W13" s="55" t="s">
        <v>174</v>
      </c>
      <c r="X13" s="56">
        <v>110</v>
      </c>
      <c r="Y13" s="57">
        <v>100</v>
      </c>
      <c r="Z13" s="57">
        <f t="shared" si="2"/>
        <v>11000</v>
      </c>
      <c r="AA13" s="159" t="s">
        <v>235</v>
      </c>
    </row>
    <row r="14" spans="2:27" x14ac:dyDescent="0.35">
      <c r="B14" t="s">
        <v>272</v>
      </c>
      <c r="C14" t="s">
        <v>29</v>
      </c>
      <c r="D14" s="54" t="s">
        <v>169</v>
      </c>
      <c r="E14" s="55" t="s">
        <v>175</v>
      </c>
      <c r="F14" s="56"/>
      <c r="G14" s="57"/>
      <c r="H14" s="57">
        <f t="shared" si="0"/>
        <v>0</v>
      </c>
      <c r="I14" s="159"/>
      <c r="K14" t="s">
        <v>273</v>
      </c>
      <c r="L14" t="s">
        <v>381</v>
      </c>
      <c r="M14" s="54" t="s">
        <v>169</v>
      </c>
      <c r="N14" s="55" t="s">
        <v>181</v>
      </c>
      <c r="O14" s="56">
        <v>10</v>
      </c>
      <c r="P14" s="57">
        <v>1000</v>
      </c>
      <c r="Q14" s="57">
        <f t="shared" si="1"/>
        <v>10000</v>
      </c>
      <c r="R14" s="159"/>
      <c r="T14" t="s">
        <v>273</v>
      </c>
      <c r="U14" t="s">
        <v>390</v>
      </c>
      <c r="V14" s="54" t="s">
        <v>169</v>
      </c>
      <c r="W14" s="55" t="s">
        <v>175</v>
      </c>
      <c r="X14" s="56"/>
      <c r="Y14" s="57"/>
      <c r="Z14" s="57">
        <f t="shared" si="2"/>
        <v>0</v>
      </c>
      <c r="AA14" s="159"/>
    </row>
    <row r="15" spans="2:27" x14ac:dyDescent="0.35">
      <c r="B15" t="s">
        <v>272</v>
      </c>
      <c r="C15" t="s">
        <v>29</v>
      </c>
      <c r="D15" s="54" t="s">
        <v>169</v>
      </c>
      <c r="E15" s="55" t="s">
        <v>175</v>
      </c>
      <c r="F15" s="56"/>
      <c r="G15" s="57"/>
      <c r="H15" s="57">
        <f t="shared" si="0"/>
        <v>0</v>
      </c>
      <c r="I15" s="159"/>
      <c r="K15" t="s">
        <v>273</v>
      </c>
      <c r="L15" t="s">
        <v>381</v>
      </c>
      <c r="M15" s="54" t="s">
        <v>169</v>
      </c>
      <c r="N15" s="55" t="s">
        <v>322</v>
      </c>
      <c r="O15" s="56">
        <v>70</v>
      </c>
      <c r="P15" s="57">
        <v>10</v>
      </c>
      <c r="Q15" s="57">
        <f t="shared" si="1"/>
        <v>700</v>
      </c>
      <c r="R15" s="159"/>
      <c r="T15" t="s">
        <v>273</v>
      </c>
      <c r="U15" t="s">
        <v>390</v>
      </c>
      <c r="V15" s="54" t="s">
        <v>169</v>
      </c>
      <c r="W15" s="55" t="s">
        <v>175</v>
      </c>
      <c r="X15" s="56"/>
      <c r="Y15" s="57"/>
      <c r="Z15" s="57">
        <f t="shared" si="2"/>
        <v>0</v>
      </c>
      <c r="AA15" s="159"/>
    </row>
    <row r="16" spans="2:27" x14ac:dyDescent="0.35">
      <c r="B16" t="s">
        <v>272</v>
      </c>
      <c r="C16" t="s">
        <v>29</v>
      </c>
      <c r="D16" s="54" t="s">
        <v>176</v>
      </c>
      <c r="E16" s="55" t="s">
        <v>320</v>
      </c>
      <c r="F16" s="56">
        <v>1</v>
      </c>
      <c r="G16" s="57">
        <v>75</v>
      </c>
      <c r="H16" s="57">
        <f t="shared" ref="H16:H39" si="3">F16*G16</f>
        <v>75</v>
      </c>
      <c r="I16" s="159"/>
      <c r="K16" t="s">
        <v>273</v>
      </c>
      <c r="L16" t="s">
        <v>381</v>
      </c>
      <c r="M16" s="54" t="s">
        <v>176</v>
      </c>
      <c r="N16" s="55" t="s">
        <v>320</v>
      </c>
      <c r="O16" s="56">
        <v>1</v>
      </c>
      <c r="P16" s="57">
        <v>0</v>
      </c>
      <c r="Q16" s="57">
        <f t="shared" ref="Q16:Q41" si="4">O16*P16</f>
        <v>0</v>
      </c>
      <c r="R16" s="159"/>
      <c r="T16" t="s">
        <v>273</v>
      </c>
      <c r="U16" t="s">
        <v>390</v>
      </c>
      <c r="V16" s="54" t="s">
        <v>176</v>
      </c>
      <c r="W16" s="55" t="s">
        <v>320</v>
      </c>
      <c r="X16" s="56">
        <v>1</v>
      </c>
      <c r="Y16" s="57"/>
      <c r="Z16" s="57">
        <f>X16*Y16</f>
        <v>0</v>
      </c>
      <c r="AA16" s="159" t="s">
        <v>224</v>
      </c>
    </row>
    <row r="17" spans="2:27" x14ac:dyDescent="0.35">
      <c r="B17" t="s">
        <v>272</v>
      </c>
      <c r="C17" t="s">
        <v>29</v>
      </c>
      <c r="D17" s="54" t="s">
        <v>176</v>
      </c>
      <c r="E17" s="55" t="s">
        <v>321</v>
      </c>
      <c r="F17" s="56">
        <v>1</v>
      </c>
      <c r="G17" s="57">
        <v>100</v>
      </c>
      <c r="H17" s="57">
        <f t="shared" si="3"/>
        <v>100</v>
      </c>
      <c r="I17" s="159"/>
      <c r="K17" t="s">
        <v>273</v>
      </c>
      <c r="L17" t="s">
        <v>381</v>
      </c>
      <c r="M17" s="54" t="s">
        <v>176</v>
      </c>
      <c r="N17" s="55" t="s">
        <v>321</v>
      </c>
      <c r="O17" s="56">
        <v>1</v>
      </c>
      <c r="P17" s="57">
        <v>0</v>
      </c>
      <c r="Q17" s="57">
        <f t="shared" si="4"/>
        <v>0</v>
      </c>
      <c r="R17" s="159"/>
      <c r="T17" t="s">
        <v>273</v>
      </c>
      <c r="U17" t="s">
        <v>390</v>
      </c>
      <c r="V17" s="54" t="s">
        <v>176</v>
      </c>
      <c r="W17" s="55" t="s">
        <v>321</v>
      </c>
      <c r="X17" s="56">
        <v>1</v>
      </c>
      <c r="Y17" s="57"/>
      <c r="Z17" s="57">
        <f>X17*Y17</f>
        <v>0</v>
      </c>
      <c r="AA17" s="159" t="s">
        <v>224</v>
      </c>
    </row>
    <row r="18" spans="2:27" x14ac:dyDescent="0.35">
      <c r="B18" t="s">
        <v>272</v>
      </c>
      <c r="C18" t="s">
        <v>29</v>
      </c>
      <c r="D18" s="54" t="s">
        <v>176</v>
      </c>
      <c r="E18" s="55" t="s">
        <v>177</v>
      </c>
      <c r="F18" s="56">
        <v>1</v>
      </c>
      <c r="G18" s="57">
        <v>250</v>
      </c>
      <c r="H18" s="57">
        <f t="shared" si="3"/>
        <v>250</v>
      </c>
      <c r="I18" s="159" t="s">
        <v>178</v>
      </c>
      <c r="K18" t="s">
        <v>273</v>
      </c>
      <c r="L18" t="s">
        <v>381</v>
      </c>
      <c r="M18" s="54" t="s">
        <v>176</v>
      </c>
      <c r="N18" s="55" t="s">
        <v>177</v>
      </c>
      <c r="O18" s="56">
        <v>1</v>
      </c>
      <c r="P18" s="57">
        <v>0</v>
      </c>
      <c r="Q18" s="57">
        <f t="shared" si="4"/>
        <v>0</v>
      </c>
      <c r="R18" s="159"/>
      <c r="T18" t="s">
        <v>273</v>
      </c>
      <c r="U18" t="s">
        <v>390</v>
      </c>
      <c r="V18" s="54" t="s">
        <v>176</v>
      </c>
      <c r="W18" s="55" t="s">
        <v>177</v>
      </c>
      <c r="X18" s="56">
        <v>1</v>
      </c>
      <c r="Y18" s="57"/>
      <c r="Z18" s="57">
        <f>X18*Y18</f>
        <v>0</v>
      </c>
      <c r="AA18" s="159" t="s">
        <v>225</v>
      </c>
    </row>
    <row r="19" spans="2:27" x14ac:dyDescent="0.35">
      <c r="B19" t="s">
        <v>272</v>
      </c>
      <c r="C19" t="s">
        <v>29</v>
      </c>
      <c r="D19" s="54" t="s">
        <v>176</v>
      </c>
      <c r="E19" s="55" t="s">
        <v>179</v>
      </c>
      <c r="F19" s="55"/>
      <c r="G19" s="57">
        <v>100</v>
      </c>
      <c r="H19" s="57">
        <f t="shared" si="3"/>
        <v>0</v>
      </c>
      <c r="I19" s="159" t="s">
        <v>180</v>
      </c>
      <c r="K19" t="s">
        <v>273</v>
      </c>
      <c r="L19" t="s">
        <v>381</v>
      </c>
      <c r="M19" s="54" t="s">
        <v>176</v>
      </c>
      <c r="N19" s="55" t="s">
        <v>175</v>
      </c>
      <c r="O19" s="56"/>
      <c r="P19" s="57"/>
      <c r="Q19" s="57">
        <f t="shared" si="4"/>
        <v>0</v>
      </c>
      <c r="R19" s="159"/>
      <c r="T19" t="s">
        <v>273</v>
      </c>
      <c r="U19" t="s">
        <v>390</v>
      </c>
      <c r="V19" s="54" t="s">
        <v>176</v>
      </c>
      <c r="W19" s="55" t="s">
        <v>175</v>
      </c>
      <c r="X19" s="56"/>
      <c r="Y19" s="57"/>
      <c r="Z19" s="57">
        <f>X19*Y19</f>
        <v>0</v>
      </c>
      <c r="AA19" s="159"/>
    </row>
    <row r="20" spans="2:27" x14ac:dyDescent="0.35">
      <c r="B20" t="s">
        <v>272</v>
      </c>
      <c r="C20" t="s">
        <v>29</v>
      </c>
      <c r="D20" s="54" t="s">
        <v>176</v>
      </c>
      <c r="E20" s="55" t="s">
        <v>181</v>
      </c>
      <c r="F20" s="55"/>
      <c r="G20" s="57">
        <v>475</v>
      </c>
      <c r="H20" s="57">
        <f t="shared" si="3"/>
        <v>0</v>
      </c>
      <c r="I20" s="159" t="s">
        <v>180</v>
      </c>
      <c r="K20" t="s">
        <v>273</v>
      </c>
      <c r="L20" t="s">
        <v>381</v>
      </c>
      <c r="M20" s="54" t="s">
        <v>176</v>
      </c>
      <c r="N20" s="55" t="s">
        <v>175</v>
      </c>
      <c r="O20" s="56"/>
      <c r="P20" s="57"/>
      <c r="Q20" s="57">
        <f t="shared" si="4"/>
        <v>0</v>
      </c>
      <c r="R20" s="159"/>
      <c r="T20" t="s">
        <v>273</v>
      </c>
      <c r="U20" t="s">
        <v>390</v>
      </c>
      <c r="V20" s="54" t="s">
        <v>176</v>
      </c>
      <c r="W20" s="55" t="s">
        <v>175</v>
      </c>
      <c r="X20" s="56"/>
      <c r="Y20" s="57"/>
      <c r="Z20" s="57">
        <f>X20*Y20</f>
        <v>0</v>
      </c>
      <c r="AA20" s="159"/>
    </row>
    <row r="21" spans="2:27" x14ac:dyDescent="0.35">
      <c r="B21" t="s">
        <v>272</v>
      </c>
      <c r="C21" t="s">
        <v>29</v>
      </c>
      <c r="D21" s="54" t="s">
        <v>182</v>
      </c>
      <c r="E21" s="55" t="s">
        <v>183</v>
      </c>
      <c r="F21" s="56">
        <f>F5</f>
        <v>20000</v>
      </c>
      <c r="G21" s="57">
        <v>0.85</v>
      </c>
      <c r="H21" s="57">
        <f t="shared" si="3"/>
        <v>17000</v>
      </c>
      <c r="I21" s="176" t="s">
        <v>184</v>
      </c>
      <c r="K21" t="s">
        <v>273</v>
      </c>
      <c r="L21" t="s">
        <v>381</v>
      </c>
      <c r="M21" s="54" t="s">
        <v>182</v>
      </c>
      <c r="N21" s="55" t="s">
        <v>183</v>
      </c>
      <c r="O21" s="56">
        <f>O5</f>
        <v>20000</v>
      </c>
      <c r="P21" s="57">
        <v>0.186</v>
      </c>
      <c r="Q21" s="57">
        <f t="shared" si="4"/>
        <v>3720</v>
      </c>
      <c r="R21" s="159"/>
      <c r="T21" t="s">
        <v>273</v>
      </c>
      <c r="U21" t="s">
        <v>390</v>
      </c>
      <c r="V21" s="54" t="s">
        <v>182</v>
      </c>
      <c r="W21" s="55" t="s">
        <v>226</v>
      </c>
      <c r="X21" s="56">
        <v>50000</v>
      </c>
      <c r="Y21" s="57">
        <v>0.08</v>
      </c>
      <c r="Z21" s="57">
        <v>4000</v>
      </c>
      <c r="AA21" s="159" t="s">
        <v>227</v>
      </c>
    </row>
    <row r="22" spans="2:27" x14ac:dyDescent="0.35">
      <c r="B22" t="s">
        <v>272</v>
      </c>
      <c r="C22" t="s">
        <v>29</v>
      </c>
      <c r="D22" s="54" t="s">
        <v>182</v>
      </c>
      <c r="E22" s="174" t="s">
        <v>175</v>
      </c>
      <c r="F22" s="56"/>
      <c r="G22" s="57"/>
      <c r="H22" s="57">
        <f t="shared" si="3"/>
        <v>0</v>
      </c>
      <c r="I22" s="159"/>
      <c r="K22" t="s">
        <v>273</v>
      </c>
      <c r="L22" t="s">
        <v>381</v>
      </c>
      <c r="M22" s="54" t="s">
        <v>182</v>
      </c>
      <c r="N22" s="174" t="s">
        <v>175</v>
      </c>
      <c r="O22" s="56"/>
      <c r="P22" s="57"/>
      <c r="Q22" s="57">
        <f t="shared" si="4"/>
        <v>0</v>
      </c>
      <c r="R22" s="159"/>
      <c r="T22" t="s">
        <v>273</v>
      </c>
      <c r="U22" t="s">
        <v>390</v>
      </c>
      <c r="V22" s="54" t="s">
        <v>182</v>
      </c>
      <c r="W22" s="174" t="s">
        <v>228</v>
      </c>
      <c r="X22" s="56">
        <v>50000</v>
      </c>
      <c r="Y22" s="57"/>
      <c r="Z22" s="57">
        <v>9000</v>
      </c>
      <c r="AA22" s="159" t="s">
        <v>229</v>
      </c>
    </row>
    <row r="23" spans="2:27" x14ac:dyDescent="0.35">
      <c r="B23" t="s">
        <v>272</v>
      </c>
      <c r="C23" t="s">
        <v>29</v>
      </c>
      <c r="D23" s="54" t="s">
        <v>182</v>
      </c>
      <c r="E23" s="55" t="s">
        <v>175</v>
      </c>
      <c r="F23" s="56"/>
      <c r="G23" s="57"/>
      <c r="H23" s="57">
        <f t="shared" si="3"/>
        <v>0</v>
      </c>
      <c r="I23" s="159"/>
      <c r="K23" t="s">
        <v>273</v>
      </c>
      <c r="L23" t="s">
        <v>381</v>
      </c>
      <c r="M23" s="54" t="s">
        <v>182</v>
      </c>
      <c r="N23" s="55" t="s">
        <v>175</v>
      </c>
      <c r="O23" s="56"/>
      <c r="P23" s="57"/>
      <c r="Q23" s="57">
        <f t="shared" si="4"/>
        <v>0</v>
      </c>
      <c r="R23" s="159"/>
      <c r="T23" t="s">
        <v>273</v>
      </c>
      <c r="U23" t="s">
        <v>390</v>
      </c>
      <c r="V23" s="54" t="s">
        <v>182</v>
      </c>
      <c r="W23" s="55" t="s">
        <v>175</v>
      </c>
      <c r="X23" s="56"/>
      <c r="Y23" s="57"/>
      <c r="Z23" s="57">
        <f t="shared" ref="Z23:Z39" si="5">X23*Y23</f>
        <v>0</v>
      </c>
      <c r="AA23" s="159"/>
    </row>
    <row r="24" spans="2:27" x14ac:dyDescent="0.35">
      <c r="B24" t="s">
        <v>272</v>
      </c>
      <c r="C24" t="s">
        <v>29</v>
      </c>
      <c r="D24" s="54" t="s">
        <v>182</v>
      </c>
      <c r="E24" s="55" t="s">
        <v>175</v>
      </c>
      <c r="F24" s="56"/>
      <c r="G24" s="57"/>
      <c r="H24" s="57">
        <f t="shared" si="3"/>
        <v>0</v>
      </c>
      <c r="I24" s="159"/>
      <c r="J24" s="91"/>
      <c r="K24" t="s">
        <v>273</v>
      </c>
      <c r="L24" t="s">
        <v>381</v>
      </c>
      <c r="M24" s="54" t="s">
        <v>182</v>
      </c>
      <c r="N24" s="55" t="s">
        <v>175</v>
      </c>
      <c r="O24" s="56"/>
      <c r="P24" s="57"/>
      <c r="Q24" s="57">
        <f t="shared" si="4"/>
        <v>0</v>
      </c>
      <c r="R24" s="159"/>
      <c r="T24" t="s">
        <v>273</v>
      </c>
      <c r="U24" t="s">
        <v>390</v>
      </c>
      <c r="V24" s="54" t="s">
        <v>182</v>
      </c>
      <c r="W24" s="55" t="s">
        <v>175</v>
      </c>
      <c r="X24" s="56"/>
      <c r="Y24" s="57"/>
      <c r="Z24" s="57">
        <f t="shared" si="5"/>
        <v>0</v>
      </c>
      <c r="AA24" s="159"/>
    </row>
    <row r="25" spans="2:27" x14ac:dyDescent="0.35">
      <c r="B25" t="s">
        <v>272</v>
      </c>
      <c r="C25" t="s">
        <v>29</v>
      </c>
      <c r="D25" s="54" t="s">
        <v>185</v>
      </c>
      <c r="E25" s="55" t="s">
        <v>186</v>
      </c>
      <c r="F25" s="56">
        <v>1</v>
      </c>
      <c r="G25" s="57">
        <v>350</v>
      </c>
      <c r="H25" s="57">
        <f t="shared" si="3"/>
        <v>350</v>
      </c>
      <c r="I25" s="159" t="s">
        <v>187</v>
      </c>
      <c r="K25" t="s">
        <v>273</v>
      </c>
      <c r="L25" t="s">
        <v>381</v>
      </c>
      <c r="M25" s="54" t="s">
        <v>185</v>
      </c>
      <c r="N25" s="55" t="s">
        <v>186</v>
      </c>
      <c r="O25" s="56">
        <v>1</v>
      </c>
      <c r="P25" s="57">
        <v>1500</v>
      </c>
      <c r="Q25" s="57">
        <f t="shared" si="4"/>
        <v>1500</v>
      </c>
      <c r="R25" s="159"/>
      <c r="T25" t="s">
        <v>273</v>
      </c>
      <c r="U25" t="s">
        <v>390</v>
      </c>
      <c r="V25" s="54" t="s">
        <v>185</v>
      </c>
      <c r="W25" s="55" t="s">
        <v>186</v>
      </c>
      <c r="X25" s="56">
        <v>1</v>
      </c>
      <c r="Y25" s="57"/>
      <c r="Z25" s="57">
        <f t="shared" si="5"/>
        <v>0</v>
      </c>
      <c r="AA25" s="159"/>
    </row>
    <row r="26" spans="2:27" x14ac:dyDescent="0.35">
      <c r="B26" t="s">
        <v>272</v>
      </c>
      <c r="C26" t="s">
        <v>29</v>
      </c>
      <c r="D26" s="54" t="s">
        <v>185</v>
      </c>
      <c r="E26" s="55" t="s">
        <v>188</v>
      </c>
      <c r="F26" s="56">
        <v>1</v>
      </c>
      <c r="G26" s="57">
        <v>0.87</v>
      </c>
      <c r="H26" s="57">
        <f t="shared" si="3"/>
        <v>0.87</v>
      </c>
      <c r="I26" s="176" t="s">
        <v>189</v>
      </c>
      <c r="K26" t="s">
        <v>273</v>
      </c>
      <c r="L26" t="s">
        <v>381</v>
      </c>
      <c r="M26" s="54" t="s">
        <v>185</v>
      </c>
      <c r="N26" s="55" t="s">
        <v>188</v>
      </c>
      <c r="O26" s="56">
        <v>1</v>
      </c>
      <c r="P26" s="57">
        <v>0</v>
      </c>
      <c r="Q26" s="57">
        <f t="shared" si="4"/>
        <v>0</v>
      </c>
      <c r="R26" s="176" t="s">
        <v>211</v>
      </c>
      <c r="T26" t="s">
        <v>273</v>
      </c>
      <c r="U26" t="s">
        <v>390</v>
      </c>
      <c r="V26" s="54" t="s">
        <v>185</v>
      </c>
      <c r="W26" s="55" t="s">
        <v>188</v>
      </c>
      <c r="X26" s="56">
        <v>1</v>
      </c>
      <c r="Y26" s="57"/>
      <c r="Z26" s="57">
        <f t="shared" si="5"/>
        <v>0</v>
      </c>
      <c r="AA26" s="176" t="s">
        <v>211</v>
      </c>
    </row>
    <row r="27" spans="2:27" x14ac:dyDescent="0.35">
      <c r="B27" t="s">
        <v>272</v>
      </c>
      <c r="C27" t="s">
        <v>29</v>
      </c>
      <c r="D27" s="54" t="s">
        <v>190</v>
      </c>
      <c r="E27" s="55" t="s">
        <v>191</v>
      </c>
      <c r="F27" s="56">
        <v>70</v>
      </c>
      <c r="G27" s="57">
        <v>330</v>
      </c>
      <c r="H27" s="57">
        <f t="shared" si="3"/>
        <v>23100</v>
      </c>
      <c r="I27" s="176" t="s">
        <v>192</v>
      </c>
      <c r="K27" t="s">
        <v>273</v>
      </c>
      <c r="L27" t="s">
        <v>381</v>
      </c>
      <c r="M27" s="54" t="s">
        <v>190</v>
      </c>
      <c r="N27" s="55" t="s">
        <v>191</v>
      </c>
      <c r="O27" s="56">
        <v>70</v>
      </c>
      <c r="P27" s="57">
        <v>500</v>
      </c>
      <c r="Q27" s="57">
        <f t="shared" si="4"/>
        <v>35000</v>
      </c>
      <c r="R27" s="176" t="s">
        <v>230</v>
      </c>
      <c r="T27" t="s">
        <v>273</v>
      </c>
      <c r="U27" t="s">
        <v>390</v>
      </c>
      <c r="V27" s="54" t="s">
        <v>190</v>
      </c>
      <c r="W27" s="55" t="s">
        <v>191</v>
      </c>
      <c r="X27" s="56">
        <v>80</v>
      </c>
      <c r="Y27" s="57">
        <v>300</v>
      </c>
      <c r="Z27" s="57">
        <f t="shared" si="5"/>
        <v>24000</v>
      </c>
      <c r="AA27" s="176" t="s">
        <v>230</v>
      </c>
    </row>
    <row r="28" spans="2:27" x14ac:dyDescent="0.35">
      <c r="B28" t="s">
        <v>272</v>
      </c>
      <c r="C28" t="s">
        <v>29</v>
      </c>
      <c r="D28" s="55" t="s">
        <v>190</v>
      </c>
      <c r="E28" s="55" t="s">
        <v>193</v>
      </c>
      <c r="F28" s="56">
        <v>3</v>
      </c>
      <c r="G28" s="57">
        <v>375</v>
      </c>
      <c r="H28" s="57">
        <f t="shared" si="3"/>
        <v>1125</v>
      </c>
      <c r="I28" s="176" t="s">
        <v>194</v>
      </c>
      <c r="K28" t="s">
        <v>273</v>
      </c>
      <c r="L28" t="s">
        <v>381</v>
      </c>
      <c r="M28" s="55" t="s">
        <v>190</v>
      </c>
      <c r="N28" s="55" t="s">
        <v>193</v>
      </c>
      <c r="O28" s="56">
        <v>3</v>
      </c>
      <c r="P28" s="57">
        <v>1250</v>
      </c>
      <c r="Q28" s="57">
        <f t="shared" si="4"/>
        <v>3750</v>
      </c>
      <c r="R28" s="159" t="s">
        <v>213</v>
      </c>
      <c r="T28" t="s">
        <v>273</v>
      </c>
      <c r="U28" t="s">
        <v>390</v>
      </c>
      <c r="V28" s="55" t="s">
        <v>190</v>
      </c>
      <c r="W28" s="55" t="s">
        <v>193</v>
      </c>
      <c r="X28" s="56">
        <v>3</v>
      </c>
      <c r="Y28" s="57">
        <v>375</v>
      </c>
      <c r="Z28" s="57">
        <f t="shared" si="5"/>
        <v>1125</v>
      </c>
      <c r="AA28" s="172" t="s">
        <v>231</v>
      </c>
    </row>
    <row r="29" spans="2:27" x14ac:dyDescent="0.35">
      <c r="B29" t="s">
        <v>272</v>
      </c>
      <c r="C29" t="s">
        <v>29</v>
      </c>
      <c r="D29" s="55" t="s">
        <v>190</v>
      </c>
      <c r="E29" s="55" t="s">
        <v>193</v>
      </c>
      <c r="F29" s="56">
        <v>3</v>
      </c>
      <c r="G29" s="57">
        <v>1400</v>
      </c>
      <c r="H29" s="57">
        <f t="shared" si="3"/>
        <v>4200</v>
      </c>
      <c r="I29" s="159"/>
      <c r="K29" t="s">
        <v>273</v>
      </c>
      <c r="L29" t="s">
        <v>381</v>
      </c>
      <c r="M29" s="55" t="s">
        <v>190</v>
      </c>
      <c r="N29" s="55" t="s">
        <v>193</v>
      </c>
      <c r="O29" s="56">
        <v>3</v>
      </c>
      <c r="P29" s="57">
        <v>1400</v>
      </c>
      <c r="Q29" s="57">
        <f t="shared" si="4"/>
        <v>4200</v>
      </c>
      <c r="R29" s="159"/>
      <c r="T29" t="s">
        <v>273</v>
      </c>
      <c r="U29" t="s">
        <v>390</v>
      </c>
      <c r="V29" s="55" t="s">
        <v>190</v>
      </c>
      <c r="W29" s="55" t="s">
        <v>193</v>
      </c>
      <c r="X29" s="56">
        <v>3</v>
      </c>
      <c r="Y29" s="57">
        <v>1400</v>
      </c>
      <c r="Z29" s="57">
        <f t="shared" si="5"/>
        <v>4200</v>
      </c>
      <c r="AA29" s="55"/>
    </row>
    <row r="30" spans="2:27" x14ac:dyDescent="0.35">
      <c r="B30" t="s">
        <v>272</v>
      </c>
      <c r="C30" t="s">
        <v>29</v>
      </c>
      <c r="D30" s="55" t="s">
        <v>190</v>
      </c>
      <c r="E30" s="55" t="s">
        <v>216</v>
      </c>
      <c r="F30">
        <v>3</v>
      </c>
      <c r="G30" s="175">
        <v>1440</v>
      </c>
      <c r="H30" s="57">
        <f t="shared" si="3"/>
        <v>4320</v>
      </c>
      <c r="I30" s="159"/>
      <c r="J30" s="91"/>
      <c r="K30" t="s">
        <v>273</v>
      </c>
      <c r="L30" t="s">
        <v>381</v>
      </c>
      <c r="M30" s="54" t="s">
        <v>190</v>
      </c>
      <c r="N30" s="55" t="s">
        <v>214</v>
      </c>
      <c r="O30">
        <v>3</v>
      </c>
      <c r="P30" s="57">
        <v>465</v>
      </c>
      <c r="Q30" s="57">
        <f t="shared" si="4"/>
        <v>1395</v>
      </c>
      <c r="R30" s="159"/>
      <c r="S30" s="91"/>
      <c r="T30" t="s">
        <v>273</v>
      </c>
      <c r="U30" t="s">
        <v>390</v>
      </c>
      <c r="V30" s="55" t="s">
        <v>190</v>
      </c>
      <c r="W30" s="55" t="s">
        <v>216</v>
      </c>
      <c r="X30">
        <v>3</v>
      </c>
      <c r="Y30" s="175">
        <v>1440</v>
      </c>
      <c r="Z30" s="57">
        <f t="shared" si="5"/>
        <v>4320</v>
      </c>
      <c r="AA30" s="159"/>
    </row>
    <row r="31" spans="2:27" x14ac:dyDescent="0.35">
      <c r="B31" t="s">
        <v>272</v>
      </c>
      <c r="C31" t="s">
        <v>29</v>
      </c>
      <c r="D31" s="54" t="s">
        <v>195</v>
      </c>
      <c r="E31" s="55" t="s">
        <v>196</v>
      </c>
      <c r="F31" s="56">
        <v>1</v>
      </c>
      <c r="G31" s="57">
        <v>3000</v>
      </c>
      <c r="H31" s="57">
        <f t="shared" si="3"/>
        <v>3000</v>
      </c>
      <c r="I31" s="176" t="s">
        <v>184</v>
      </c>
      <c r="K31" t="s">
        <v>273</v>
      </c>
      <c r="L31" t="s">
        <v>381</v>
      </c>
      <c r="M31" s="54" t="s">
        <v>190</v>
      </c>
      <c r="N31" s="55" t="s">
        <v>215</v>
      </c>
      <c r="O31">
        <v>3</v>
      </c>
      <c r="P31" s="57">
        <v>235</v>
      </c>
      <c r="Q31" s="57">
        <f t="shared" si="4"/>
        <v>705</v>
      </c>
      <c r="R31" s="159"/>
      <c r="T31" t="s">
        <v>273</v>
      </c>
      <c r="U31" t="s">
        <v>390</v>
      </c>
      <c r="V31" s="54" t="s">
        <v>195</v>
      </c>
      <c r="W31" s="55" t="s">
        <v>196</v>
      </c>
      <c r="X31" s="56">
        <v>1</v>
      </c>
      <c r="Y31" s="57">
        <v>3000</v>
      </c>
      <c r="Z31" s="57">
        <f t="shared" si="5"/>
        <v>3000</v>
      </c>
      <c r="AA31" s="159"/>
    </row>
    <row r="32" spans="2:27" x14ac:dyDescent="0.35">
      <c r="B32" t="s">
        <v>272</v>
      </c>
      <c r="C32" t="s">
        <v>29</v>
      </c>
      <c r="D32" s="54" t="s">
        <v>195</v>
      </c>
      <c r="E32" s="55" t="s">
        <v>197</v>
      </c>
      <c r="F32" s="56">
        <v>1</v>
      </c>
      <c r="G32" s="57"/>
      <c r="H32" s="57">
        <f t="shared" si="3"/>
        <v>0</v>
      </c>
      <c r="I32" s="159" t="s">
        <v>198</v>
      </c>
      <c r="J32" s="91"/>
      <c r="K32" t="s">
        <v>273</v>
      </c>
      <c r="L32" t="s">
        <v>381</v>
      </c>
      <c r="M32" s="54" t="s">
        <v>190</v>
      </c>
      <c r="N32" s="55" t="s">
        <v>216</v>
      </c>
      <c r="O32">
        <v>3</v>
      </c>
      <c r="P32" s="175">
        <v>1440</v>
      </c>
      <c r="Q32" s="57">
        <f t="shared" si="4"/>
        <v>4320</v>
      </c>
      <c r="R32" s="159" t="s">
        <v>217</v>
      </c>
      <c r="S32" s="91"/>
      <c r="T32" t="s">
        <v>273</v>
      </c>
      <c r="U32" t="s">
        <v>390</v>
      </c>
      <c r="V32" s="54" t="s">
        <v>195</v>
      </c>
      <c r="W32" s="55" t="s">
        <v>197</v>
      </c>
      <c r="X32" s="56">
        <v>1</v>
      </c>
      <c r="Y32" s="57">
        <v>3000</v>
      </c>
      <c r="Z32" s="57">
        <f t="shared" si="5"/>
        <v>3000</v>
      </c>
      <c r="AA32" s="159"/>
    </row>
    <row r="33" spans="2:27" x14ac:dyDescent="0.35">
      <c r="B33" t="s">
        <v>272</v>
      </c>
      <c r="C33" t="s">
        <v>29</v>
      </c>
      <c r="D33" s="54" t="s">
        <v>195</v>
      </c>
      <c r="E33" s="55" t="s">
        <v>199</v>
      </c>
      <c r="F33" s="55">
        <v>1</v>
      </c>
      <c r="G33" s="57">
        <v>3000</v>
      </c>
      <c r="H33" s="57">
        <f t="shared" si="3"/>
        <v>3000</v>
      </c>
      <c r="I33" s="176" t="s">
        <v>184</v>
      </c>
      <c r="J33" s="91"/>
      <c r="K33" t="s">
        <v>273</v>
      </c>
      <c r="L33" t="s">
        <v>381</v>
      </c>
      <c r="M33" s="54" t="s">
        <v>195</v>
      </c>
      <c r="N33" s="55" t="s">
        <v>196</v>
      </c>
      <c r="O33" s="56">
        <v>25</v>
      </c>
      <c r="P33" s="57">
        <v>140</v>
      </c>
      <c r="Q33" s="57">
        <f t="shared" si="4"/>
        <v>3500</v>
      </c>
      <c r="R33" s="159"/>
      <c r="T33" t="s">
        <v>273</v>
      </c>
      <c r="U33" t="s">
        <v>390</v>
      </c>
      <c r="V33" s="54" t="s">
        <v>195</v>
      </c>
      <c r="W33" s="55" t="s">
        <v>175</v>
      </c>
      <c r="X33" s="56"/>
      <c r="Y33" s="57"/>
      <c r="Z33" s="57">
        <f t="shared" si="5"/>
        <v>0</v>
      </c>
      <c r="AA33" s="159"/>
    </row>
    <row r="34" spans="2:27" x14ac:dyDescent="0.35">
      <c r="B34" t="s">
        <v>272</v>
      </c>
      <c r="C34" t="s">
        <v>29</v>
      </c>
      <c r="D34" s="54" t="s">
        <v>195</v>
      </c>
      <c r="E34" s="55" t="s">
        <v>246</v>
      </c>
      <c r="F34" s="56">
        <v>12</v>
      </c>
      <c r="G34" s="57">
        <v>250</v>
      </c>
      <c r="H34" s="57">
        <f t="shared" si="3"/>
        <v>3000</v>
      </c>
      <c r="I34" s="159"/>
      <c r="K34" t="s">
        <v>273</v>
      </c>
      <c r="L34" t="s">
        <v>381</v>
      </c>
      <c r="M34" s="54" t="s">
        <v>195</v>
      </c>
      <c r="N34" s="55" t="s">
        <v>197</v>
      </c>
      <c r="O34" s="56">
        <v>0</v>
      </c>
      <c r="P34" s="57">
        <v>140</v>
      </c>
      <c r="Q34" s="57">
        <f t="shared" si="4"/>
        <v>0</v>
      </c>
      <c r="R34" s="159"/>
      <c r="T34" t="s">
        <v>273</v>
      </c>
      <c r="U34" t="s">
        <v>390</v>
      </c>
      <c r="V34" s="54" t="s">
        <v>195</v>
      </c>
      <c r="W34" s="55" t="s">
        <v>175</v>
      </c>
      <c r="X34" s="56"/>
      <c r="Y34" s="57"/>
      <c r="Z34" s="57">
        <f t="shared" si="5"/>
        <v>0</v>
      </c>
      <c r="AA34" s="159"/>
    </row>
    <row r="35" spans="2:27" x14ac:dyDescent="0.35">
      <c r="B35" t="s">
        <v>272</v>
      </c>
      <c r="C35" t="s">
        <v>29</v>
      </c>
      <c r="D35" s="54" t="s">
        <v>201</v>
      </c>
      <c r="E35" s="55" t="s">
        <v>202</v>
      </c>
      <c r="F35" s="56">
        <v>1</v>
      </c>
      <c r="G35" s="57">
        <v>3400</v>
      </c>
      <c r="H35" s="57">
        <f t="shared" si="3"/>
        <v>3400</v>
      </c>
      <c r="I35" s="159" t="s">
        <v>203</v>
      </c>
      <c r="K35" t="s">
        <v>273</v>
      </c>
      <c r="L35" t="s">
        <v>381</v>
      </c>
      <c r="M35" s="54" t="s">
        <v>195</v>
      </c>
      <c r="N35" s="55" t="s">
        <v>199</v>
      </c>
      <c r="O35" s="56">
        <v>565</v>
      </c>
      <c r="P35" s="57">
        <v>50</v>
      </c>
      <c r="Q35" s="57">
        <f t="shared" si="4"/>
        <v>28250</v>
      </c>
      <c r="R35" s="159"/>
      <c r="T35" t="s">
        <v>273</v>
      </c>
      <c r="U35" t="s">
        <v>390</v>
      </c>
      <c r="V35" s="54" t="s">
        <v>201</v>
      </c>
      <c r="W35" s="55" t="s">
        <v>202</v>
      </c>
      <c r="X35" s="56">
        <v>1</v>
      </c>
      <c r="Y35" s="57">
        <v>1700</v>
      </c>
      <c r="Z35" s="57">
        <f t="shared" si="5"/>
        <v>1700</v>
      </c>
      <c r="AA35" s="159" t="s">
        <v>332</v>
      </c>
    </row>
    <row r="36" spans="2:27" x14ac:dyDescent="0.35">
      <c r="B36" t="s">
        <v>272</v>
      </c>
      <c r="C36" t="s">
        <v>29</v>
      </c>
      <c r="D36" s="54" t="s">
        <v>204</v>
      </c>
      <c r="E36" s="55" t="s">
        <v>205</v>
      </c>
      <c r="F36" s="56">
        <v>1</v>
      </c>
      <c r="G36" s="57">
        <v>3000</v>
      </c>
      <c r="H36" s="57">
        <f t="shared" si="3"/>
        <v>3000</v>
      </c>
      <c r="I36" s="159"/>
      <c r="K36" t="s">
        <v>273</v>
      </c>
      <c r="L36" t="s">
        <v>381</v>
      </c>
      <c r="M36" s="54" t="s">
        <v>195</v>
      </c>
      <c r="N36" s="55" t="s">
        <v>175</v>
      </c>
      <c r="O36" s="56"/>
      <c r="P36" s="57">
        <v>50</v>
      </c>
      <c r="Q36" s="57">
        <f t="shared" si="4"/>
        <v>0</v>
      </c>
      <c r="R36" s="159"/>
      <c r="T36" t="s">
        <v>273</v>
      </c>
      <c r="U36" t="s">
        <v>390</v>
      </c>
      <c r="V36" s="54" t="s">
        <v>204</v>
      </c>
      <c r="W36" s="55" t="s">
        <v>205</v>
      </c>
      <c r="X36" s="56">
        <v>20000</v>
      </c>
      <c r="Y36" s="57">
        <v>1.25</v>
      </c>
      <c r="Z36" s="57">
        <f t="shared" si="5"/>
        <v>25000</v>
      </c>
      <c r="AA36" s="159"/>
    </row>
    <row r="37" spans="2:27" x14ac:dyDescent="0.35">
      <c r="B37" t="s">
        <v>272</v>
      </c>
      <c r="C37" t="s">
        <v>29</v>
      </c>
      <c r="D37" s="54" t="s">
        <v>204</v>
      </c>
      <c r="E37" s="55" t="s">
        <v>206</v>
      </c>
      <c r="F37" s="56">
        <v>1</v>
      </c>
      <c r="G37" s="57"/>
      <c r="H37" s="57">
        <f t="shared" si="3"/>
        <v>0</v>
      </c>
      <c r="I37" s="159" t="s">
        <v>198</v>
      </c>
      <c r="J37" s="91"/>
      <c r="K37" t="s">
        <v>273</v>
      </c>
      <c r="L37" t="s">
        <v>381</v>
      </c>
      <c r="M37" s="54" t="s">
        <v>201</v>
      </c>
      <c r="N37" s="55" t="s">
        <v>202</v>
      </c>
      <c r="O37" s="56">
        <v>1</v>
      </c>
      <c r="P37" s="57">
        <v>15000</v>
      </c>
      <c r="Q37" s="57">
        <f t="shared" si="4"/>
        <v>15000</v>
      </c>
      <c r="R37" s="159" t="s">
        <v>218</v>
      </c>
      <c r="T37" t="s">
        <v>273</v>
      </c>
      <c r="U37" t="s">
        <v>390</v>
      </c>
      <c r="V37" s="54" t="s">
        <v>204</v>
      </c>
      <c r="W37" s="55" t="s">
        <v>206</v>
      </c>
      <c r="X37" s="56">
        <v>1</v>
      </c>
      <c r="Y37" s="57">
        <v>2000</v>
      </c>
      <c r="Z37" s="57">
        <f t="shared" si="5"/>
        <v>2000</v>
      </c>
      <c r="AA37" s="159"/>
    </row>
    <row r="38" spans="2:27" x14ac:dyDescent="0.35">
      <c r="B38" t="s">
        <v>272</v>
      </c>
      <c r="C38" t="s">
        <v>29</v>
      </c>
      <c r="D38" s="54" t="s">
        <v>204</v>
      </c>
      <c r="E38" s="55" t="s">
        <v>175</v>
      </c>
      <c r="F38" s="56"/>
      <c r="G38" s="57"/>
      <c r="H38" s="57">
        <f t="shared" si="3"/>
        <v>0</v>
      </c>
      <c r="I38" s="159"/>
      <c r="K38" t="s">
        <v>273</v>
      </c>
      <c r="L38" t="s">
        <v>381</v>
      </c>
      <c r="M38" s="54" t="s">
        <v>204</v>
      </c>
      <c r="N38" s="55" t="s">
        <v>205</v>
      </c>
      <c r="O38" s="56">
        <v>450</v>
      </c>
      <c r="P38" s="57">
        <v>75</v>
      </c>
      <c r="Q38" s="57">
        <f t="shared" si="4"/>
        <v>33750</v>
      </c>
      <c r="R38" s="159"/>
      <c r="T38" t="s">
        <v>273</v>
      </c>
      <c r="U38" t="s">
        <v>390</v>
      </c>
      <c r="V38" s="54" t="s">
        <v>204</v>
      </c>
      <c r="W38" s="55" t="s">
        <v>175</v>
      </c>
      <c r="X38" s="56"/>
      <c r="Y38" s="57"/>
      <c r="Z38" s="57">
        <f t="shared" si="5"/>
        <v>0</v>
      </c>
      <c r="AA38" s="159"/>
    </row>
    <row r="39" spans="2:27" x14ac:dyDescent="0.35">
      <c r="B39" t="s">
        <v>272</v>
      </c>
      <c r="C39" t="s">
        <v>29</v>
      </c>
      <c r="D39" s="54" t="s">
        <v>204</v>
      </c>
      <c r="E39" s="55" t="s">
        <v>175</v>
      </c>
      <c r="F39" s="56"/>
      <c r="G39" s="57"/>
      <c r="H39" s="57">
        <f t="shared" si="3"/>
        <v>0</v>
      </c>
      <c r="I39" s="159"/>
      <c r="J39" s="91"/>
      <c r="K39" t="s">
        <v>273</v>
      </c>
      <c r="L39" t="s">
        <v>381</v>
      </c>
      <c r="M39" s="54" t="s">
        <v>204</v>
      </c>
      <c r="N39" s="55" t="s">
        <v>206</v>
      </c>
      <c r="O39" s="56">
        <v>1</v>
      </c>
      <c r="P39" s="57">
        <v>800</v>
      </c>
      <c r="Q39" s="57">
        <f t="shared" si="4"/>
        <v>800</v>
      </c>
      <c r="R39" s="159"/>
      <c r="T39" t="s">
        <v>273</v>
      </c>
      <c r="U39" t="s">
        <v>390</v>
      </c>
      <c r="V39" s="54" t="s">
        <v>204</v>
      </c>
      <c r="W39" s="55" t="s">
        <v>175</v>
      </c>
      <c r="X39" s="56"/>
      <c r="Y39" s="57"/>
      <c r="Z39" s="57">
        <f t="shared" si="5"/>
        <v>0</v>
      </c>
      <c r="AA39" s="159"/>
    </row>
    <row r="40" spans="2:27" x14ac:dyDescent="0.35">
      <c r="B40" t="s">
        <v>28</v>
      </c>
      <c r="H40" s="103">
        <f>SUBTOTAL(109,Aventri_2023IC[Total Cost])</f>
        <v>192520.87</v>
      </c>
      <c r="I40" s="111">
        <f>SUBTOTAL(103,Aventri_2023IC[Comments])</f>
        <v>18</v>
      </c>
      <c r="K40" t="s">
        <v>273</v>
      </c>
      <c r="L40" t="s">
        <v>381</v>
      </c>
      <c r="M40" s="54" t="s">
        <v>204</v>
      </c>
      <c r="N40" s="55" t="s">
        <v>175</v>
      </c>
      <c r="O40" s="56"/>
      <c r="P40" s="57"/>
      <c r="Q40" s="57">
        <f t="shared" si="4"/>
        <v>0</v>
      </c>
      <c r="R40" s="159"/>
      <c r="T40" t="s">
        <v>28</v>
      </c>
      <c r="V40" s="113"/>
      <c r="W40" s="110"/>
      <c r="Y40" s="110"/>
      <c r="Z40" s="112">
        <f>SUBTOTAL(109,MCI_2024IC[Total Cost])</f>
        <v>186095</v>
      </c>
      <c r="AA40" s="111">
        <f>SUBTOTAL(103,MCI_2024IC[Comments])</f>
        <v>14</v>
      </c>
    </row>
    <row r="41" spans="2:27" x14ac:dyDescent="0.35">
      <c r="K41" t="s">
        <v>273</v>
      </c>
      <c r="L41" t="s">
        <v>381</v>
      </c>
      <c r="M41" s="54" t="s">
        <v>204</v>
      </c>
      <c r="N41" s="55" t="s">
        <v>175</v>
      </c>
      <c r="O41" s="56"/>
      <c r="P41" s="57"/>
      <c r="Q41" s="57">
        <f t="shared" si="4"/>
        <v>0</v>
      </c>
      <c r="R41" s="159"/>
    </row>
    <row r="42" spans="2:27" x14ac:dyDescent="0.35">
      <c r="K42" t="s">
        <v>28</v>
      </c>
      <c r="M42" s="113"/>
      <c r="N42" s="110"/>
      <c r="P42" s="110"/>
      <c r="Q42" s="112">
        <f>SUBTOTAL(109,CompuSystems_2024IC[Total Cost])</f>
        <v>172340</v>
      </c>
      <c r="R42" s="111">
        <f>SUBTOTAL(103,CompuSystems_2024IC[Comments])</f>
        <v>7</v>
      </c>
    </row>
    <row r="48" spans="2:27" x14ac:dyDescent="0.35">
      <c r="G48" s="103"/>
    </row>
  </sheetData>
  <mergeCells count="6">
    <mergeCell ref="B3:I3"/>
    <mergeCell ref="B2:I2"/>
    <mergeCell ref="K3:R3"/>
    <mergeCell ref="K2:R2"/>
    <mergeCell ref="T3:AA3"/>
    <mergeCell ref="T2:AA2"/>
  </mergeCells>
  <pageMargins left="0.7" right="0.7" top="0.75" bottom="0.75" header="0.3" footer="0.3"/>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AA44"/>
  <sheetViews>
    <sheetView tabSelected="1" zoomScale="90" zoomScaleNormal="90" workbookViewId="0">
      <selection activeCell="T2" sqref="T2:AA2"/>
    </sheetView>
  </sheetViews>
  <sheetFormatPr defaultColWidth="21" defaultRowHeight="14.5" x14ac:dyDescent="0.35"/>
  <cols>
    <col min="2" max="2" width="9.453125" hidden="1" customWidth="1"/>
    <col min="3" max="3" width="12.54296875" hidden="1" customWidth="1"/>
    <col min="4" max="4" width="16.1796875" hidden="1" customWidth="1"/>
    <col min="5" max="5" width="51.1796875" hidden="1" customWidth="1"/>
    <col min="6" max="6" width="26.1796875" hidden="1" customWidth="1"/>
    <col min="7" max="7" width="12.81640625" hidden="1" customWidth="1"/>
    <col min="8" max="8" width="17.54296875" hidden="1" customWidth="1"/>
    <col min="9" max="9" width="140.1796875" hidden="1" customWidth="1"/>
    <col min="10" max="10" width="25.08984375" hidden="1" customWidth="1"/>
    <col min="11" max="11" width="9.453125" bestFit="1" customWidth="1"/>
    <col min="12" max="12" width="13.6328125" bestFit="1" customWidth="1"/>
    <col min="13" max="13" width="16.1796875" bestFit="1" customWidth="1"/>
    <col min="14" max="14" width="30.81640625" bestFit="1" customWidth="1"/>
    <col min="15" max="15" width="32.7265625" customWidth="1"/>
    <col min="16" max="16" width="24.6328125" customWidth="1"/>
    <col min="17" max="17" width="17.54296875" bestFit="1" customWidth="1"/>
    <col min="18" max="18" width="29" bestFit="1" customWidth="1"/>
    <col min="19" max="19" width="27.81640625" customWidth="1"/>
    <col min="20" max="20" width="9.453125" bestFit="1" customWidth="1"/>
    <col min="21" max="21" width="12.54296875" bestFit="1" customWidth="1"/>
    <col min="22" max="22" width="21.1796875" bestFit="1" customWidth="1"/>
    <col min="23" max="23" width="30.81640625" bestFit="1" customWidth="1"/>
    <col min="24" max="24" width="26.1796875" bestFit="1" customWidth="1"/>
    <col min="25" max="25" width="12.81640625" bestFit="1" customWidth="1"/>
    <col min="26" max="26" width="17.54296875" bestFit="1" customWidth="1"/>
    <col min="27" max="27" width="42.81640625" bestFit="1" customWidth="1"/>
  </cols>
  <sheetData>
    <row r="2" spans="2:27" ht="29.5" customHeight="1" x14ac:dyDescent="0.35">
      <c r="B2" s="248" t="s">
        <v>29</v>
      </c>
      <c r="C2" s="248"/>
      <c r="D2" s="248"/>
      <c r="E2" s="248"/>
      <c r="F2" s="248"/>
      <c r="G2" s="248"/>
      <c r="H2" s="248"/>
      <c r="I2" s="248"/>
      <c r="J2" s="88"/>
      <c r="K2" s="249" t="s">
        <v>381</v>
      </c>
      <c r="L2" s="249"/>
      <c r="M2" s="249"/>
      <c r="N2" s="249"/>
      <c r="O2" s="249"/>
      <c r="P2" s="249"/>
      <c r="Q2" s="249"/>
      <c r="R2" s="249"/>
      <c r="S2" s="88"/>
      <c r="T2" s="247" t="s">
        <v>390</v>
      </c>
      <c r="U2" s="247"/>
      <c r="V2" s="247"/>
      <c r="W2" s="247"/>
      <c r="X2" s="247"/>
      <c r="Y2" s="247"/>
      <c r="Z2" s="247"/>
      <c r="AA2" s="247"/>
    </row>
    <row r="3" spans="2:27" ht="18.5" x14ac:dyDescent="0.45">
      <c r="B3" s="252" t="s">
        <v>151</v>
      </c>
      <c r="C3" s="252"/>
      <c r="D3" s="252"/>
      <c r="E3" s="252"/>
      <c r="F3" s="252"/>
      <c r="G3" s="252"/>
      <c r="H3" s="252"/>
      <c r="I3" s="253"/>
      <c r="J3" s="94"/>
      <c r="K3" s="254" t="s">
        <v>361</v>
      </c>
      <c r="L3" s="254"/>
      <c r="M3" s="254"/>
      <c r="N3" s="254"/>
      <c r="O3" s="254"/>
      <c r="P3" s="254"/>
      <c r="Q3" s="254"/>
      <c r="R3" s="255"/>
      <c r="S3" s="94"/>
      <c r="T3" s="254" t="s">
        <v>361</v>
      </c>
      <c r="U3" s="254"/>
      <c r="V3" s="254"/>
      <c r="W3" s="254"/>
      <c r="X3" s="254"/>
      <c r="Y3" s="254"/>
      <c r="Z3" s="254"/>
      <c r="AA3" s="255"/>
    </row>
    <row r="4" spans="2:27" ht="31" x14ac:dyDescent="0.35">
      <c r="B4" t="s">
        <v>141</v>
      </c>
      <c r="C4" t="s">
        <v>22</v>
      </c>
      <c r="D4" s="49" t="s">
        <v>152</v>
      </c>
      <c r="E4" s="50" t="s">
        <v>153</v>
      </c>
      <c r="F4" s="51" t="s">
        <v>154</v>
      </c>
      <c r="G4" s="52" t="s">
        <v>155</v>
      </c>
      <c r="H4" s="51" t="s">
        <v>156</v>
      </c>
      <c r="I4" s="97" t="s">
        <v>157</v>
      </c>
      <c r="J4" s="93"/>
      <c r="K4" t="s">
        <v>141</v>
      </c>
      <c r="L4" t="s">
        <v>22</v>
      </c>
      <c r="M4" s="58" t="s">
        <v>207</v>
      </c>
      <c r="N4" s="59" t="s">
        <v>153</v>
      </c>
      <c r="O4" s="51" t="s">
        <v>346</v>
      </c>
      <c r="P4" s="52" t="s">
        <v>155</v>
      </c>
      <c r="Q4" s="51" t="s">
        <v>156</v>
      </c>
      <c r="R4" s="53" t="s">
        <v>157</v>
      </c>
      <c r="S4" s="93"/>
      <c r="T4" t="s">
        <v>141</v>
      </c>
      <c r="U4" t="s">
        <v>22</v>
      </c>
      <c r="V4" s="58" t="s">
        <v>207</v>
      </c>
      <c r="W4" s="59" t="s">
        <v>153</v>
      </c>
      <c r="X4" s="51" t="s">
        <v>346</v>
      </c>
      <c r="Y4" s="52" t="s">
        <v>155</v>
      </c>
      <c r="Z4" s="51" t="s">
        <v>156</v>
      </c>
      <c r="AA4" s="53" t="s">
        <v>157</v>
      </c>
    </row>
    <row r="5" spans="2:27" x14ac:dyDescent="0.35">
      <c r="B5" t="s">
        <v>273</v>
      </c>
      <c r="C5" t="s">
        <v>29</v>
      </c>
      <c r="D5" s="54" t="s">
        <v>158</v>
      </c>
      <c r="E5" s="55" t="s">
        <v>159</v>
      </c>
      <c r="F5" s="153">
        <f>IF('Fiscal Year Breakdown'!G37="N",SUMIF(AventriAttendance[[Event ]],Aventri_2024IC[[#This Row],[Event]],AventriAttendance[[Expected Attendance ]]),SUMIF(AttendanceCount[[Event ]],Aventri_2024IC[[#This Row],[Event]],AttendanceCount[[Expected Attendance ]]))</f>
        <v>20000</v>
      </c>
      <c r="G5" s="57">
        <v>79100</v>
      </c>
      <c r="H5" s="57">
        <f>G5</f>
        <v>79100</v>
      </c>
      <c r="I5" s="159" t="s">
        <v>160</v>
      </c>
      <c r="K5" t="s">
        <v>336</v>
      </c>
      <c r="L5" t="s">
        <v>381</v>
      </c>
      <c r="M5" s="54" t="s">
        <v>158</v>
      </c>
      <c r="N5" s="55" t="s">
        <v>159</v>
      </c>
      <c r="O5" s="153">
        <f>IF('Fiscal Year Breakdown'!G37="N",SUMIF(CompuSystemAttendance[[Event ]],CompuSystems_2025IC[[#This Row],[Event]],CompuSystemAttendance[[Expected Attendance ]]),SUMIF(AttendanceCount[[Event ]],CompuSystems_2025IC[[#This Row],[Event]],AttendanceCount[[Expected Attendance ]]))</f>
        <v>20000</v>
      </c>
      <c r="P5" s="57">
        <v>0</v>
      </c>
      <c r="Q5" s="57">
        <f>O5*P5</f>
        <v>0</v>
      </c>
      <c r="R5" s="172"/>
      <c r="T5" t="s">
        <v>336</v>
      </c>
      <c r="U5" t="s">
        <v>390</v>
      </c>
      <c r="V5" s="54" t="s">
        <v>158</v>
      </c>
      <c r="W5" s="55" t="s">
        <v>159</v>
      </c>
      <c r="X5" s="153">
        <f>IF('Fiscal Year Breakdown'!G37="N",SUMIF(MCIAttendance[[Event ]],MCI_2025IC[[#This Row],[Event]],MCIAttendance[[Expected Attendance ]]),SUMIF(AttendanceCount[[Event ]],MCI_2025IC[[#This Row],[Event]],AttendanceCount[[Expected Attendance ]]))</f>
        <v>20000</v>
      </c>
      <c r="Y5" s="57">
        <v>3</v>
      </c>
      <c r="Z5" s="57">
        <f>X5*Y5</f>
        <v>60000</v>
      </c>
      <c r="AA5" s="172" t="s">
        <v>219</v>
      </c>
    </row>
    <row r="6" spans="2:27" x14ac:dyDescent="0.35">
      <c r="B6" t="s">
        <v>273</v>
      </c>
      <c r="C6" t="s">
        <v>29</v>
      </c>
      <c r="D6" s="54" t="s">
        <v>158</v>
      </c>
      <c r="E6" s="55" t="s">
        <v>161</v>
      </c>
      <c r="F6" s="153">
        <v>1</v>
      </c>
      <c r="G6" s="57" t="s">
        <v>162</v>
      </c>
      <c r="H6" s="57">
        <v>0</v>
      </c>
      <c r="I6" s="159" t="s">
        <v>163</v>
      </c>
      <c r="K6" t="s">
        <v>336</v>
      </c>
      <c r="L6" t="s">
        <v>381</v>
      </c>
      <c r="M6" s="54" t="s">
        <v>158</v>
      </c>
      <c r="N6" s="55" t="s">
        <v>161</v>
      </c>
      <c r="O6" s="55">
        <v>0</v>
      </c>
      <c r="P6" s="57">
        <v>140</v>
      </c>
      <c r="Q6" s="57">
        <v>0</v>
      </c>
      <c r="R6" s="172" t="s">
        <v>208</v>
      </c>
      <c r="T6" t="s">
        <v>336</v>
      </c>
      <c r="U6" t="s">
        <v>390</v>
      </c>
      <c r="V6" s="54" t="s">
        <v>158</v>
      </c>
      <c r="W6" s="55" t="s">
        <v>161</v>
      </c>
      <c r="X6" s="55">
        <v>1</v>
      </c>
      <c r="Y6" s="57"/>
      <c r="Z6" s="57">
        <f>X6*Y6</f>
        <v>0</v>
      </c>
      <c r="AA6" s="172"/>
    </row>
    <row r="7" spans="2:27" x14ac:dyDescent="0.35">
      <c r="B7" t="s">
        <v>273</v>
      </c>
      <c r="C7" t="s">
        <v>29</v>
      </c>
      <c r="D7" s="54" t="s">
        <v>158</v>
      </c>
      <c r="E7" s="55" t="s">
        <v>164</v>
      </c>
      <c r="F7" s="153">
        <v>1</v>
      </c>
      <c r="G7" s="57">
        <v>0</v>
      </c>
      <c r="H7" s="57">
        <f>F7*G7</f>
        <v>0</v>
      </c>
      <c r="I7" s="159" t="s">
        <v>165</v>
      </c>
      <c r="K7" t="s">
        <v>336</v>
      </c>
      <c r="L7" t="s">
        <v>381</v>
      </c>
      <c r="M7" s="54" t="s">
        <v>158</v>
      </c>
      <c r="N7" s="55" t="s">
        <v>164</v>
      </c>
      <c r="O7" s="55">
        <v>1</v>
      </c>
      <c r="P7" s="57">
        <v>0</v>
      </c>
      <c r="Q7" s="57">
        <f>O7*P7</f>
        <v>0</v>
      </c>
      <c r="R7" s="172"/>
      <c r="T7" t="s">
        <v>336</v>
      </c>
      <c r="U7" t="s">
        <v>390</v>
      </c>
      <c r="V7" s="54" t="s">
        <v>158</v>
      </c>
      <c r="W7" s="55" t="s">
        <v>164</v>
      </c>
      <c r="X7" s="55">
        <v>1</v>
      </c>
      <c r="Y7" s="57">
        <v>3750</v>
      </c>
      <c r="Z7" s="57">
        <f>X7*Y7</f>
        <v>3750</v>
      </c>
      <c r="AA7" s="172"/>
    </row>
    <row r="8" spans="2:27" x14ac:dyDescent="0.35">
      <c r="B8" t="s">
        <v>273</v>
      </c>
      <c r="C8" t="s">
        <v>29</v>
      </c>
      <c r="D8" s="54" t="s">
        <v>158</v>
      </c>
      <c r="E8" s="55" t="s">
        <v>166</v>
      </c>
      <c r="F8" s="153">
        <v>6</v>
      </c>
      <c r="G8" s="57">
        <v>0</v>
      </c>
      <c r="H8" s="57">
        <f>F8*G8</f>
        <v>0</v>
      </c>
      <c r="I8" s="159" t="s">
        <v>167</v>
      </c>
      <c r="K8" t="s">
        <v>336</v>
      </c>
      <c r="L8" t="s">
        <v>381</v>
      </c>
      <c r="M8" s="54" t="s">
        <v>158</v>
      </c>
      <c r="N8" s="55" t="s">
        <v>166</v>
      </c>
      <c r="O8" s="55">
        <v>6</v>
      </c>
      <c r="P8" s="57">
        <v>0</v>
      </c>
      <c r="Q8" s="57">
        <f>O8*P8</f>
        <v>0</v>
      </c>
      <c r="R8" s="172" t="s">
        <v>209</v>
      </c>
      <c r="T8" t="s">
        <v>336</v>
      </c>
      <c r="U8" t="s">
        <v>390</v>
      </c>
      <c r="V8" s="54" t="s">
        <v>158</v>
      </c>
      <c r="W8" s="55" t="s">
        <v>166</v>
      </c>
      <c r="X8" s="55">
        <v>6</v>
      </c>
      <c r="Y8" s="57">
        <v>1000</v>
      </c>
      <c r="Z8" s="57">
        <f>X8*Y8</f>
        <v>6000</v>
      </c>
      <c r="AA8" s="172"/>
    </row>
    <row r="9" spans="2:27" x14ac:dyDescent="0.35">
      <c r="B9" t="s">
        <v>273</v>
      </c>
      <c r="C9" t="s">
        <v>29</v>
      </c>
      <c r="D9" s="54" t="s">
        <v>158</v>
      </c>
      <c r="E9" s="55" t="s">
        <v>168</v>
      </c>
      <c r="F9" s="153">
        <v>1</v>
      </c>
      <c r="G9" s="57">
        <v>20000</v>
      </c>
      <c r="H9" s="57">
        <v>20000</v>
      </c>
      <c r="I9" s="159"/>
      <c r="K9" t="s">
        <v>336</v>
      </c>
      <c r="L9" t="s">
        <v>381</v>
      </c>
      <c r="M9" s="54" t="s">
        <v>158</v>
      </c>
      <c r="N9" s="55" t="s">
        <v>175</v>
      </c>
      <c r="O9" s="55"/>
      <c r="P9" s="57"/>
      <c r="Q9" s="57"/>
      <c r="R9" s="172"/>
      <c r="T9" t="s">
        <v>336</v>
      </c>
      <c r="U9" t="s">
        <v>390</v>
      </c>
      <c r="V9" s="54" t="s">
        <v>158</v>
      </c>
      <c r="W9" s="55" t="s">
        <v>175</v>
      </c>
      <c r="X9" s="55"/>
      <c r="Y9" s="57"/>
      <c r="Z9" s="57"/>
      <c r="AA9" s="172"/>
    </row>
    <row r="10" spans="2:27" x14ac:dyDescent="0.35">
      <c r="B10" t="s">
        <v>273</v>
      </c>
      <c r="C10" t="s">
        <v>29</v>
      </c>
      <c r="D10" s="54" t="s">
        <v>169</v>
      </c>
      <c r="E10" s="55" t="s">
        <v>170</v>
      </c>
      <c r="F10" s="56">
        <v>35</v>
      </c>
      <c r="G10" s="57">
        <v>350</v>
      </c>
      <c r="H10" s="57">
        <f t="shared" ref="H10:H15" si="0">F10*G10</f>
        <v>12250</v>
      </c>
      <c r="I10" s="159"/>
      <c r="K10" t="s">
        <v>336</v>
      </c>
      <c r="L10" t="s">
        <v>381</v>
      </c>
      <c r="M10" s="54" t="s">
        <v>169</v>
      </c>
      <c r="N10" s="55" t="s">
        <v>170</v>
      </c>
      <c r="O10" s="55">
        <v>60</v>
      </c>
      <c r="P10" s="57">
        <v>150</v>
      </c>
      <c r="Q10" s="57">
        <f t="shared" ref="Q10:Q15" si="1">O10*P10</f>
        <v>9000</v>
      </c>
      <c r="R10" s="172"/>
      <c r="T10" t="s">
        <v>336</v>
      </c>
      <c r="U10" t="s">
        <v>390</v>
      </c>
      <c r="V10" s="54" t="s">
        <v>169</v>
      </c>
      <c r="W10" s="55" t="s">
        <v>170</v>
      </c>
      <c r="X10" s="55">
        <v>40</v>
      </c>
      <c r="Y10" s="57">
        <v>300</v>
      </c>
      <c r="Z10" s="57">
        <f t="shared" ref="Z10:Z15" si="2">X10*Y10</f>
        <v>12000</v>
      </c>
      <c r="AA10" s="172" t="s">
        <v>220</v>
      </c>
    </row>
    <row r="11" spans="2:27" x14ac:dyDescent="0.35">
      <c r="B11" t="s">
        <v>273</v>
      </c>
      <c r="C11" t="s">
        <v>29</v>
      </c>
      <c r="D11" s="54" t="s">
        <v>169</v>
      </c>
      <c r="E11" s="55" t="s">
        <v>171</v>
      </c>
      <c r="F11" s="56">
        <v>70</v>
      </c>
      <c r="G11" s="57">
        <v>75</v>
      </c>
      <c r="H11" s="57">
        <f t="shared" si="0"/>
        <v>5250</v>
      </c>
      <c r="I11" s="159"/>
      <c r="K11" t="s">
        <v>336</v>
      </c>
      <c r="L11" t="s">
        <v>381</v>
      </c>
      <c r="M11" s="54" t="s">
        <v>169</v>
      </c>
      <c r="N11" s="55" t="s">
        <v>171</v>
      </c>
      <c r="O11" s="55">
        <v>120</v>
      </c>
      <c r="P11" s="57">
        <v>150</v>
      </c>
      <c r="Q11" s="57">
        <f t="shared" si="1"/>
        <v>18000</v>
      </c>
      <c r="R11" s="172"/>
      <c r="T11" t="s">
        <v>336</v>
      </c>
      <c r="U11" t="s">
        <v>390</v>
      </c>
      <c r="V11" s="54" t="s">
        <v>169</v>
      </c>
      <c r="W11" s="55" t="s">
        <v>171</v>
      </c>
      <c r="X11" s="55">
        <v>80</v>
      </c>
      <c r="Y11" s="57">
        <v>100</v>
      </c>
      <c r="Z11" s="57">
        <f t="shared" si="2"/>
        <v>8000</v>
      </c>
      <c r="AA11" s="172" t="s">
        <v>221</v>
      </c>
    </row>
    <row r="12" spans="2:27" x14ac:dyDescent="0.35">
      <c r="B12" t="s">
        <v>273</v>
      </c>
      <c r="C12" t="s">
        <v>29</v>
      </c>
      <c r="D12" s="54" t="s">
        <v>169</v>
      </c>
      <c r="E12" s="55" t="s">
        <v>172</v>
      </c>
      <c r="F12" s="56">
        <v>1</v>
      </c>
      <c r="G12" s="57"/>
      <c r="H12" s="57">
        <f t="shared" si="0"/>
        <v>0</v>
      </c>
      <c r="I12" s="159" t="s">
        <v>173</v>
      </c>
      <c r="K12" t="s">
        <v>336</v>
      </c>
      <c r="L12" t="s">
        <v>381</v>
      </c>
      <c r="M12" s="54" t="s">
        <v>169</v>
      </c>
      <c r="N12" s="55" t="s">
        <v>172</v>
      </c>
      <c r="O12" s="55">
        <v>1</v>
      </c>
      <c r="P12" s="57">
        <v>0</v>
      </c>
      <c r="Q12" s="57">
        <f t="shared" si="1"/>
        <v>0</v>
      </c>
      <c r="R12" s="172"/>
      <c r="T12" t="s">
        <v>336</v>
      </c>
      <c r="U12" t="s">
        <v>390</v>
      </c>
      <c r="V12" s="54" t="s">
        <v>169</v>
      </c>
      <c r="W12" s="55" t="s">
        <v>172</v>
      </c>
      <c r="X12" s="55">
        <v>1</v>
      </c>
      <c r="Y12" s="57"/>
      <c r="Z12" s="57">
        <f t="shared" si="2"/>
        <v>0</v>
      </c>
      <c r="AA12" s="172" t="s">
        <v>222</v>
      </c>
    </row>
    <row r="13" spans="2:27" x14ac:dyDescent="0.35">
      <c r="B13" t="s">
        <v>273</v>
      </c>
      <c r="C13" t="s">
        <v>29</v>
      </c>
      <c r="D13" s="54" t="s">
        <v>169</v>
      </c>
      <c r="E13" s="55" t="s">
        <v>174</v>
      </c>
      <c r="F13" s="56">
        <v>100</v>
      </c>
      <c r="G13" s="57">
        <v>100</v>
      </c>
      <c r="H13" s="57">
        <f t="shared" si="0"/>
        <v>10000</v>
      </c>
      <c r="I13" s="159"/>
      <c r="K13" t="s">
        <v>336</v>
      </c>
      <c r="L13" t="s">
        <v>381</v>
      </c>
      <c r="M13" s="54" t="s">
        <v>169</v>
      </c>
      <c r="N13" s="55" t="s">
        <v>174</v>
      </c>
      <c r="O13" s="55">
        <v>120</v>
      </c>
      <c r="P13" s="57">
        <v>100</v>
      </c>
      <c r="Q13" s="57">
        <f>O13*P13</f>
        <v>12000</v>
      </c>
      <c r="R13" s="172"/>
      <c r="T13" t="s">
        <v>336</v>
      </c>
      <c r="U13" t="s">
        <v>390</v>
      </c>
      <c r="V13" s="54" t="s">
        <v>169</v>
      </c>
      <c r="W13" s="55" t="s">
        <v>174</v>
      </c>
      <c r="X13" s="55">
        <v>100</v>
      </c>
      <c r="Y13" s="57">
        <v>100</v>
      </c>
      <c r="Z13" s="57">
        <f t="shared" si="2"/>
        <v>10000</v>
      </c>
      <c r="AA13" s="172" t="s">
        <v>223</v>
      </c>
    </row>
    <row r="14" spans="2:27" x14ac:dyDescent="0.35">
      <c r="B14" t="s">
        <v>273</v>
      </c>
      <c r="C14" t="s">
        <v>29</v>
      </c>
      <c r="D14" s="54" t="s">
        <v>169</v>
      </c>
      <c r="E14" s="55" t="s">
        <v>175</v>
      </c>
      <c r="F14" s="56"/>
      <c r="G14" s="57"/>
      <c r="H14" s="57">
        <f t="shared" si="0"/>
        <v>0</v>
      </c>
      <c r="I14" s="159"/>
      <c r="K14" t="s">
        <v>336</v>
      </c>
      <c r="L14" t="s">
        <v>381</v>
      </c>
      <c r="M14" s="54" t="s">
        <v>169</v>
      </c>
      <c r="N14" s="55" t="s">
        <v>181</v>
      </c>
      <c r="O14" s="55">
        <v>10</v>
      </c>
      <c r="P14" s="57">
        <v>1000</v>
      </c>
      <c r="Q14" s="57">
        <f t="shared" si="1"/>
        <v>10000</v>
      </c>
      <c r="R14" s="172"/>
      <c r="T14" t="s">
        <v>336</v>
      </c>
      <c r="U14" t="s">
        <v>390</v>
      </c>
      <c r="V14" s="54" t="s">
        <v>169</v>
      </c>
      <c r="W14" s="55" t="s">
        <v>175</v>
      </c>
      <c r="X14" s="55"/>
      <c r="Y14" s="57"/>
      <c r="Z14" s="57">
        <f t="shared" si="2"/>
        <v>0</v>
      </c>
      <c r="AA14" s="172"/>
    </row>
    <row r="15" spans="2:27" x14ac:dyDescent="0.35">
      <c r="B15" t="s">
        <v>273</v>
      </c>
      <c r="C15" t="s">
        <v>29</v>
      </c>
      <c r="D15" s="54" t="s">
        <v>169</v>
      </c>
      <c r="E15" s="55" t="s">
        <v>175</v>
      </c>
      <c r="F15" s="56"/>
      <c r="G15" s="57"/>
      <c r="H15" s="57">
        <f t="shared" si="0"/>
        <v>0</v>
      </c>
      <c r="I15" s="159"/>
      <c r="K15" t="s">
        <v>336</v>
      </c>
      <c r="L15" t="s">
        <v>381</v>
      </c>
      <c r="M15" s="54" t="s">
        <v>169</v>
      </c>
      <c r="N15" s="55" t="s">
        <v>322</v>
      </c>
      <c r="O15" s="55">
        <v>120</v>
      </c>
      <c r="P15" s="57">
        <v>10</v>
      </c>
      <c r="Q15" s="57">
        <f t="shared" si="1"/>
        <v>1200</v>
      </c>
      <c r="R15" s="172"/>
      <c r="T15" t="s">
        <v>336</v>
      </c>
      <c r="U15" t="s">
        <v>390</v>
      </c>
      <c r="V15" s="54" t="s">
        <v>169</v>
      </c>
      <c r="W15" s="55" t="s">
        <v>175</v>
      </c>
      <c r="X15" s="55"/>
      <c r="Y15" s="57"/>
      <c r="Z15" s="57">
        <f t="shared" si="2"/>
        <v>0</v>
      </c>
      <c r="AA15" s="172"/>
    </row>
    <row r="16" spans="2:27" x14ac:dyDescent="0.35">
      <c r="B16" t="s">
        <v>273</v>
      </c>
      <c r="C16" t="s">
        <v>29</v>
      </c>
      <c r="D16" s="54" t="s">
        <v>176</v>
      </c>
      <c r="E16" s="55" t="s">
        <v>320</v>
      </c>
      <c r="F16" s="56">
        <v>1</v>
      </c>
      <c r="G16" s="57">
        <v>75</v>
      </c>
      <c r="H16" s="57">
        <f t="shared" ref="H16:H39" si="3">F16*G16</f>
        <v>75</v>
      </c>
      <c r="I16" s="159"/>
      <c r="K16" t="s">
        <v>336</v>
      </c>
      <c r="L16" t="s">
        <v>381</v>
      </c>
      <c r="M16" s="54" t="s">
        <v>176</v>
      </c>
      <c r="N16" s="55" t="s">
        <v>320</v>
      </c>
      <c r="O16" s="55">
        <v>1</v>
      </c>
      <c r="P16" s="57">
        <v>0</v>
      </c>
      <c r="Q16" s="57">
        <f t="shared" ref="Q16:Q28" si="4">O16*P16</f>
        <v>0</v>
      </c>
      <c r="R16" s="172"/>
      <c r="T16" t="s">
        <v>336</v>
      </c>
      <c r="U16" t="s">
        <v>390</v>
      </c>
      <c r="V16" s="54" t="s">
        <v>176</v>
      </c>
      <c r="W16" s="55" t="s">
        <v>320</v>
      </c>
      <c r="X16" s="55">
        <v>1</v>
      </c>
      <c r="Y16" s="57"/>
      <c r="Z16" s="57">
        <f>X16*Y16</f>
        <v>0</v>
      </c>
      <c r="AA16" s="172" t="s">
        <v>224</v>
      </c>
    </row>
    <row r="17" spans="2:27" x14ac:dyDescent="0.35">
      <c r="B17" t="s">
        <v>273</v>
      </c>
      <c r="C17" t="s">
        <v>29</v>
      </c>
      <c r="D17" s="54" t="s">
        <v>176</v>
      </c>
      <c r="E17" s="55" t="s">
        <v>321</v>
      </c>
      <c r="F17" s="56">
        <v>1</v>
      </c>
      <c r="G17" s="57">
        <v>100</v>
      </c>
      <c r="H17" s="57">
        <f t="shared" si="3"/>
        <v>100</v>
      </c>
      <c r="I17" s="159"/>
      <c r="K17" t="s">
        <v>336</v>
      </c>
      <c r="L17" t="s">
        <v>381</v>
      </c>
      <c r="M17" s="54" t="s">
        <v>176</v>
      </c>
      <c r="N17" s="55" t="s">
        <v>321</v>
      </c>
      <c r="O17" s="55">
        <v>1</v>
      </c>
      <c r="P17" s="57">
        <v>0</v>
      </c>
      <c r="Q17" s="57">
        <f t="shared" si="4"/>
        <v>0</v>
      </c>
      <c r="R17" s="172"/>
      <c r="T17" t="s">
        <v>336</v>
      </c>
      <c r="U17" t="s">
        <v>390</v>
      </c>
      <c r="V17" s="54" t="s">
        <v>176</v>
      </c>
      <c r="W17" s="55" t="s">
        <v>321</v>
      </c>
      <c r="X17" s="55">
        <v>1</v>
      </c>
      <c r="Y17" s="57"/>
      <c r="Z17" s="57">
        <f>X17*Y17</f>
        <v>0</v>
      </c>
      <c r="AA17" s="172" t="s">
        <v>224</v>
      </c>
    </row>
    <row r="18" spans="2:27" x14ac:dyDescent="0.35">
      <c r="B18" t="s">
        <v>273</v>
      </c>
      <c r="C18" t="s">
        <v>29</v>
      </c>
      <c r="D18" s="54" t="s">
        <v>176</v>
      </c>
      <c r="E18" s="55" t="s">
        <v>177</v>
      </c>
      <c r="F18" s="56">
        <v>1</v>
      </c>
      <c r="G18" s="57">
        <v>250</v>
      </c>
      <c r="H18" s="57">
        <f t="shared" si="3"/>
        <v>250</v>
      </c>
      <c r="I18" s="159" t="s">
        <v>178</v>
      </c>
      <c r="K18" t="s">
        <v>336</v>
      </c>
      <c r="L18" t="s">
        <v>381</v>
      </c>
      <c r="M18" s="54" t="s">
        <v>176</v>
      </c>
      <c r="N18" s="55" t="s">
        <v>177</v>
      </c>
      <c r="O18" s="55">
        <v>1</v>
      </c>
      <c r="P18" s="57">
        <v>0</v>
      </c>
      <c r="Q18" s="57">
        <f t="shared" si="4"/>
        <v>0</v>
      </c>
      <c r="R18" s="172"/>
      <c r="T18" t="s">
        <v>336</v>
      </c>
      <c r="U18" t="s">
        <v>390</v>
      </c>
      <c r="V18" s="54" t="s">
        <v>176</v>
      </c>
      <c r="W18" s="55" t="s">
        <v>177</v>
      </c>
      <c r="X18" s="55">
        <v>1</v>
      </c>
      <c r="Y18" s="57"/>
      <c r="Z18" s="57">
        <f>X18*Y18</f>
        <v>0</v>
      </c>
      <c r="AA18" s="172" t="s">
        <v>225</v>
      </c>
    </row>
    <row r="19" spans="2:27" x14ac:dyDescent="0.35">
      <c r="B19" t="s">
        <v>273</v>
      </c>
      <c r="C19" t="s">
        <v>29</v>
      </c>
      <c r="D19" s="54" t="s">
        <v>176</v>
      </c>
      <c r="E19" s="55" t="s">
        <v>179</v>
      </c>
      <c r="F19" s="55"/>
      <c r="G19" s="57">
        <v>100</v>
      </c>
      <c r="H19" s="57">
        <f t="shared" si="3"/>
        <v>0</v>
      </c>
      <c r="I19" s="159" t="s">
        <v>180</v>
      </c>
      <c r="K19" t="s">
        <v>336</v>
      </c>
      <c r="L19" t="s">
        <v>381</v>
      </c>
      <c r="M19" s="54" t="s">
        <v>176</v>
      </c>
      <c r="N19" s="55" t="s">
        <v>175</v>
      </c>
      <c r="O19" s="55"/>
      <c r="P19" s="57"/>
      <c r="Q19" s="57">
        <f t="shared" si="4"/>
        <v>0</v>
      </c>
      <c r="R19" s="172"/>
      <c r="T19" t="s">
        <v>336</v>
      </c>
      <c r="U19" t="s">
        <v>390</v>
      </c>
      <c r="V19" s="54" t="s">
        <v>176</v>
      </c>
      <c r="W19" s="55" t="s">
        <v>175</v>
      </c>
      <c r="X19" s="55"/>
      <c r="Y19" s="57"/>
      <c r="Z19" s="57">
        <f>X19*Y19</f>
        <v>0</v>
      </c>
      <c r="AA19" s="172"/>
    </row>
    <row r="20" spans="2:27" x14ac:dyDescent="0.35">
      <c r="B20" t="s">
        <v>273</v>
      </c>
      <c r="C20" t="s">
        <v>29</v>
      </c>
      <c r="D20" s="54" t="s">
        <v>176</v>
      </c>
      <c r="E20" s="55" t="s">
        <v>181</v>
      </c>
      <c r="F20" s="55"/>
      <c r="G20" s="57">
        <v>475</v>
      </c>
      <c r="H20" s="57">
        <f t="shared" si="3"/>
        <v>0</v>
      </c>
      <c r="I20" s="159" t="s">
        <v>180</v>
      </c>
      <c r="K20" t="s">
        <v>336</v>
      </c>
      <c r="L20" t="s">
        <v>381</v>
      </c>
      <c r="M20" s="54" t="s">
        <v>176</v>
      </c>
      <c r="N20" s="55" t="s">
        <v>175</v>
      </c>
      <c r="O20" s="55"/>
      <c r="P20" s="57"/>
      <c r="Q20" s="57">
        <f t="shared" si="4"/>
        <v>0</v>
      </c>
      <c r="R20" s="172"/>
      <c r="T20" t="s">
        <v>336</v>
      </c>
      <c r="U20" t="s">
        <v>390</v>
      </c>
      <c r="V20" s="54" t="s">
        <v>176</v>
      </c>
      <c r="W20" s="55" t="s">
        <v>175</v>
      </c>
      <c r="X20" s="55"/>
      <c r="Y20" s="57"/>
      <c r="Z20" s="57">
        <f>X20*Y20</f>
        <v>0</v>
      </c>
      <c r="AA20" s="172"/>
    </row>
    <row r="21" spans="2:27" x14ac:dyDescent="0.35">
      <c r="B21" t="s">
        <v>273</v>
      </c>
      <c r="C21" t="s">
        <v>29</v>
      </c>
      <c r="D21" s="54" t="s">
        <v>182</v>
      </c>
      <c r="E21" s="55" t="s">
        <v>183</v>
      </c>
      <c r="F21" s="56">
        <f>F5</f>
        <v>20000</v>
      </c>
      <c r="G21" s="57">
        <v>0.85</v>
      </c>
      <c r="H21" s="57">
        <f t="shared" si="3"/>
        <v>17000</v>
      </c>
      <c r="I21" s="176" t="s">
        <v>184</v>
      </c>
      <c r="K21" t="s">
        <v>336</v>
      </c>
      <c r="L21" t="s">
        <v>381</v>
      </c>
      <c r="M21" s="54" t="s">
        <v>182</v>
      </c>
      <c r="N21" s="55" t="s">
        <v>183</v>
      </c>
      <c r="O21" s="155">
        <f>O5</f>
        <v>20000</v>
      </c>
      <c r="P21" s="57">
        <v>0.186</v>
      </c>
      <c r="Q21" s="57">
        <f t="shared" si="4"/>
        <v>3720</v>
      </c>
      <c r="R21" s="172"/>
      <c r="T21" t="s">
        <v>336</v>
      </c>
      <c r="U21" t="s">
        <v>390</v>
      </c>
      <c r="V21" s="54" t="s">
        <v>182</v>
      </c>
      <c r="W21" s="55" t="s">
        <v>226</v>
      </c>
      <c r="X21" s="155">
        <v>50000</v>
      </c>
      <c r="Y21" s="57">
        <v>0.08</v>
      </c>
      <c r="Z21" s="57">
        <v>4000</v>
      </c>
      <c r="AA21" s="172" t="s">
        <v>227</v>
      </c>
    </row>
    <row r="22" spans="2:27" x14ac:dyDescent="0.35">
      <c r="B22" t="s">
        <v>273</v>
      </c>
      <c r="C22" t="s">
        <v>29</v>
      </c>
      <c r="D22" s="54" t="s">
        <v>182</v>
      </c>
      <c r="E22" s="174" t="s">
        <v>175</v>
      </c>
      <c r="F22" s="56"/>
      <c r="G22" s="57"/>
      <c r="H22" s="57">
        <f t="shared" si="3"/>
        <v>0</v>
      </c>
      <c r="I22" s="159"/>
      <c r="K22" t="s">
        <v>336</v>
      </c>
      <c r="L22" t="s">
        <v>381</v>
      </c>
      <c r="M22" s="54" t="s">
        <v>182</v>
      </c>
      <c r="N22" s="174" t="s">
        <v>175</v>
      </c>
      <c r="O22" s="155"/>
      <c r="P22" s="57"/>
      <c r="Q22" s="57">
        <f t="shared" si="4"/>
        <v>0</v>
      </c>
      <c r="R22" s="172"/>
      <c r="T22" t="s">
        <v>336</v>
      </c>
      <c r="U22" t="s">
        <v>390</v>
      </c>
      <c r="V22" s="54" t="s">
        <v>182</v>
      </c>
      <c r="W22" s="174" t="s">
        <v>228</v>
      </c>
      <c r="X22" s="155">
        <v>50000</v>
      </c>
      <c r="Y22" s="57"/>
      <c r="Z22" s="57">
        <v>9000</v>
      </c>
      <c r="AA22" s="172" t="s">
        <v>229</v>
      </c>
    </row>
    <row r="23" spans="2:27" x14ac:dyDescent="0.35">
      <c r="B23" t="s">
        <v>273</v>
      </c>
      <c r="C23" t="s">
        <v>29</v>
      </c>
      <c r="D23" s="54" t="s">
        <v>182</v>
      </c>
      <c r="E23" s="55" t="s">
        <v>175</v>
      </c>
      <c r="F23" s="56"/>
      <c r="G23" s="57"/>
      <c r="H23" s="57">
        <f t="shared" si="3"/>
        <v>0</v>
      </c>
      <c r="I23" s="159"/>
      <c r="K23" t="s">
        <v>336</v>
      </c>
      <c r="L23" t="s">
        <v>381</v>
      </c>
      <c r="M23" s="54" t="s">
        <v>182</v>
      </c>
      <c r="N23" s="55" t="s">
        <v>175</v>
      </c>
      <c r="O23" s="55"/>
      <c r="P23" s="57"/>
      <c r="Q23" s="57">
        <f t="shared" si="4"/>
        <v>0</v>
      </c>
      <c r="R23" s="172"/>
      <c r="T23" t="s">
        <v>336</v>
      </c>
      <c r="U23" t="s">
        <v>390</v>
      </c>
      <c r="V23" s="54" t="s">
        <v>182</v>
      </c>
      <c r="W23" s="55" t="s">
        <v>175</v>
      </c>
      <c r="X23" s="55"/>
      <c r="Y23" s="57"/>
      <c r="Z23" s="57">
        <f t="shared" ref="Z23:Z39" si="5">X23*Y23</f>
        <v>0</v>
      </c>
      <c r="AA23" s="172"/>
    </row>
    <row r="24" spans="2:27" x14ac:dyDescent="0.35">
      <c r="B24" t="s">
        <v>273</v>
      </c>
      <c r="C24" t="s">
        <v>29</v>
      </c>
      <c r="D24" s="54" t="s">
        <v>182</v>
      </c>
      <c r="E24" s="55" t="s">
        <v>175</v>
      </c>
      <c r="F24" s="56"/>
      <c r="G24" s="57"/>
      <c r="H24" s="57">
        <f t="shared" si="3"/>
        <v>0</v>
      </c>
      <c r="I24" s="159"/>
      <c r="J24" s="91"/>
      <c r="K24" t="s">
        <v>336</v>
      </c>
      <c r="L24" t="s">
        <v>381</v>
      </c>
      <c r="M24" s="54" t="s">
        <v>182</v>
      </c>
      <c r="N24" s="55" t="s">
        <v>175</v>
      </c>
      <c r="O24" s="55"/>
      <c r="P24" s="57"/>
      <c r="Q24" s="57">
        <f t="shared" si="4"/>
        <v>0</v>
      </c>
      <c r="R24" s="172"/>
      <c r="T24" t="s">
        <v>336</v>
      </c>
      <c r="U24" t="s">
        <v>390</v>
      </c>
      <c r="V24" s="54" t="s">
        <v>182</v>
      </c>
      <c r="W24" s="55" t="s">
        <v>175</v>
      </c>
      <c r="X24" s="55"/>
      <c r="Y24" s="57"/>
      <c r="Z24" s="57">
        <f t="shared" si="5"/>
        <v>0</v>
      </c>
      <c r="AA24" s="172"/>
    </row>
    <row r="25" spans="2:27" x14ac:dyDescent="0.35">
      <c r="B25" t="s">
        <v>273</v>
      </c>
      <c r="C25" t="s">
        <v>29</v>
      </c>
      <c r="D25" s="54" t="s">
        <v>185</v>
      </c>
      <c r="E25" s="55" t="s">
        <v>186</v>
      </c>
      <c r="F25" s="56">
        <v>1</v>
      </c>
      <c r="G25" s="57">
        <v>350</v>
      </c>
      <c r="H25" s="57">
        <f t="shared" si="3"/>
        <v>350</v>
      </c>
      <c r="I25" s="159" t="s">
        <v>187</v>
      </c>
      <c r="K25" t="s">
        <v>336</v>
      </c>
      <c r="L25" t="s">
        <v>381</v>
      </c>
      <c r="M25" s="54" t="s">
        <v>185</v>
      </c>
      <c r="N25" s="55" t="s">
        <v>186</v>
      </c>
      <c r="O25" s="55">
        <v>1</v>
      </c>
      <c r="P25" s="57">
        <v>1500</v>
      </c>
      <c r="Q25" s="57">
        <f t="shared" si="4"/>
        <v>1500</v>
      </c>
      <c r="R25" s="172"/>
      <c r="T25" t="s">
        <v>336</v>
      </c>
      <c r="U25" t="s">
        <v>390</v>
      </c>
      <c r="V25" s="54" t="s">
        <v>185</v>
      </c>
      <c r="W25" s="55" t="s">
        <v>186</v>
      </c>
      <c r="X25" s="55">
        <v>1</v>
      </c>
      <c r="Y25" s="57"/>
      <c r="Z25" s="57">
        <f t="shared" si="5"/>
        <v>0</v>
      </c>
      <c r="AA25" s="172"/>
    </row>
    <row r="26" spans="2:27" x14ac:dyDescent="0.35">
      <c r="B26" t="s">
        <v>273</v>
      </c>
      <c r="C26" t="s">
        <v>29</v>
      </c>
      <c r="D26" s="54" t="s">
        <v>185</v>
      </c>
      <c r="E26" s="55" t="s">
        <v>188</v>
      </c>
      <c r="F26" s="56">
        <v>1</v>
      </c>
      <c r="G26" s="57">
        <v>0.87</v>
      </c>
      <c r="H26" s="57">
        <f t="shared" si="3"/>
        <v>0.87</v>
      </c>
      <c r="I26" s="176" t="s">
        <v>189</v>
      </c>
      <c r="K26" t="s">
        <v>336</v>
      </c>
      <c r="L26" t="s">
        <v>381</v>
      </c>
      <c r="M26" s="54" t="s">
        <v>185</v>
      </c>
      <c r="N26" s="55" t="s">
        <v>188</v>
      </c>
      <c r="O26" s="55">
        <v>1</v>
      </c>
      <c r="P26" s="57">
        <v>0</v>
      </c>
      <c r="Q26" s="57">
        <f t="shared" si="4"/>
        <v>0</v>
      </c>
      <c r="R26" s="173" t="s">
        <v>211</v>
      </c>
      <c r="T26" t="s">
        <v>336</v>
      </c>
      <c r="U26" t="s">
        <v>390</v>
      </c>
      <c r="V26" s="54" t="s">
        <v>185</v>
      </c>
      <c r="W26" s="55" t="s">
        <v>188</v>
      </c>
      <c r="X26" s="55">
        <v>1</v>
      </c>
      <c r="Y26" s="57"/>
      <c r="Z26" s="57">
        <f t="shared" si="5"/>
        <v>0</v>
      </c>
      <c r="AA26" s="173" t="s">
        <v>211</v>
      </c>
    </row>
    <row r="27" spans="2:27" x14ac:dyDescent="0.35">
      <c r="B27" t="s">
        <v>273</v>
      </c>
      <c r="C27" t="s">
        <v>29</v>
      </c>
      <c r="D27" s="54" t="s">
        <v>190</v>
      </c>
      <c r="E27" s="55" t="s">
        <v>191</v>
      </c>
      <c r="F27" s="56">
        <v>70</v>
      </c>
      <c r="G27" s="57">
        <v>330</v>
      </c>
      <c r="H27" s="57">
        <f t="shared" si="3"/>
        <v>23100</v>
      </c>
      <c r="I27" s="176" t="s">
        <v>192</v>
      </c>
      <c r="K27" t="s">
        <v>336</v>
      </c>
      <c r="L27" t="s">
        <v>381</v>
      </c>
      <c r="M27" s="54" t="s">
        <v>190</v>
      </c>
      <c r="N27" s="55" t="s">
        <v>191</v>
      </c>
      <c r="O27" s="55">
        <v>90</v>
      </c>
      <c r="P27" s="57">
        <v>500</v>
      </c>
      <c r="Q27" s="57">
        <f t="shared" si="4"/>
        <v>45000</v>
      </c>
      <c r="R27" s="173" t="s">
        <v>212</v>
      </c>
      <c r="T27" t="s">
        <v>336</v>
      </c>
      <c r="U27" t="s">
        <v>390</v>
      </c>
      <c r="V27" s="54" t="s">
        <v>190</v>
      </c>
      <c r="W27" s="55" t="s">
        <v>191</v>
      </c>
      <c r="X27" s="55">
        <v>70</v>
      </c>
      <c r="Y27" s="57">
        <v>300</v>
      </c>
      <c r="Z27" s="57">
        <f t="shared" si="5"/>
        <v>21000</v>
      </c>
      <c r="AA27" s="173" t="s">
        <v>230</v>
      </c>
    </row>
    <row r="28" spans="2:27" x14ac:dyDescent="0.35">
      <c r="B28" t="s">
        <v>273</v>
      </c>
      <c r="C28" t="s">
        <v>29</v>
      </c>
      <c r="D28" s="55" t="s">
        <v>190</v>
      </c>
      <c r="E28" s="55" t="s">
        <v>193</v>
      </c>
      <c r="F28" s="56">
        <v>3</v>
      </c>
      <c r="G28" s="57">
        <v>375</v>
      </c>
      <c r="H28" s="57">
        <f t="shared" si="3"/>
        <v>1125</v>
      </c>
      <c r="I28" s="176" t="s">
        <v>194</v>
      </c>
      <c r="K28" t="s">
        <v>336</v>
      </c>
      <c r="L28" t="s">
        <v>381</v>
      </c>
      <c r="M28" s="55" t="s">
        <v>190</v>
      </c>
      <c r="N28" s="55" t="s">
        <v>193</v>
      </c>
      <c r="O28" s="56">
        <v>3</v>
      </c>
      <c r="P28" s="57">
        <v>375</v>
      </c>
      <c r="Q28" s="57">
        <f t="shared" si="4"/>
        <v>1125</v>
      </c>
      <c r="R28" s="172" t="s">
        <v>213</v>
      </c>
      <c r="T28" t="s">
        <v>336</v>
      </c>
      <c r="U28" t="s">
        <v>390</v>
      </c>
      <c r="V28" s="55" t="s">
        <v>190</v>
      </c>
      <c r="W28" s="55" t="s">
        <v>193</v>
      </c>
      <c r="X28" s="56">
        <v>3</v>
      </c>
      <c r="Y28" s="57">
        <v>375</v>
      </c>
      <c r="Z28" s="57">
        <f t="shared" si="5"/>
        <v>1125</v>
      </c>
      <c r="AA28" s="172" t="s">
        <v>231</v>
      </c>
    </row>
    <row r="29" spans="2:27" x14ac:dyDescent="0.35">
      <c r="B29" t="s">
        <v>273</v>
      </c>
      <c r="C29" t="s">
        <v>29</v>
      </c>
      <c r="D29" s="55" t="s">
        <v>190</v>
      </c>
      <c r="E29" s="55" t="s">
        <v>193</v>
      </c>
      <c r="F29" s="56">
        <v>3</v>
      </c>
      <c r="G29" s="57">
        <v>1400</v>
      </c>
      <c r="H29" s="57">
        <f t="shared" si="3"/>
        <v>4200</v>
      </c>
      <c r="I29" s="159"/>
      <c r="K29" t="s">
        <v>336</v>
      </c>
      <c r="L29" t="s">
        <v>381</v>
      </c>
      <c r="M29" s="55" t="s">
        <v>190</v>
      </c>
      <c r="N29" s="55" t="s">
        <v>193</v>
      </c>
      <c r="O29" s="56">
        <v>3</v>
      </c>
      <c r="P29" s="57">
        <v>1450</v>
      </c>
      <c r="Q29" s="57">
        <f>O29*P29</f>
        <v>4350</v>
      </c>
      <c r="R29" s="172"/>
      <c r="T29" t="s">
        <v>336</v>
      </c>
      <c r="U29" t="s">
        <v>390</v>
      </c>
      <c r="V29" s="55" t="s">
        <v>190</v>
      </c>
      <c r="W29" s="55" t="s">
        <v>193</v>
      </c>
      <c r="X29" s="56">
        <v>3</v>
      </c>
      <c r="Y29" s="57">
        <v>1400</v>
      </c>
      <c r="Z29" s="57">
        <f t="shared" si="5"/>
        <v>4200</v>
      </c>
      <c r="AA29" s="55"/>
    </row>
    <row r="30" spans="2:27" x14ac:dyDescent="0.35">
      <c r="B30" t="s">
        <v>273</v>
      </c>
      <c r="C30" t="s">
        <v>29</v>
      </c>
      <c r="D30" s="55" t="s">
        <v>190</v>
      </c>
      <c r="E30" s="55" t="s">
        <v>216</v>
      </c>
      <c r="F30">
        <v>3</v>
      </c>
      <c r="G30" s="175">
        <v>1260</v>
      </c>
      <c r="H30" s="57">
        <f t="shared" si="3"/>
        <v>3780</v>
      </c>
      <c r="I30" s="159"/>
      <c r="J30" s="91"/>
      <c r="K30" t="s">
        <v>336</v>
      </c>
      <c r="L30" t="s">
        <v>381</v>
      </c>
      <c r="M30" s="54" t="s">
        <v>190</v>
      </c>
      <c r="N30" s="55" t="s">
        <v>214</v>
      </c>
      <c r="O30">
        <v>3</v>
      </c>
      <c r="P30" s="57">
        <v>465</v>
      </c>
      <c r="Q30" s="57">
        <f t="shared" ref="Q30:Q42" si="6">O30*P30</f>
        <v>1395</v>
      </c>
      <c r="R30" s="172"/>
      <c r="S30" s="91"/>
      <c r="T30" t="s">
        <v>336</v>
      </c>
      <c r="U30" t="s">
        <v>390</v>
      </c>
      <c r="V30" s="55" t="s">
        <v>190</v>
      </c>
      <c r="W30" s="55" t="s">
        <v>216</v>
      </c>
      <c r="X30">
        <v>3</v>
      </c>
      <c r="Y30" s="175">
        <v>1260</v>
      </c>
      <c r="Z30" s="57">
        <f t="shared" si="5"/>
        <v>3780</v>
      </c>
      <c r="AA30" s="172"/>
    </row>
    <row r="31" spans="2:27" x14ac:dyDescent="0.35">
      <c r="B31" t="s">
        <v>273</v>
      </c>
      <c r="C31" t="s">
        <v>29</v>
      </c>
      <c r="D31" s="54" t="s">
        <v>195</v>
      </c>
      <c r="E31" s="55" t="s">
        <v>196</v>
      </c>
      <c r="F31" s="56">
        <v>1</v>
      </c>
      <c r="G31" s="57">
        <v>3000</v>
      </c>
      <c r="H31" s="57">
        <f t="shared" si="3"/>
        <v>3000</v>
      </c>
      <c r="I31" s="176" t="s">
        <v>184</v>
      </c>
      <c r="K31" t="s">
        <v>336</v>
      </c>
      <c r="L31" t="s">
        <v>381</v>
      </c>
      <c r="M31" s="54" t="s">
        <v>190</v>
      </c>
      <c r="N31" s="55" t="s">
        <v>215</v>
      </c>
      <c r="O31">
        <v>3</v>
      </c>
      <c r="P31" s="57">
        <v>235</v>
      </c>
      <c r="Q31" s="57">
        <f t="shared" si="6"/>
        <v>705</v>
      </c>
      <c r="R31" s="172"/>
      <c r="S31" s="91"/>
      <c r="T31" t="s">
        <v>336</v>
      </c>
      <c r="U31" t="s">
        <v>390</v>
      </c>
      <c r="V31" s="54" t="s">
        <v>195</v>
      </c>
      <c r="W31" s="55" t="s">
        <v>196</v>
      </c>
      <c r="X31" s="55">
        <v>1</v>
      </c>
      <c r="Y31" s="57">
        <v>3000</v>
      </c>
      <c r="Z31" s="57">
        <f t="shared" si="5"/>
        <v>3000</v>
      </c>
      <c r="AA31" s="172"/>
    </row>
    <row r="32" spans="2:27" x14ac:dyDescent="0.35">
      <c r="B32" t="s">
        <v>273</v>
      </c>
      <c r="C32" t="s">
        <v>29</v>
      </c>
      <c r="D32" s="54" t="s">
        <v>195</v>
      </c>
      <c r="E32" s="55" t="s">
        <v>197</v>
      </c>
      <c r="F32" s="56">
        <v>1</v>
      </c>
      <c r="G32" s="57"/>
      <c r="H32" s="57">
        <f t="shared" si="3"/>
        <v>0</v>
      </c>
      <c r="I32" s="159" t="s">
        <v>198</v>
      </c>
      <c r="J32" s="91"/>
      <c r="K32" t="s">
        <v>336</v>
      </c>
      <c r="L32" t="s">
        <v>381</v>
      </c>
      <c r="M32" s="54" t="s">
        <v>190</v>
      </c>
      <c r="N32" s="55" t="s">
        <v>216</v>
      </c>
      <c r="O32">
        <v>3</v>
      </c>
      <c r="P32" s="175">
        <v>1260</v>
      </c>
      <c r="Q32" s="57">
        <f t="shared" si="6"/>
        <v>3780</v>
      </c>
      <c r="R32" s="172" t="s">
        <v>217</v>
      </c>
      <c r="S32" s="91"/>
      <c r="T32" t="s">
        <v>336</v>
      </c>
      <c r="U32" t="s">
        <v>390</v>
      </c>
      <c r="V32" s="54" t="s">
        <v>195</v>
      </c>
      <c r="W32" s="55" t="s">
        <v>197</v>
      </c>
      <c r="X32" s="55">
        <v>1</v>
      </c>
      <c r="Y32" s="57">
        <v>3000</v>
      </c>
      <c r="Z32" s="57">
        <f t="shared" si="5"/>
        <v>3000</v>
      </c>
      <c r="AA32" s="172"/>
    </row>
    <row r="33" spans="2:27" x14ac:dyDescent="0.35">
      <c r="B33" t="s">
        <v>273</v>
      </c>
      <c r="C33" t="s">
        <v>29</v>
      </c>
      <c r="D33" s="54" t="s">
        <v>195</v>
      </c>
      <c r="E33" s="55" t="s">
        <v>199</v>
      </c>
      <c r="F33" s="55">
        <v>1</v>
      </c>
      <c r="G33" s="57">
        <v>3000</v>
      </c>
      <c r="H33" s="57">
        <f t="shared" si="3"/>
        <v>3000</v>
      </c>
      <c r="I33" s="176" t="s">
        <v>184</v>
      </c>
      <c r="J33" s="91"/>
      <c r="K33" t="s">
        <v>336</v>
      </c>
      <c r="L33" t="s">
        <v>381</v>
      </c>
      <c r="M33" s="54" t="s">
        <v>195</v>
      </c>
      <c r="N33" s="55" t="s">
        <v>196</v>
      </c>
      <c r="O33" s="55">
        <v>60</v>
      </c>
      <c r="P33" s="57">
        <v>140</v>
      </c>
      <c r="Q33" s="57">
        <f t="shared" si="6"/>
        <v>8400</v>
      </c>
      <c r="R33" s="172"/>
      <c r="T33" t="s">
        <v>336</v>
      </c>
      <c r="U33" t="s">
        <v>390</v>
      </c>
      <c r="V33" s="54" t="s">
        <v>195</v>
      </c>
      <c r="W33" s="55" t="s">
        <v>175</v>
      </c>
      <c r="X33" s="55"/>
      <c r="Y33" s="57"/>
      <c r="Z33" s="57">
        <f t="shared" si="5"/>
        <v>0</v>
      </c>
      <c r="AA33" s="172"/>
    </row>
    <row r="34" spans="2:27" x14ac:dyDescent="0.35">
      <c r="B34" t="s">
        <v>273</v>
      </c>
      <c r="C34" t="s">
        <v>29</v>
      </c>
      <c r="D34" s="54" t="s">
        <v>195</v>
      </c>
      <c r="E34" s="55" t="s">
        <v>246</v>
      </c>
      <c r="F34" s="56">
        <v>12</v>
      </c>
      <c r="G34" s="57">
        <v>250</v>
      </c>
      <c r="H34" s="57">
        <f t="shared" si="3"/>
        <v>3000</v>
      </c>
      <c r="I34" s="159"/>
      <c r="K34" t="s">
        <v>336</v>
      </c>
      <c r="L34" t="s">
        <v>381</v>
      </c>
      <c r="M34" s="54" t="s">
        <v>195</v>
      </c>
      <c r="N34" s="55" t="s">
        <v>197</v>
      </c>
      <c r="O34" s="55">
        <v>1</v>
      </c>
      <c r="P34" s="57">
        <v>0</v>
      </c>
      <c r="Q34" s="57">
        <f t="shared" si="6"/>
        <v>0</v>
      </c>
      <c r="R34" s="172"/>
      <c r="T34" t="s">
        <v>336</v>
      </c>
      <c r="U34" t="s">
        <v>390</v>
      </c>
      <c r="V34" s="54" t="s">
        <v>195</v>
      </c>
      <c r="W34" s="55" t="s">
        <v>175</v>
      </c>
      <c r="X34" s="55"/>
      <c r="Y34" s="57"/>
      <c r="Z34" s="57">
        <f t="shared" si="5"/>
        <v>0</v>
      </c>
      <c r="AA34" s="172"/>
    </row>
    <row r="35" spans="2:27" x14ac:dyDescent="0.35">
      <c r="B35" t="s">
        <v>273</v>
      </c>
      <c r="C35" t="s">
        <v>29</v>
      </c>
      <c r="D35" s="54" t="s">
        <v>201</v>
      </c>
      <c r="E35" s="55" t="s">
        <v>202</v>
      </c>
      <c r="F35" s="56">
        <v>1</v>
      </c>
      <c r="G35" s="57">
        <v>3400</v>
      </c>
      <c r="H35" s="57">
        <f t="shared" si="3"/>
        <v>3400</v>
      </c>
      <c r="I35" s="159" t="s">
        <v>203</v>
      </c>
      <c r="K35" t="s">
        <v>336</v>
      </c>
      <c r="L35" t="s">
        <v>381</v>
      </c>
      <c r="M35" s="54" t="s">
        <v>195</v>
      </c>
      <c r="N35" s="55" t="s">
        <v>199</v>
      </c>
      <c r="O35" s="55">
        <v>565</v>
      </c>
      <c r="P35" s="57">
        <v>50</v>
      </c>
      <c r="Q35" s="57">
        <f t="shared" si="6"/>
        <v>28250</v>
      </c>
      <c r="R35" s="172"/>
      <c r="T35" t="s">
        <v>336</v>
      </c>
      <c r="U35" t="s">
        <v>390</v>
      </c>
      <c r="V35" s="54" t="s">
        <v>201</v>
      </c>
      <c r="W35" s="55" t="s">
        <v>202</v>
      </c>
      <c r="X35" s="55">
        <v>1</v>
      </c>
      <c r="Y35" s="57">
        <v>1700</v>
      </c>
      <c r="Z35" s="57">
        <f t="shared" si="5"/>
        <v>1700</v>
      </c>
      <c r="AA35" s="172"/>
    </row>
    <row r="36" spans="2:27" x14ac:dyDescent="0.35">
      <c r="B36" t="s">
        <v>273</v>
      </c>
      <c r="C36" t="s">
        <v>29</v>
      </c>
      <c r="D36" s="54" t="s">
        <v>204</v>
      </c>
      <c r="E36" s="55" t="s">
        <v>205</v>
      </c>
      <c r="F36" s="56">
        <v>1</v>
      </c>
      <c r="G36" s="57">
        <v>3000</v>
      </c>
      <c r="H36" s="57">
        <f t="shared" si="3"/>
        <v>3000</v>
      </c>
      <c r="I36" s="159"/>
      <c r="K36" t="s">
        <v>336</v>
      </c>
      <c r="L36" t="s">
        <v>381</v>
      </c>
      <c r="M36" s="54" t="s">
        <v>195</v>
      </c>
      <c r="N36" s="55" t="s">
        <v>175</v>
      </c>
      <c r="O36" s="55"/>
      <c r="P36" s="57"/>
      <c r="Q36" s="57">
        <f t="shared" si="6"/>
        <v>0</v>
      </c>
      <c r="R36" s="172"/>
      <c r="T36" t="s">
        <v>336</v>
      </c>
      <c r="U36" t="s">
        <v>390</v>
      </c>
      <c r="V36" s="54" t="s">
        <v>204</v>
      </c>
      <c r="W36" s="55" t="s">
        <v>205</v>
      </c>
      <c r="X36" s="55">
        <v>20000</v>
      </c>
      <c r="Y36" s="57">
        <v>1.25</v>
      </c>
      <c r="Z36" s="57">
        <f t="shared" si="5"/>
        <v>25000</v>
      </c>
      <c r="AA36" s="172"/>
    </row>
    <row r="37" spans="2:27" x14ac:dyDescent="0.35">
      <c r="B37" t="s">
        <v>273</v>
      </c>
      <c r="C37" t="s">
        <v>29</v>
      </c>
      <c r="D37" s="54" t="s">
        <v>204</v>
      </c>
      <c r="E37" s="55" t="s">
        <v>206</v>
      </c>
      <c r="F37" s="56">
        <v>1</v>
      </c>
      <c r="G37" s="57"/>
      <c r="H37" s="57">
        <f t="shared" si="3"/>
        <v>0</v>
      </c>
      <c r="I37" s="159" t="s">
        <v>198</v>
      </c>
      <c r="J37" s="91"/>
      <c r="K37" t="s">
        <v>336</v>
      </c>
      <c r="L37" t="s">
        <v>381</v>
      </c>
      <c r="M37" s="54" t="s">
        <v>195</v>
      </c>
      <c r="N37" s="55" t="s">
        <v>175</v>
      </c>
      <c r="O37" s="55"/>
      <c r="P37" s="57"/>
      <c r="Q37" s="57">
        <f t="shared" si="6"/>
        <v>0</v>
      </c>
      <c r="R37" s="172"/>
      <c r="T37" t="s">
        <v>336</v>
      </c>
      <c r="U37" t="s">
        <v>390</v>
      </c>
      <c r="V37" s="54" t="s">
        <v>204</v>
      </c>
      <c r="W37" s="55" t="s">
        <v>206</v>
      </c>
      <c r="X37" s="55">
        <v>1</v>
      </c>
      <c r="Y37" s="57">
        <v>2000</v>
      </c>
      <c r="Z37" s="57">
        <f t="shared" si="5"/>
        <v>2000</v>
      </c>
      <c r="AA37" s="172"/>
    </row>
    <row r="38" spans="2:27" x14ac:dyDescent="0.35">
      <c r="B38" t="s">
        <v>273</v>
      </c>
      <c r="C38" t="s">
        <v>29</v>
      </c>
      <c r="D38" s="54" t="s">
        <v>204</v>
      </c>
      <c r="E38" s="55" t="s">
        <v>175</v>
      </c>
      <c r="F38" s="56"/>
      <c r="G38" s="57"/>
      <c r="H38" s="57">
        <f t="shared" si="3"/>
        <v>0</v>
      </c>
      <c r="I38" s="159"/>
      <c r="K38" t="s">
        <v>336</v>
      </c>
      <c r="L38" t="s">
        <v>381</v>
      </c>
      <c r="M38" s="54" t="s">
        <v>201</v>
      </c>
      <c r="N38" s="55" t="s">
        <v>202</v>
      </c>
      <c r="O38" s="55">
        <v>1</v>
      </c>
      <c r="P38" s="57">
        <v>18000</v>
      </c>
      <c r="Q38" s="57">
        <f t="shared" si="6"/>
        <v>18000</v>
      </c>
      <c r="R38" s="172" t="s">
        <v>218</v>
      </c>
      <c r="T38" t="s">
        <v>336</v>
      </c>
      <c r="U38" t="s">
        <v>390</v>
      </c>
      <c r="V38" s="54" t="s">
        <v>204</v>
      </c>
      <c r="W38" s="55" t="s">
        <v>175</v>
      </c>
      <c r="X38" s="55"/>
      <c r="Y38" s="57"/>
      <c r="Z38" s="57">
        <f t="shared" si="5"/>
        <v>0</v>
      </c>
      <c r="AA38" s="172"/>
    </row>
    <row r="39" spans="2:27" x14ac:dyDescent="0.35">
      <c r="B39" t="s">
        <v>273</v>
      </c>
      <c r="C39" t="s">
        <v>29</v>
      </c>
      <c r="D39" s="54" t="s">
        <v>204</v>
      </c>
      <c r="E39" s="55" t="s">
        <v>175</v>
      </c>
      <c r="F39" s="56"/>
      <c r="G39" s="57"/>
      <c r="H39" s="57">
        <f t="shared" si="3"/>
        <v>0</v>
      </c>
      <c r="I39" s="159"/>
      <c r="J39" s="91"/>
      <c r="K39" t="s">
        <v>336</v>
      </c>
      <c r="L39" t="s">
        <v>381</v>
      </c>
      <c r="M39" s="54" t="s">
        <v>204</v>
      </c>
      <c r="N39" s="55" t="s">
        <v>205</v>
      </c>
      <c r="O39" s="55">
        <v>450</v>
      </c>
      <c r="P39" s="57">
        <v>75</v>
      </c>
      <c r="Q39" s="57">
        <f t="shared" si="6"/>
        <v>33750</v>
      </c>
      <c r="R39" s="172"/>
      <c r="T39" t="s">
        <v>336</v>
      </c>
      <c r="U39" t="s">
        <v>390</v>
      </c>
      <c r="V39" s="55" t="s">
        <v>204</v>
      </c>
      <c r="W39" s="55" t="s">
        <v>175</v>
      </c>
      <c r="X39" s="55"/>
      <c r="Y39" s="57"/>
      <c r="Z39" s="57">
        <f t="shared" si="5"/>
        <v>0</v>
      </c>
      <c r="AA39" s="55"/>
    </row>
    <row r="40" spans="2:27" x14ac:dyDescent="0.35">
      <c r="B40" t="s">
        <v>28</v>
      </c>
      <c r="H40" s="103">
        <f>SUBTOTAL(109,Aventri_2024IC[Total Cost])</f>
        <v>191980.87</v>
      </c>
      <c r="I40" s="111">
        <f>SUBTOTAL(103,Aventri_2024IC[Comments])</f>
        <v>18</v>
      </c>
      <c r="K40" t="s">
        <v>336</v>
      </c>
      <c r="L40" t="s">
        <v>381</v>
      </c>
      <c r="M40" s="54" t="s">
        <v>204</v>
      </c>
      <c r="N40" s="55" t="s">
        <v>206</v>
      </c>
      <c r="O40" s="55">
        <v>1</v>
      </c>
      <c r="P40" s="57">
        <v>800</v>
      </c>
      <c r="Q40" s="57">
        <f t="shared" si="6"/>
        <v>800</v>
      </c>
      <c r="R40" s="172"/>
      <c r="T40" t="s">
        <v>28</v>
      </c>
      <c r="V40" s="113"/>
      <c r="W40" s="110"/>
      <c r="Y40" s="110"/>
      <c r="Z40" s="112">
        <f>SUBTOTAL(109,MCI_2025IC[Total Cost])</f>
        <v>177555</v>
      </c>
      <c r="AA40" s="179">
        <f>SUBTOTAL(103,MCI_2025IC[Comments])</f>
        <v>13</v>
      </c>
    </row>
    <row r="41" spans="2:27" x14ac:dyDescent="0.35">
      <c r="K41" t="s">
        <v>336</v>
      </c>
      <c r="L41" t="s">
        <v>381</v>
      </c>
      <c r="M41" s="54" t="s">
        <v>204</v>
      </c>
      <c r="N41" s="55" t="s">
        <v>175</v>
      </c>
      <c r="O41" s="55"/>
      <c r="P41" s="57"/>
      <c r="Q41" s="57">
        <f t="shared" si="6"/>
        <v>0</v>
      </c>
      <c r="R41" s="172"/>
    </row>
    <row r="42" spans="2:27" x14ac:dyDescent="0.35">
      <c r="K42" t="s">
        <v>336</v>
      </c>
      <c r="L42" t="s">
        <v>381</v>
      </c>
      <c r="M42" s="55" t="s">
        <v>204</v>
      </c>
      <c r="N42" s="55" t="s">
        <v>175</v>
      </c>
      <c r="O42" s="55"/>
      <c r="P42" s="57"/>
      <c r="Q42" s="57">
        <f t="shared" si="6"/>
        <v>0</v>
      </c>
      <c r="R42" s="55"/>
    </row>
    <row r="43" spans="2:27" x14ac:dyDescent="0.35">
      <c r="K43" t="s">
        <v>28</v>
      </c>
      <c r="M43" s="113"/>
      <c r="N43" s="110"/>
      <c r="P43" s="110"/>
      <c r="Q43" s="112">
        <f>SUBTOTAL(109,CompuSystems_2025IC[Total Cost])</f>
        <v>200975</v>
      </c>
      <c r="R43" s="179">
        <f>SUBTOTAL(103,CompuSystems_2025IC[Comments])</f>
        <v>7</v>
      </c>
    </row>
    <row r="44" spans="2:27" x14ac:dyDescent="0.35">
      <c r="G44" s="103"/>
    </row>
  </sheetData>
  <mergeCells count="6">
    <mergeCell ref="B3:I3"/>
    <mergeCell ref="B2:I2"/>
    <mergeCell ref="K3:R3"/>
    <mergeCell ref="K2:R2"/>
    <mergeCell ref="T3:AA3"/>
    <mergeCell ref="T2:AA2"/>
  </mergeCells>
  <pageMargins left="0.7" right="0.7" top="0.75" bottom="0.75" header="0.3" footer="0.3"/>
  <tableParts count="3">
    <tablePart r:id="rId1"/>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AO48"/>
  <sheetViews>
    <sheetView topLeftCell="Q1" zoomScale="70" zoomScaleNormal="70" workbookViewId="0">
      <selection activeCell="Q2" sqref="Q2:AB2"/>
    </sheetView>
  </sheetViews>
  <sheetFormatPr defaultRowHeight="14.5" x14ac:dyDescent="0.35"/>
  <cols>
    <col min="2" max="2" width="12.81640625" hidden="1" customWidth="1"/>
    <col min="3" max="3" width="16.453125" hidden="1" customWidth="1"/>
    <col min="4" max="4" width="19" hidden="1" customWidth="1"/>
    <col min="5" max="5" width="34.453125" hidden="1" customWidth="1"/>
    <col min="6" max="6" width="23.1796875" hidden="1" customWidth="1"/>
    <col min="7" max="7" width="11.36328125" hidden="1" customWidth="1"/>
    <col min="8" max="8" width="25.81640625" hidden="1" customWidth="1"/>
    <col min="9" max="9" width="21" hidden="1" customWidth="1"/>
    <col min="10" max="10" width="25.81640625" hidden="1" customWidth="1"/>
    <col min="11" max="11" width="21" hidden="1" customWidth="1"/>
    <col min="12" max="12" width="25.81640625" hidden="1" customWidth="1"/>
    <col min="13" max="13" width="21" hidden="1" customWidth="1"/>
    <col min="14" max="14" width="25.81640625" hidden="1" customWidth="1"/>
    <col min="15" max="15" width="158.453125" hidden="1" customWidth="1"/>
    <col min="16" max="16" width="13.453125" hidden="1" customWidth="1"/>
    <col min="17" max="17" width="12.81640625" bestFit="1" customWidth="1"/>
    <col min="18" max="18" width="16.453125" bestFit="1" customWidth="1"/>
    <col min="19" max="19" width="19" bestFit="1" customWidth="1"/>
    <col min="20" max="20" width="34.453125" bestFit="1" customWidth="1"/>
    <col min="21" max="21" width="23.1796875" bestFit="1" customWidth="1"/>
    <col min="22" max="22" width="21" bestFit="1" customWidth="1"/>
    <col min="23" max="23" width="25.81640625" bestFit="1" customWidth="1"/>
    <col min="24" max="24" width="21" bestFit="1" customWidth="1"/>
    <col min="25" max="25" width="25.81640625" bestFit="1" customWidth="1"/>
    <col min="26" max="26" width="21" bestFit="1" customWidth="1"/>
    <col min="27" max="27" width="25.81640625" bestFit="1" customWidth="1"/>
    <col min="28" max="28" width="33" bestFit="1" customWidth="1"/>
    <col min="29" max="29" width="28.453125" customWidth="1"/>
    <col min="30" max="30" width="12.81640625" bestFit="1" customWidth="1"/>
    <col min="31" max="31" width="16.453125" bestFit="1" customWidth="1"/>
    <col min="32" max="32" width="19" bestFit="1" customWidth="1"/>
    <col min="33" max="33" width="34.453125" bestFit="1" customWidth="1"/>
    <col min="34" max="34" width="23.1796875" bestFit="1" customWidth="1"/>
    <col min="35" max="35" width="21" bestFit="1" customWidth="1"/>
    <col min="36" max="36" width="25.81640625" bestFit="1" customWidth="1"/>
    <col min="37" max="37" width="21" bestFit="1" customWidth="1"/>
    <col min="38" max="38" width="25.81640625" bestFit="1" customWidth="1"/>
    <col min="39" max="39" width="21" bestFit="1" customWidth="1"/>
    <col min="40" max="40" width="25.81640625" bestFit="1" customWidth="1"/>
    <col min="41" max="41" width="47.54296875" bestFit="1" customWidth="1"/>
  </cols>
  <sheetData>
    <row r="2" spans="2:41" ht="15" customHeight="1" x14ac:dyDescent="0.35">
      <c r="B2" s="248" t="s">
        <v>29</v>
      </c>
      <c r="C2" s="248"/>
      <c r="D2" s="248"/>
      <c r="E2" s="248"/>
      <c r="F2" s="248"/>
      <c r="G2" s="248"/>
      <c r="H2" s="248"/>
      <c r="I2" s="248"/>
      <c r="J2" s="248"/>
      <c r="K2" s="248"/>
      <c r="L2" s="248"/>
      <c r="M2" s="248"/>
      <c r="N2" s="248"/>
      <c r="O2" s="248"/>
      <c r="Q2" s="249" t="s">
        <v>381</v>
      </c>
      <c r="R2" s="249"/>
      <c r="S2" s="249"/>
      <c r="T2" s="249"/>
      <c r="U2" s="249"/>
      <c r="V2" s="249"/>
      <c r="W2" s="249"/>
      <c r="X2" s="249"/>
      <c r="Y2" s="249"/>
      <c r="Z2" s="249"/>
      <c r="AA2" s="249"/>
      <c r="AB2" s="249"/>
      <c r="AC2" s="88"/>
      <c r="AD2" s="247" t="s">
        <v>390</v>
      </c>
      <c r="AE2" s="247"/>
      <c r="AF2" s="247"/>
      <c r="AG2" s="247"/>
      <c r="AH2" s="247"/>
      <c r="AI2" s="247"/>
      <c r="AJ2" s="247"/>
      <c r="AK2" s="247"/>
      <c r="AL2" s="247"/>
      <c r="AM2" s="247"/>
      <c r="AN2" s="247"/>
      <c r="AO2" s="247"/>
    </row>
    <row r="3" spans="2:41" ht="18.5" x14ac:dyDescent="0.45">
      <c r="B3" s="256" t="s">
        <v>256</v>
      </c>
      <c r="C3" s="256"/>
      <c r="D3" s="256"/>
      <c r="E3" s="256"/>
      <c r="F3" s="256"/>
      <c r="G3" s="256"/>
      <c r="H3" s="256"/>
      <c r="I3" s="256"/>
      <c r="J3" s="256"/>
      <c r="K3" s="256"/>
      <c r="L3" s="256"/>
      <c r="M3" s="256"/>
      <c r="N3" s="256"/>
      <c r="O3" s="257"/>
      <c r="P3" s="76"/>
      <c r="Q3" s="256" t="s">
        <v>343</v>
      </c>
      <c r="R3" s="256"/>
      <c r="S3" s="256"/>
      <c r="T3" s="256"/>
      <c r="U3" s="256"/>
      <c r="V3" s="256"/>
      <c r="W3" s="256"/>
      <c r="X3" s="256"/>
      <c r="Y3" s="256"/>
      <c r="Z3" s="256"/>
      <c r="AA3" s="256"/>
      <c r="AB3" s="257"/>
      <c r="AC3" s="76"/>
      <c r="AD3" s="256" t="s">
        <v>343</v>
      </c>
      <c r="AE3" s="256"/>
      <c r="AF3" s="256"/>
      <c r="AG3" s="256"/>
      <c r="AH3" s="256"/>
      <c r="AI3" s="256"/>
      <c r="AJ3" s="256"/>
      <c r="AK3" s="256"/>
      <c r="AL3" s="256"/>
      <c r="AM3" s="256"/>
      <c r="AN3" s="256"/>
      <c r="AO3" s="257"/>
    </row>
    <row r="4" spans="2:41" ht="15.5" x14ac:dyDescent="0.35">
      <c r="B4" t="s">
        <v>141</v>
      </c>
      <c r="C4" t="s">
        <v>22</v>
      </c>
      <c r="D4" t="s">
        <v>152</v>
      </c>
      <c r="E4" s="60" t="s">
        <v>153</v>
      </c>
      <c r="F4" s="61" t="s">
        <v>247</v>
      </c>
      <c r="G4" s="62" t="s">
        <v>275</v>
      </c>
      <c r="H4" s="63" t="s">
        <v>248</v>
      </c>
      <c r="I4" s="64" t="s">
        <v>249</v>
      </c>
      <c r="J4" s="61" t="s">
        <v>250</v>
      </c>
      <c r="K4" s="64" t="s">
        <v>251</v>
      </c>
      <c r="L4" s="61" t="s">
        <v>252</v>
      </c>
      <c r="M4" s="64" t="s">
        <v>253</v>
      </c>
      <c r="N4" s="61" t="s">
        <v>254</v>
      </c>
      <c r="O4" s="65" t="s">
        <v>157</v>
      </c>
      <c r="P4" s="76"/>
      <c r="Q4" t="s">
        <v>141</v>
      </c>
      <c r="R4" t="s">
        <v>22</v>
      </c>
      <c r="S4" s="77" t="s">
        <v>152</v>
      </c>
      <c r="T4" s="60" t="s">
        <v>153</v>
      </c>
      <c r="U4" s="61" t="s">
        <v>247</v>
      </c>
      <c r="V4" s="64" t="s">
        <v>310</v>
      </c>
      <c r="W4" s="61" t="s">
        <v>252</v>
      </c>
      <c r="X4" s="64" t="s">
        <v>347</v>
      </c>
      <c r="Y4" s="61" t="s">
        <v>254</v>
      </c>
      <c r="Z4" s="64" t="s">
        <v>348</v>
      </c>
      <c r="AA4" s="61" t="s">
        <v>349</v>
      </c>
      <c r="AB4" s="96" t="s">
        <v>157</v>
      </c>
      <c r="AC4" s="90"/>
      <c r="AD4" t="s">
        <v>141</v>
      </c>
      <c r="AE4" t="s">
        <v>22</v>
      </c>
      <c r="AF4" s="77" t="s">
        <v>152</v>
      </c>
      <c r="AG4" s="60" t="s">
        <v>153</v>
      </c>
      <c r="AH4" s="61" t="s">
        <v>247</v>
      </c>
      <c r="AI4" s="64" t="s">
        <v>310</v>
      </c>
      <c r="AJ4" s="61" t="s">
        <v>252</v>
      </c>
      <c r="AK4" s="64" t="s">
        <v>347</v>
      </c>
      <c r="AL4" s="61" t="s">
        <v>254</v>
      </c>
      <c r="AM4" s="64" t="s">
        <v>348</v>
      </c>
      <c r="AN4" s="61" t="s">
        <v>349</v>
      </c>
      <c r="AO4" s="65" t="s">
        <v>157</v>
      </c>
    </row>
    <row r="5" spans="2:41" x14ac:dyDescent="0.35">
      <c r="B5" s="78" t="s">
        <v>270</v>
      </c>
      <c r="C5" t="s">
        <v>29</v>
      </c>
      <c r="D5" t="s">
        <v>158</v>
      </c>
      <c r="E5" s="66" t="s">
        <v>159</v>
      </c>
      <c r="F5" s="180">
        <v>1500</v>
      </c>
      <c r="G5" s="181">
        <v>0</v>
      </c>
      <c r="H5" s="71">
        <f>F5*G5</f>
        <v>0</v>
      </c>
      <c r="I5" s="69">
        <v>0</v>
      </c>
      <c r="J5" s="70">
        <f>F5*I5</f>
        <v>0</v>
      </c>
      <c r="K5" s="69">
        <v>0</v>
      </c>
      <c r="L5" s="70">
        <f>F5*K5</f>
        <v>0</v>
      </c>
      <c r="M5" s="69">
        <v>0</v>
      </c>
      <c r="N5" s="70">
        <f>F5*M5</f>
        <v>0</v>
      </c>
      <c r="O5" s="182" t="s">
        <v>160</v>
      </c>
      <c r="P5" s="76"/>
      <c r="Q5" s="78" t="s">
        <v>342</v>
      </c>
      <c r="R5" t="s">
        <v>381</v>
      </c>
      <c r="S5" t="s">
        <v>158</v>
      </c>
      <c r="T5" s="66" t="s">
        <v>159</v>
      </c>
      <c r="U5" s="180">
        <v>1500</v>
      </c>
      <c r="V5" s="69"/>
      <c r="W5" s="70">
        <f t="shared" ref="W5:W29" si="0">U5*V5</f>
        <v>0</v>
      </c>
      <c r="X5" s="69"/>
      <c r="Y5" s="70">
        <f t="shared" ref="Y5:Y29" si="1">U5*X5</f>
        <v>0</v>
      </c>
      <c r="Z5" s="69"/>
      <c r="AA5" s="70">
        <f t="shared" ref="AA5:AA29" si="2">U5*Z5</f>
        <v>0</v>
      </c>
      <c r="AB5" s="183"/>
      <c r="AC5" s="78"/>
      <c r="AD5" s="78" t="s">
        <v>342</v>
      </c>
      <c r="AE5" t="s">
        <v>390</v>
      </c>
      <c r="AF5" t="s">
        <v>158</v>
      </c>
      <c r="AG5" s="66" t="s">
        <v>159</v>
      </c>
      <c r="AH5" s="180">
        <v>1500</v>
      </c>
      <c r="AI5" s="69">
        <v>3</v>
      </c>
      <c r="AJ5" s="70">
        <f>AH5*AI5</f>
        <v>4500</v>
      </c>
      <c r="AK5" s="69">
        <v>3</v>
      </c>
      <c r="AL5" s="70">
        <f t="shared" ref="AL5:AL19" si="3">AH5*AK5</f>
        <v>4500</v>
      </c>
      <c r="AM5" s="69">
        <v>3</v>
      </c>
      <c r="AN5" s="70">
        <f t="shared" ref="AN5:AN19" si="4">AH5*AM5</f>
        <v>4500</v>
      </c>
      <c r="AO5" s="172" t="s">
        <v>219</v>
      </c>
    </row>
    <row r="6" spans="2:41" x14ac:dyDescent="0.35">
      <c r="B6" s="78" t="s">
        <v>270</v>
      </c>
      <c r="C6" t="s">
        <v>29</v>
      </c>
      <c r="D6" t="s">
        <v>158</v>
      </c>
      <c r="E6" s="184" t="s">
        <v>161</v>
      </c>
      <c r="F6" s="67">
        <v>1</v>
      </c>
      <c r="G6" s="181" t="s">
        <v>162</v>
      </c>
      <c r="H6" s="71">
        <v>0</v>
      </c>
      <c r="I6" s="69" t="s">
        <v>162</v>
      </c>
      <c r="J6" s="70">
        <v>0</v>
      </c>
      <c r="K6" s="69" t="s">
        <v>162</v>
      </c>
      <c r="L6" s="70">
        <v>0</v>
      </c>
      <c r="M6" s="69" t="s">
        <v>162</v>
      </c>
      <c r="N6" s="70">
        <v>0</v>
      </c>
      <c r="O6" s="182" t="s">
        <v>163</v>
      </c>
      <c r="P6" s="76"/>
      <c r="Q6" s="78" t="s">
        <v>342</v>
      </c>
      <c r="R6" t="s">
        <v>381</v>
      </c>
      <c r="S6" t="s">
        <v>158</v>
      </c>
      <c r="T6" s="184" t="s">
        <v>161</v>
      </c>
      <c r="U6" s="67"/>
      <c r="V6" s="69">
        <v>140</v>
      </c>
      <c r="W6" s="70">
        <f t="shared" si="0"/>
        <v>0</v>
      </c>
      <c r="X6" s="69">
        <v>140</v>
      </c>
      <c r="Y6" s="70">
        <f t="shared" si="1"/>
        <v>0</v>
      </c>
      <c r="Z6" s="69">
        <v>140</v>
      </c>
      <c r="AA6" s="70">
        <f t="shared" si="2"/>
        <v>0</v>
      </c>
      <c r="AB6" s="183" t="s">
        <v>208</v>
      </c>
      <c r="AC6" s="79"/>
      <c r="AD6" s="78" t="s">
        <v>342</v>
      </c>
      <c r="AE6" t="s">
        <v>390</v>
      </c>
      <c r="AF6" t="s">
        <v>158</v>
      </c>
      <c r="AG6" s="184" t="s">
        <v>161</v>
      </c>
      <c r="AH6" s="67">
        <v>1</v>
      </c>
      <c r="AI6" s="69"/>
      <c r="AJ6" s="70">
        <f t="shared" ref="AJ6:AJ20" si="5">AH6*AI6</f>
        <v>0</v>
      </c>
      <c r="AK6" s="69"/>
      <c r="AL6" s="70">
        <f t="shared" si="3"/>
        <v>0</v>
      </c>
      <c r="AM6" s="69"/>
      <c r="AN6" s="70">
        <f t="shared" si="4"/>
        <v>0</v>
      </c>
      <c r="AO6" s="182"/>
    </row>
    <row r="7" spans="2:41" x14ac:dyDescent="0.35">
      <c r="B7" s="78" t="s">
        <v>270</v>
      </c>
      <c r="C7" t="s">
        <v>29</v>
      </c>
      <c r="D7" t="s">
        <v>158</v>
      </c>
      <c r="E7" s="184" t="s">
        <v>164</v>
      </c>
      <c r="F7" s="67">
        <v>1</v>
      </c>
      <c r="G7" s="181">
        <v>0</v>
      </c>
      <c r="H7" s="71">
        <f t="shared" ref="H7:H37" si="6">F7*G7</f>
        <v>0</v>
      </c>
      <c r="I7" s="69">
        <v>0</v>
      </c>
      <c r="J7" s="70">
        <f t="shared" ref="J7:J37" si="7">F7*I7</f>
        <v>0</v>
      </c>
      <c r="K7" s="69">
        <v>0</v>
      </c>
      <c r="L7" s="70">
        <f t="shared" ref="L7:L37" si="8">F7*K7</f>
        <v>0</v>
      </c>
      <c r="M7" s="69">
        <v>0</v>
      </c>
      <c r="N7" s="70">
        <f t="shared" ref="N7:N37" si="9">F7*M7</f>
        <v>0</v>
      </c>
      <c r="O7" s="182" t="s">
        <v>165</v>
      </c>
      <c r="P7" s="76"/>
      <c r="Q7" s="78" t="s">
        <v>342</v>
      </c>
      <c r="R7" t="s">
        <v>381</v>
      </c>
      <c r="S7" t="s">
        <v>158</v>
      </c>
      <c r="T7" s="184" t="s">
        <v>164</v>
      </c>
      <c r="U7" s="67">
        <v>1</v>
      </c>
      <c r="V7" s="69"/>
      <c r="W7" s="70">
        <f t="shared" si="0"/>
        <v>0</v>
      </c>
      <c r="X7" s="69"/>
      <c r="Y7" s="70">
        <f t="shared" si="1"/>
        <v>0</v>
      </c>
      <c r="Z7" s="69"/>
      <c r="AA7" s="70">
        <f t="shared" si="2"/>
        <v>0</v>
      </c>
      <c r="AB7" s="183"/>
      <c r="AC7" s="79"/>
      <c r="AD7" s="78" t="s">
        <v>342</v>
      </c>
      <c r="AE7" t="s">
        <v>390</v>
      </c>
      <c r="AF7" t="s">
        <v>158</v>
      </c>
      <c r="AG7" s="184" t="s">
        <v>164</v>
      </c>
      <c r="AH7" s="67">
        <v>1</v>
      </c>
      <c r="AI7" s="69"/>
      <c r="AJ7" s="70">
        <f t="shared" si="5"/>
        <v>0</v>
      </c>
      <c r="AK7" s="69"/>
      <c r="AL7" s="70">
        <f t="shared" si="3"/>
        <v>0</v>
      </c>
      <c r="AM7" s="69"/>
      <c r="AN7" s="70">
        <f t="shared" si="4"/>
        <v>0</v>
      </c>
      <c r="AO7" s="182"/>
    </row>
    <row r="8" spans="2:41" x14ac:dyDescent="0.35">
      <c r="B8" s="78" t="s">
        <v>270</v>
      </c>
      <c r="C8" t="s">
        <v>29</v>
      </c>
      <c r="D8" t="s">
        <v>158</v>
      </c>
      <c r="E8" s="184" t="s">
        <v>166</v>
      </c>
      <c r="F8" s="67">
        <v>6</v>
      </c>
      <c r="G8" s="181">
        <v>0</v>
      </c>
      <c r="H8" s="71">
        <f t="shared" si="6"/>
        <v>0</v>
      </c>
      <c r="I8" s="69">
        <v>0</v>
      </c>
      <c r="J8" s="70">
        <f t="shared" si="7"/>
        <v>0</v>
      </c>
      <c r="K8" s="69">
        <v>0</v>
      </c>
      <c r="L8" s="70">
        <f t="shared" si="8"/>
        <v>0</v>
      </c>
      <c r="M8" s="69">
        <v>0</v>
      </c>
      <c r="N8" s="70">
        <f t="shared" si="9"/>
        <v>0</v>
      </c>
      <c r="O8" s="182" t="s">
        <v>167</v>
      </c>
      <c r="P8" s="76"/>
      <c r="Q8" s="78" t="s">
        <v>342</v>
      </c>
      <c r="R8" t="s">
        <v>381</v>
      </c>
      <c r="S8" t="s">
        <v>158</v>
      </c>
      <c r="T8" s="184" t="s">
        <v>166</v>
      </c>
      <c r="U8" s="67">
        <v>6</v>
      </c>
      <c r="V8" s="69"/>
      <c r="W8" s="70">
        <f t="shared" si="0"/>
        <v>0</v>
      </c>
      <c r="X8" s="69"/>
      <c r="Y8" s="70">
        <f t="shared" si="1"/>
        <v>0</v>
      </c>
      <c r="Z8" s="69"/>
      <c r="AA8" s="70">
        <f t="shared" si="2"/>
        <v>0</v>
      </c>
      <c r="AB8" s="183"/>
      <c r="AC8" s="79"/>
      <c r="AD8" s="78" t="s">
        <v>342</v>
      </c>
      <c r="AE8" t="s">
        <v>390</v>
      </c>
      <c r="AF8" t="s">
        <v>158</v>
      </c>
      <c r="AG8" s="184" t="s">
        <v>166</v>
      </c>
      <c r="AH8" s="67">
        <v>6</v>
      </c>
      <c r="AI8" s="69"/>
      <c r="AJ8" s="70">
        <f t="shared" si="5"/>
        <v>0</v>
      </c>
      <c r="AK8" s="69"/>
      <c r="AL8" s="70">
        <f t="shared" si="3"/>
        <v>0</v>
      </c>
      <c r="AM8" s="69"/>
      <c r="AN8" s="70">
        <f t="shared" si="4"/>
        <v>0</v>
      </c>
      <c r="AO8" s="182"/>
    </row>
    <row r="9" spans="2:41" x14ac:dyDescent="0.35">
      <c r="B9" s="78" t="s">
        <v>270</v>
      </c>
      <c r="C9" t="s">
        <v>29</v>
      </c>
      <c r="D9" t="s">
        <v>169</v>
      </c>
      <c r="E9" s="66" t="s">
        <v>170</v>
      </c>
      <c r="F9" s="67">
        <v>4</v>
      </c>
      <c r="G9" s="68">
        <v>350</v>
      </c>
      <c r="H9" s="68">
        <f t="shared" si="6"/>
        <v>1400</v>
      </c>
      <c r="I9" s="69">
        <v>350</v>
      </c>
      <c r="J9" s="70">
        <f t="shared" si="7"/>
        <v>1400</v>
      </c>
      <c r="K9" s="69">
        <v>350</v>
      </c>
      <c r="L9" s="70">
        <f t="shared" si="8"/>
        <v>1400</v>
      </c>
      <c r="M9" s="69">
        <v>350</v>
      </c>
      <c r="N9" s="70">
        <f t="shared" si="9"/>
        <v>1400</v>
      </c>
      <c r="O9" s="182"/>
      <c r="P9" s="79"/>
      <c r="Q9" s="78" t="s">
        <v>342</v>
      </c>
      <c r="R9" t="s">
        <v>381</v>
      </c>
      <c r="S9" t="s">
        <v>169</v>
      </c>
      <c r="T9" s="66" t="s">
        <v>170</v>
      </c>
      <c r="U9" s="67">
        <v>4</v>
      </c>
      <c r="V9" s="69">
        <v>150</v>
      </c>
      <c r="W9" s="70">
        <f t="shared" si="0"/>
        <v>600</v>
      </c>
      <c r="X9" s="69">
        <v>150</v>
      </c>
      <c r="Y9" s="70">
        <f t="shared" si="1"/>
        <v>600</v>
      </c>
      <c r="Z9" s="69">
        <v>150</v>
      </c>
      <c r="AA9" s="70">
        <f t="shared" si="2"/>
        <v>600</v>
      </c>
      <c r="AB9" s="183"/>
      <c r="AC9" s="79"/>
      <c r="AD9" s="78" t="s">
        <v>342</v>
      </c>
      <c r="AE9" t="s">
        <v>390</v>
      </c>
      <c r="AF9" t="s">
        <v>169</v>
      </c>
      <c r="AG9" s="66" t="s">
        <v>170</v>
      </c>
      <c r="AH9" s="67">
        <v>4</v>
      </c>
      <c r="AI9" s="69">
        <v>300</v>
      </c>
      <c r="AJ9" s="70">
        <f t="shared" si="5"/>
        <v>1200</v>
      </c>
      <c r="AK9" s="69">
        <v>300</v>
      </c>
      <c r="AL9" s="70">
        <f t="shared" si="3"/>
        <v>1200</v>
      </c>
      <c r="AM9" s="69">
        <v>300</v>
      </c>
      <c r="AN9" s="70">
        <f t="shared" si="4"/>
        <v>1200</v>
      </c>
      <c r="AO9" s="172" t="s">
        <v>260</v>
      </c>
    </row>
    <row r="10" spans="2:41" x14ac:dyDescent="0.35">
      <c r="B10" s="78" t="s">
        <v>270</v>
      </c>
      <c r="C10" t="s">
        <v>29</v>
      </c>
      <c r="D10" t="s">
        <v>169</v>
      </c>
      <c r="E10" s="66" t="s">
        <v>171</v>
      </c>
      <c r="F10" s="67">
        <v>5</v>
      </c>
      <c r="G10" s="68">
        <v>75</v>
      </c>
      <c r="H10" s="68">
        <f t="shared" si="6"/>
        <v>375</v>
      </c>
      <c r="I10" s="69">
        <v>75</v>
      </c>
      <c r="J10" s="70">
        <f t="shared" si="7"/>
        <v>375</v>
      </c>
      <c r="K10" s="69">
        <v>75</v>
      </c>
      <c r="L10" s="70">
        <f t="shared" si="8"/>
        <v>375</v>
      </c>
      <c r="M10" s="69">
        <v>75</v>
      </c>
      <c r="N10" s="70">
        <f t="shared" si="9"/>
        <v>375</v>
      </c>
      <c r="O10" s="182"/>
      <c r="P10" s="78"/>
      <c r="Q10" s="78" t="s">
        <v>342</v>
      </c>
      <c r="R10" t="s">
        <v>381</v>
      </c>
      <c r="S10" t="s">
        <v>169</v>
      </c>
      <c r="T10" s="66" t="s">
        <v>171</v>
      </c>
      <c r="U10" s="67">
        <v>5</v>
      </c>
      <c r="V10" s="69">
        <v>150</v>
      </c>
      <c r="W10" s="70">
        <f t="shared" si="0"/>
        <v>750</v>
      </c>
      <c r="X10" s="69">
        <v>150</v>
      </c>
      <c r="Y10" s="70">
        <f t="shared" si="1"/>
        <v>750</v>
      </c>
      <c r="Z10" s="69">
        <v>150</v>
      </c>
      <c r="AA10" s="70">
        <f t="shared" si="2"/>
        <v>750</v>
      </c>
      <c r="AB10" s="183"/>
      <c r="AC10" s="78"/>
      <c r="AD10" s="78" t="s">
        <v>342</v>
      </c>
      <c r="AE10" t="s">
        <v>390</v>
      </c>
      <c r="AF10" t="s">
        <v>169</v>
      </c>
      <c r="AG10" s="66" t="s">
        <v>171</v>
      </c>
      <c r="AH10" s="67">
        <v>6</v>
      </c>
      <c r="AI10" s="69">
        <v>100</v>
      </c>
      <c r="AJ10" s="70">
        <f t="shared" si="5"/>
        <v>600</v>
      </c>
      <c r="AK10" s="69">
        <v>100</v>
      </c>
      <c r="AL10" s="70">
        <f t="shared" si="3"/>
        <v>600</v>
      </c>
      <c r="AM10" s="69">
        <v>100</v>
      </c>
      <c r="AN10" s="70">
        <f t="shared" si="4"/>
        <v>600</v>
      </c>
      <c r="AO10" s="172" t="s">
        <v>261</v>
      </c>
    </row>
    <row r="11" spans="2:41" x14ac:dyDescent="0.35">
      <c r="B11" s="78" t="s">
        <v>270</v>
      </c>
      <c r="C11" t="s">
        <v>29</v>
      </c>
      <c r="D11" t="s">
        <v>169</v>
      </c>
      <c r="E11" s="66" t="s">
        <v>172</v>
      </c>
      <c r="F11" s="67">
        <v>1</v>
      </c>
      <c r="G11" s="68"/>
      <c r="H11" s="68">
        <f t="shared" si="6"/>
        <v>0</v>
      </c>
      <c r="I11" s="69"/>
      <c r="J11" s="70">
        <f t="shared" si="7"/>
        <v>0</v>
      </c>
      <c r="K11" s="69"/>
      <c r="L11" s="70">
        <f t="shared" si="8"/>
        <v>0</v>
      </c>
      <c r="M11" s="69"/>
      <c r="N11" s="70">
        <f t="shared" si="9"/>
        <v>0</v>
      </c>
      <c r="O11" s="182" t="s">
        <v>173</v>
      </c>
      <c r="P11" s="79"/>
      <c r="Q11" s="78" t="s">
        <v>342</v>
      </c>
      <c r="R11" t="s">
        <v>381</v>
      </c>
      <c r="S11" t="s">
        <v>169</v>
      </c>
      <c r="T11" s="66" t="s">
        <v>172</v>
      </c>
      <c r="U11" s="67">
        <v>1</v>
      </c>
      <c r="V11" s="69">
        <v>0</v>
      </c>
      <c r="W11" s="70">
        <f t="shared" si="0"/>
        <v>0</v>
      </c>
      <c r="X11" s="69">
        <v>0</v>
      </c>
      <c r="Y11" s="70">
        <f t="shared" si="1"/>
        <v>0</v>
      </c>
      <c r="Z11" s="69">
        <v>0</v>
      </c>
      <c r="AA11" s="70">
        <f t="shared" si="2"/>
        <v>0</v>
      </c>
      <c r="AB11" s="183"/>
      <c r="AC11" s="79"/>
      <c r="AD11" s="78" t="s">
        <v>342</v>
      </c>
      <c r="AE11" t="s">
        <v>390</v>
      </c>
      <c r="AF11" t="s">
        <v>169</v>
      </c>
      <c r="AG11" s="66" t="s">
        <v>172</v>
      </c>
      <c r="AH11" s="67">
        <v>1</v>
      </c>
      <c r="AI11" s="69">
        <v>0</v>
      </c>
      <c r="AJ11" s="70">
        <f t="shared" si="5"/>
        <v>0</v>
      </c>
      <c r="AK11" s="69">
        <v>0</v>
      </c>
      <c r="AL11" s="70">
        <f t="shared" si="3"/>
        <v>0</v>
      </c>
      <c r="AM11" s="69">
        <v>0</v>
      </c>
      <c r="AN11" s="70">
        <f t="shared" si="4"/>
        <v>0</v>
      </c>
      <c r="AO11" s="172" t="s">
        <v>222</v>
      </c>
    </row>
    <row r="12" spans="2:41" x14ac:dyDescent="0.35">
      <c r="B12" s="78" t="s">
        <v>270</v>
      </c>
      <c r="C12" t="s">
        <v>29</v>
      </c>
      <c r="D12" t="s">
        <v>169</v>
      </c>
      <c r="E12" s="66" t="s">
        <v>174</v>
      </c>
      <c r="F12" s="67">
        <v>20</v>
      </c>
      <c r="G12" s="68">
        <v>100</v>
      </c>
      <c r="H12" s="68">
        <f t="shared" si="6"/>
        <v>2000</v>
      </c>
      <c r="I12" s="69">
        <v>100</v>
      </c>
      <c r="J12" s="70">
        <f t="shared" si="7"/>
        <v>2000</v>
      </c>
      <c r="K12" s="69">
        <v>100</v>
      </c>
      <c r="L12" s="70">
        <f t="shared" si="8"/>
        <v>2000</v>
      </c>
      <c r="M12" s="69">
        <v>100</v>
      </c>
      <c r="N12" s="70">
        <f t="shared" si="9"/>
        <v>2000</v>
      </c>
      <c r="O12" s="182"/>
      <c r="P12" s="79"/>
      <c r="Q12" s="78" t="s">
        <v>342</v>
      </c>
      <c r="R12" t="s">
        <v>381</v>
      </c>
      <c r="S12" t="s">
        <v>169</v>
      </c>
      <c r="T12" s="66" t="s">
        <v>174</v>
      </c>
      <c r="U12" s="67">
        <v>20</v>
      </c>
      <c r="V12" s="69">
        <v>100</v>
      </c>
      <c r="W12" s="70">
        <f t="shared" si="0"/>
        <v>2000</v>
      </c>
      <c r="X12" s="69">
        <v>100</v>
      </c>
      <c r="Y12" s="70">
        <f t="shared" si="1"/>
        <v>2000</v>
      </c>
      <c r="Z12" s="69">
        <v>100</v>
      </c>
      <c r="AA12" s="70">
        <f t="shared" si="2"/>
        <v>2000</v>
      </c>
      <c r="AB12" s="183"/>
      <c r="AC12" s="79"/>
      <c r="AD12" s="78" t="s">
        <v>342</v>
      </c>
      <c r="AE12" t="s">
        <v>390</v>
      </c>
      <c r="AF12" t="s">
        <v>169</v>
      </c>
      <c r="AG12" s="66" t="s">
        <v>174</v>
      </c>
      <c r="AH12" s="67">
        <v>20</v>
      </c>
      <c r="AI12" s="69">
        <v>100</v>
      </c>
      <c r="AJ12" s="70">
        <f t="shared" si="5"/>
        <v>2000</v>
      </c>
      <c r="AK12" s="69">
        <v>100</v>
      </c>
      <c r="AL12" s="70">
        <f t="shared" si="3"/>
        <v>2000</v>
      </c>
      <c r="AM12" s="69">
        <v>100</v>
      </c>
      <c r="AN12" s="70">
        <f t="shared" si="4"/>
        <v>2000</v>
      </c>
      <c r="AO12" s="172" t="s">
        <v>262</v>
      </c>
    </row>
    <row r="13" spans="2:41" x14ac:dyDescent="0.35">
      <c r="B13" s="78" t="s">
        <v>270</v>
      </c>
      <c r="C13" t="s">
        <v>29</v>
      </c>
      <c r="D13" t="s">
        <v>169</v>
      </c>
      <c r="E13" s="66" t="s">
        <v>175</v>
      </c>
      <c r="F13" s="67"/>
      <c r="G13" s="181"/>
      <c r="H13" s="71">
        <f t="shared" si="6"/>
        <v>0</v>
      </c>
      <c r="I13" s="69"/>
      <c r="J13" s="70">
        <f t="shared" si="7"/>
        <v>0</v>
      </c>
      <c r="K13" s="69"/>
      <c r="L13" s="70">
        <f t="shared" si="8"/>
        <v>0</v>
      </c>
      <c r="M13" s="69"/>
      <c r="N13" s="70">
        <f t="shared" si="9"/>
        <v>0</v>
      </c>
      <c r="O13" s="182"/>
      <c r="P13" s="79"/>
      <c r="Q13" s="78" t="s">
        <v>342</v>
      </c>
      <c r="R13" t="s">
        <v>381</v>
      </c>
      <c r="S13" t="s">
        <v>169</v>
      </c>
      <c r="T13" s="66" t="s">
        <v>322</v>
      </c>
      <c r="U13" s="67">
        <v>5</v>
      </c>
      <c r="V13" s="69">
        <v>10</v>
      </c>
      <c r="W13" s="70">
        <f t="shared" si="0"/>
        <v>50</v>
      </c>
      <c r="X13" s="69">
        <v>10</v>
      </c>
      <c r="Y13" s="70">
        <f t="shared" si="1"/>
        <v>50</v>
      </c>
      <c r="Z13" s="69">
        <v>10</v>
      </c>
      <c r="AA13" s="70">
        <f t="shared" si="2"/>
        <v>50</v>
      </c>
      <c r="AB13" s="183"/>
      <c r="AC13" s="79"/>
      <c r="AD13" s="78" t="s">
        <v>342</v>
      </c>
      <c r="AE13" t="s">
        <v>390</v>
      </c>
      <c r="AF13" t="s">
        <v>169</v>
      </c>
      <c r="AG13" s="66" t="s">
        <v>175</v>
      </c>
      <c r="AH13" s="67"/>
      <c r="AI13" s="69"/>
      <c r="AJ13" s="70">
        <f t="shared" si="5"/>
        <v>0</v>
      </c>
      <c r="AK13" s="69"/>
      <c r="AL13" s="70">
        <f t="shared" si="3"/>
        <v>0</v>
      </c>
      <c r="AM13" s="69"/>
      <c r="AN13" s="70">
        <f t="shared" si="4"/>
        <v>0</v>
      </c>
      <c r="AO13" s="182"/>
    </row>
    <row r="14" spans="2:41" x14ac:dyDescent="0.35">
      <c r="B14" s="78" t="s">
        <v>270</v>
      </c>
      <c r="C14" t="s">
        <v>29</v>
      </c>
      <c r="D14" t="s">
        <v>169</v>
      </c>
      <c r="E14" s="66" t="s">
        <v>175</v>
      </c>
      <c r="F14" s="67"/>
      <c r="G14" s="181"/>
      <c r="H14" s="71">
        <f t="shared" si="6"/>
        <v>0</v>
      </c>
      <c r="I14" s="69"/>
      <c r="J14" s="70">
        <f t="shared" si="7"/>
        <v>0</v>
      </c>
      <c r="K14" s="69"/>
      <c r="L14" s="70">
        <f t="shared" si="8"/>
        <v>0</v>
      </c>
      <c r="M14" s="69"/>
      <c r="N14" s="70">
        <f t="shared" si="9"/>
        <v>0</v>
      </c>
      <c r="O14" s="182"/>
      <c r="P14" s="79"/>
      <c r="Q14" s="78" t="s">
        <v>342</v>
      </c>
      <c r="R14" t="s">
        <v>381</v>
      </c>
      <c r="S14" t="s">
        <v>169</v>
      </c>
      <c r="T14" s="66" t="s">
        <v>175</v>
      </c>
      <c r="U14" s="67"/>
      <c r="V14" s="69"/>
      <c r="W14" s="70">
        <f t="shared" si="0"/>
        <v>0</v>
      </c>
      <c r="X14" s="69"/>
      <c r="Y14" s="70">
        <f t="shared" si="1"/>
        <v>0</v>
      </c>
      <c r="Z14" s="69"/>
      <c r="AA14" s="70">
        <f t="shared" si="2"/>
        <v>0</v>
      </c>
      <c r="AB14" s="183"/>
      <c r="AC14" s="79"/>
      <c r="AD14" s="78" t="s">
        <v>342</v>
      </c>
      <c r="AE14" t="s">
        <v>390</v>
      </c>
      <c r="AF14" t="s">
        <v>169</v>
      </c>
      <c r="AG14" s="66" t="s">
        <v>175</v>
      </c>
      <c r="AH14" s="67"/>
      <c r="AI14" s="69"/>
      <c r="AJ14" s="70">
        <f t="shared" si="5"/>
        <v>0</v>
      </c>
      <c r="AK14" s="69"/>
      <c r="AL14" s="70">
        <f t="shared" si="3"/>
        <v>0</v>
      </c>
      <c r="AM14" s="69"/>
      <c r="AN14" s="70">
        <f t="shared" si="4"/>
        <v>0</v>
      </c>
      <c r="AO14" s="182"/>
    </row>
    <row r="15" spans="2:41" x14ac:dyDescent="0.35">
      <c r="B15" s="78" t="s">
        <v>270</v>
      </c>
      <c r="C15" t="s">
        <v>29</v>
      </c>
      <c r="D15" t="s">
        <v>176</v>
      </c>
      <c r="E15" s="66" t="s">
        <v>320</v>
      </c>
      <c r="F15" s="67">
        <v>1</v>
      </c>
      <c r="G15" s="68">
        <v>75</v>
      </c>
      <c r="H15" s="68">
        <f t="shared" si="6"/>
        <v>75</v>
      </c>
      <c r="I15" s="70">
        <v>75</v>
      </c>
      <c r="J15" s="70">
        <f t="shared" si="7"/>
        <v>75</v>
      </c>
      <c r="K15" s="70">
        <v>75</v>
      </c>
      <c r="L15" s="70">
        <f t="shared" si="8"/>
        <v>75</v>
      </c>
      <c r="M15" s="70">
        <v>75</v>
      </c>
      <c r="N15" s="70">
        <f t="shared" si="9"/>
        <v>75</v>
      </c>
      <c r="O15" s="182"/>
      <c r="P15" s="79"/>
      <c r="Q15" s="78" t="s">
        <v>342</v>
      </c>
      <c r="R15" t="s">
        <v>381</v>
      </c>
      <c r="S15" t="s">
        <v>176</v>
      </c>
      <c r="T15" s="66" t="s">
        <v>320</v>
      </c>
      <c r="U15" s="67">
        <v>1</v>
      </c>
      <c r="V15" s="70"/>
      <c r="W15" s="70">
        <f t="shared" si="0"/>
        <v>0</v>
      </c>
      <c r="X15" s="70"/>
      <c r="Y15" s="70">
        <f t="shared" si="1"/>
        <v>0</v>
      </c>
      <c r="Z15" s="70"/>
      <c r="AA15" s="70">
        <f t="shared" si="2"/>
        <v>0</v>
      </c>
      <c r="AB15" s="183"/>
      <c r="AC15" s="79"/>
      <c r="AD15" s="78" t="s">
        <v>342</v>
      </c>
      <c r="AE15" t="s">
        <v>390</v>
      </c>
      <c r="AF15" t="s">
        <v>176</v>
      </c>
      <c r="AG15" s="66" t="s">
        <v>320</v>
      </c>
      <c r="AH15" s="67">
        <v>1</v>
      </c>
      <c r="AI15" s="70"/>
      <c r="AJ15" s="70">
        <f t="shared" si="5"/>
        <v>0</v>
      </c>
      <c r="AK15" s="70"/>
      <c r="AL15" s="70">
        <f t="shared" si="3"/>
        <v>0</v>
      </c>
      <c r="AM15" s="70"/>
      <c r="AN15" s="70">
        <f t="shared" si="4"/>
        <v>0</v>
      </c>
      <c r="AO15" s="182" t="s">
        <v>224</v>
      </c>
    </row>
    <row r="16" spans="2:41" x14ac:dyDescent="0.35">
      <c r="B16" s="78" t="s">
        <v>270</v>
      </c>
      <c r="C16" t="s">
        <v>29</v>
      </c>
      <c r="D16" t="s">
        <v>176</v>
      </c>
      <c r="E16" s="66" t="s">
        <v>321</v>
      </c>
      <c r="F16" s="67">
        <v>1</v>
      </c>
      <c r="G16" s="68">
        <v>100</v>
      </c>
      <c r="H16" s="68">
        <f t="shared" si="6"/>
        <v>100</v>
      </c>
      <c r="I16" s="70">
        <v>100</v>
      </c>
      <c r="J16" s="70">
        <f t="shared" si="7"/>
        <v>100</v>
      </c>
      <c r="K16" s="70">
        <v>100</v>
      </c>
      <c r="L16" s="70">
        <f t="shared" si="8"/>
        <v>100</v>
      </c>
      <c r="M16" s="70">
        <v>100</v>
      </c>
      <c r="N16" s="70">
        <f t="shared" si="9"/>
        <v>100</v>
      </c>
      <c r="O16" s="182"/>
      <c r="P16" s="79"/>
      <c r="Q16" s="78" t="s">
        <v>342</v>
      </c>
      <c r="R16" t="s">
        <v>381</v>
      </c>
      <c r="S16" t="s">
        <v>176</v>
      </c>
      <c r="T16" s="66" t="s">
        <v>321</v>
      </c>
      <c r="U16" s="67">
        <v>1</v>
      </c>
      <c r="V16" s="70"/>
      <c r="W16" s="70">
        <f t="shared" si="0"/>
        <v>0</v>
      </c>
      <c r="X16" s="70"/>
      <c r="Y16" s="70">
        <f t="shared" si="1"/>
        <v>0</v>
      </c>
      <c r="Z16" s="70"/>
      <c r="AA16" s="70">
        <f t="shared" si="2"/>
        <v>0</v>
      </c>
      <c r="AB16" s="183"/>
      <c r="AC16" s="79"/>
      <c r="AD16" s="78" t="s">
        <v>342</v>
      </c>
      <c r="AE16" t="s">
        <v>390</v>
      </c>
      <c r="AF16" t="s">
        <v>176</v>
      </c>
      <c r="AG16" s="66" t="s">
        <v>321</v>
      </c>
      <c r="AH16" s="67">
        <v>1</v>
      </c>
      <c r="AI16" s="70"/>
      <c r="AJ16" s="70">
        <f t="shared" si="5"/>
        <v>0</v>
      </c>
      <c r="AK16" s="70"/>
      <c r="AL16" s="70">
        <f t="shared" si="3"/>
        <v>0</v>
      </c>
      <c r="AM16" s="70"/>
      <c r="AN16" s="70">
        <f t="shared" si="4"/>
        <v>0</v>
      </c>
      <c r="AO16" s="182" t="s">
        <v>224</v>
      </c>
    </row>
    <row r="17" spans="2:41" x14ac:dyDescent="0.35">
      <c r="B17" s="78" t="s">
        <v>270</v>
      </c>
      <c r="C17" t="s">
        <v>29</v>
      </c>
      <c r="D17" t="s">
        <v>176</v>
      </c>
      <c r="E17" s="66" t="s">
        <v>177</v>
      </c>
      <c r="F17" s="67">
        <v>1</v>
      </c>
      <c r="G17" s="68">
        <v>250</v>
      </c>
      <c r="H17" s="68">
        <f t="shared" si="6"/>
        <v>250</v>
      </c>
      <c r="I17" s="70">
        <v>250</v>
      </c>
      <c r="J17" s="70">
        <f t="shared" si="7"/>
        <v>250</v>
      </c>
      <c r="K17" s="70">
        <v>250</v>
      </c>
      <c r="L17" s="70">
        <f t="shared" si="8"/>
        <v>250</v>
      </c>
      <c r="M17" s="70">
        <v>250</v>
      </c>
      <c r="N17" s="70">
        <f t="shared" si="9"/>
        <v>250</v>
      </c>
      <c r="O17" s="172" t="s">
        <v>178</v>
      </c>
      <c r="P17" s="78"/>
      <c r="Q17" s="78" t="s">
        <v>342</v>
      </c>
      <c r="R17" t="s">
        <v>381</v>
      </c>
      <c r="S17" t="s">
        <v>176</v>
      </c>
      <c r="T17" s="66" t="s">
        <v>177</v>
      </c>
      <c r="U17" s="67">
        <v>1</v>
      </c>
      <c r="V17" s="70"/>
      <c r="W17" s="70">
        <f t="shared" si="0"/>
        <v>0</v>
      </c>
      <c r="X17" s="70"/>
      <c r="Y17" s="70">
        <f t="shared" si="1"/>
        <v>0</v>
      </c>
      <c r="Z17" s="70"/>
      <c r="AA17" s="70">
        <f t="shared" si="2"/>
        <v>0</v>
      </c>
      <c r="AB17" s="183"/>
      <c r="AC17" s="78"/>
      <c r="AD17" s="78" t="s">
        <v>342</v>
      </c>
      <c r="AE17" t="s">
        <v>390</v>
      </c>
      <c r="AF17" t="s">
        <v>176</v>
      </c>
      <c r="AG17" s="66" t="s">
        <v>177</v>
      </c>
      <c r="AH17" s="67">
        <v>1</v>
      </c>
      <c r="AI17" s="70"/>
      <c r="AJ17" s="70">
        <f t="shared" si="5"/>
        <v>0</v>
      </c>
      <c r="AK17" s="70"/>
      <c r="AL17" s="70">
        <f t="shared" si="3"/>
        <v>0</v>
      </c>
      <c r="AM17" s="70"/>
      <c r="AN17" s="70">
        <f t="shared" si="4"/>
        <v>0</v>
      </c>
      <c r="AO17" s="182" t="s">
        <v>225</v>
      </c>
    </row>
    <row r="18" spans="2:41" x14ac:dyDescent="0.35">
      <c r="B18" s="78" t="s">
        <v>270</v>
      </c>
      <c r="C18" t="s">
        <v>29</v>
      </c>
      <c r="D18" t="s">
        <v>176</v>
      </c>
      <c r="E18" s="55" t="s">
        <v>179</v>
      </c>
      <c r="F18" s="67"/>
      <c r="G18" s="68">
        <v>100</v>
      </c>
      <c r="H18" s="68">
        <f t="shared" si="6"/>
        <v>0</v>
      </c>
      <c r="I18" s="70">
        <v>100</v>
      </c>
      <c r="J18" s="70">
        <f t="shared" si="7"/>
        <v>0</v>
      </c>
      <c r="K18" s="70">
        <v>100</v>
      </c>
      <c r="L18" s="70">
        <f t="shared" si="8"/>
        <v>0</v>
      </c>
      <c r="M18" s="70">
        <v>100</v>
      </c>
      <c r="N18" s="70">
        <f t="shared" si="9"/>
        <v>0</v>
      </c>
      <c r="O18" s="172" t="s">
        <v>180</v>
      </c>
      <c r="P18" s="79"/>
      <c r="Q18" s="78" t="s">
        <v>342</v>
      </c>
      <c r="R18" t="s">
        <v>381</v>
      </c>
      <c r="S18" t="s">
        <v>176</v>
      </c>
      <c r="T18" s="66" t="s">
        <v>175</v>
      </c>
      <c r="U18" s="67"/>
      <c r="V18" s="70"/>
      <c r="W18" s="70">
        <f t="shared" si="0"/>
        <v>0</v>
      </c>
      <c r="X18" s="70"/>
      <c r="Y18" s="70">
        <f t="shared" si="1"/>
        <v>0</v>
      </c>
      <c r="Z18" s="70"/>
      <c r="AA18" s="70">
        <f t="shared" si="2"/>
        <v>0</v>
      </c>
      <c r="AB18" s="183"/>
      <c r="AC18" s="79"/>
      <c r="AD18" s="78" t="s">
        <v>342</v>
      </c>
      <c r="AE18" t="s">
        <v>390</v>
      </c>
      <c r="AF18" t="s">
        <v>176</v>
      </c>
      <c r="AG18" s="66" t="s">
        <v>175</v>
      </c>
      <c r="AH18" s="67"/>
      <c r="AI18" s="70"/>
      <c r="AJ18" s="70">
        <f t="shared" si="5"/>
        <v>0</v>
      </c>
      <c r="AK18" s="70"/>
      <c r="AL18" s="70">
        <f t="shared" si="3"/>
        <v>0</v>
      </c>
      <c r="AM18" s="70"/>
      <c r="AN18" s="70">
        <f t="shared" si="4"/>
        <v>0</v>
      </c>
      <c r="AO18" s="182"/>
    </row>
    <row r="19" spans="2:41" x14ac:dyDescent="0.35">
      <c r="B19" s="78" t="s">
        <v>270</v>
      </c>
      <c r="C19" t="s">
        <v>29</v>
      </c>
      <c r="D19" t="s">
        <v>176</v>
      </c>
      <c r="E19" s="55" t="s">
        <v>181</v>
      </c>
      <c r="F19" s="67"/>
      <c r="G19" s="68">
        <v>475</v>
      </c>
      <c r="H19" s="68">
        <f t="shared" si="6"/>
        <v>0</v>
      </c>
      <c r="I19" s="70">
        <v>475</v>
      </c>
      <c r="J19" s="70">
        <f t="shared" si="7"/>
        <v>0</v>
      </c>
      <c r="K19" s="70">
        <v>475</v>
      </c>
      <c r="L19" s="70">
        <f t="shared" si="8"/>
        <v>0</v>
      </c>
      <c r="M19" s="70">
        <v>475</v>
      </c>
      <c r="N19" s="70">
        <f t="shared" si="9"/>
        <v>0</v>
      </c>
      <c r="O19" s="172" t="s">
        <v>180</v>
      </c>
      <c r="P19" s="79"/>
      <c r="Q19" s="78" t="s">
        <v>342</v>
      </c>
      <c r="R19" t="s">
        <v>381</v>
      </c>
      <c r="S19" t="s">
        <v>176</v>
      </c>
      <c r="T19" s="66" t="s">
        <v>175</v>
      </c>
      <c r="U19" s="67"/>
      <c r="V19" s="70"/>
      <c r="W19" s="70">
        <f t="shared" si="0"/>
        <v>0</v>
      </c>
      <c r="X19" s="70"/>
      <c r="Y19" s="70">
        <f t="shared" si="1"/>
        <v>0</v>
      </c>
      <c r="Z19" s="70"/>
      <c r="AA19" s="70">
        <f t="shared" si="2"/>
        <v>0</v>
      </c>
      <c r="AB19" s="183"/>
      <c r="AC19" s="79"/>
      <c r="AD19" s="78" t="s">
        <v>342</v>
      </c>
      <c r="AE19" t="s">
        <v>390</v>
      </c>
      <c r="AF19" t="s">
        <v>176</v>
      </c>
      <c r="AG19" s="66" t="s">
        <v>175</v>
      </c>
      <c r="AH19" s="67"/>
      <c r="AI19" s="70"/>
      <c r="AJ19" s="70">
        <f t="shared" si="5"/>
        <v>0</v>
      </c>
      <c r="AK19" s="70"/>
      <c r="AL19" s="70">
        <f t="shared" si="3"/>
        <v>0</v>
      </c>
      <c r="AM19" s="70"/>
      <c r="AN19" s="70">
        <f t="shared" si="4"/>
        <v>0</v>
      </c>
      <c r="AO19" s="182"/>
    </row>
    <row r="20" spans="2:41" x14ac:dyDescent="0.35">
      <c r="B20" s="78" t="s">
        <v>270</v>
      </c>
      <c r="C20" t="s">
        <v>29</v>
      </c>
      <c r="D20" t="s">
        <v>182</v>
      </c>
      <c r="E20" s="66" t="s">
        <v>183</v>
      </c>
      <c r="F20" s="185">
        <v>1500</v>
      </c>
      <c r="G20" s="68">
        <v>0.85</v>
      </c>
      <c r="H20" s="68">
        <f t="shared" si="6"/>
        <v>1275</v>
      </c>
      <c r="I20" s="57">
        <v>0.85</v>
      </c>
      <c r="J20" s="70">
        <f t="shared" si="7"/>
        <v>1275</v>
      </c>
      <c r="K20" s="70">
        <v>0.85</v>
      </c>
      <c r="L20" s="70">
        <f t="shared" si="8"/>
        <v>1275</v>
      </c>
      <c r="M20" s="70">
        <v>0.85</v>
      </c>
      <c r="N20" s="70">
        <f t="shared" si="9"/>
        <v>1275</v>
      </c>
      <c r="O20" s="182" t="s">
        <v>184</v>
      </c>
      <c r="Q20" s="78" t="s">
        <v>342</v>
      </c>
      <c r="R20" t="s">
        <v>381</v>
      </c>
      <c r="S20" t="s">
        <v>182</v>
      </c>
      <c r="T20" s="66" t="s">
        <v>183</v>
      </c>
      <c r="U20" s="185">
        <v>1500</v>
      </c>
      <c r="V20" s="70">
        <v>0.19</v>
      </c>
      <c r="W20" s="70">
        <f t="shared" si="0"/>
        <v>285</v>
      </c>
      <c r="X20" s="70">
        <v>0.19</v>
      </c>
      <c r="Y20" s="70">
        <f t="shared" si="1"/>
        <v>285</v>
      </c>
      <c r="Z20" s="70">
        <v>0.19</v>
      </c>
      <c r="AA20" s="70">
        <f t="shared" si="2"/>
        <v>285</v>
      </c>
      <c r="AB20" s="183"/>
      <c r="AC20" s="79"/>
      <c r="AD20" s="78" t="s">
        <v>342</v>
      </c>
      <c r="AE20" t="s">
        <v>390</v>
      </c>
      <c r="AF20" t="s">
        <v>182</v>
      </c>
      <c r="AG20" s="66" t="s">
        <v>226</v>
      </c>
      <c r="AH20" s="185">
        <v>3000</v>
      </c>
      <c r="AI20" s="70">
        <v>0.315</v>
      </c>
      <c r="AJ20" s="70">
        <f t="shared" si="5"/>
        <v>945</v>
      </c>
      <c r="AK20" s="70">
        <v>0.315</v>
      </c>
      <c r="AL20" s="70">
        <v>945</v>
      </c>
      <c r="AM20" s="70">
        <v>0.315</v>
      </c>
      <c r="AN20" s="70">
        <v>945</v>
      </c>
      <c r="AO20" s="172" t="s">
        <v>263</v>
      </c>
    </row>
    <row r="21" spans="2:41" x14ac:dyDescent="0.35">
      <c r="B21" s="78" t="s">
        <v>270</v>
      </c>
      <c r="C21" t="s">
        <v>29</v>
      </c>
      <c r="D21" t="s">
        <v>182</v>
      </c>
      <c r="E21" s="66" t="s">
        <v>175</v>
      </c>
      <c r="F21" s="67"/>
      <c r="G21" s="71"/>
      <c r="H21" s="71">
        <f t="shared" si="6"/>
        <v>0</v>
      </c>
      <c r="I21" s="70"/>
      <c r="J21" s="70">
        <f t="shared" si="7"/>
        <v>0</v>
      </c>
      <c r="K21" s="70"/>
      <c r="L21" s="70">
        <f t="shared" si="8"/>
        <v>0</v>
      </c>
      <c r="M21" s="70"/>
      <c r="N21" s="70">
        <f t="shared" si="9"/>
        <v>0</v>
      </c>
      <c r="O21" s="182"/>
      <c r="Q21" s="78" t="s">
        <v>342</v>
      </c>
      <c r="R21" t="s">
        <v>381</v>
      </c>
      <c r="S21" t="s">
        <v>182</v>
      </c>
      <c r="T21" s="66" t="s">
        <v>175</v>
      </c>
      <c r="U21" s="67"/>
      <c r="V21" s="70"/>
      <c r="W21" s="70">
        <f t="shared" si="0"/>
        <v>0</v>
      </c>
      <c r="X21" s="70"/>
      <c r="Y21" s="70">
        <f t="shared" si="1"/>
        <v>0</v>
      </c>
      <c r="Z21" s="70"/>
      <c r="AA21" s="70">
        <f t="shared" si="2"/>
        <v>0</v>
      </c>
      <c r="AB21" s="183"/>
      <c r="AC21" s="79"/>
      <c r="AD21" s="78" t="s">
        <v>342</v>
      </c>
      <c r="AE21" t="s">
        <v>390</v>
      </c>
      <c r="AF21" t="s">
        <v>182</v>
      </c>
      <c r="AG21" s="66" t="s">
        <v>228</v>
      </c>
      <c r="AH21" s="185">
        <v>3000</v>
      </c>
      <c r="AI21" s="70"/>
      <c r="AJ21" s="70">
        <v>1320</v>
      </c>
      <c r="AK21" s="70"/>
      <c r="AL21" s="70">
        <v>1320</v>
      </c>
      <c r="AM21" s="70"/>
      <c r="AN21" s="70">
        <v>1320</v>
      </c>
      <c r="AO21" s="172" t="s">
        <v>264</v>
      </c>
    </row>
    <row r="22" spans="2:41" x14ac:dyDescent="0.35">
      <c r="B22" s="78" t="s">
        <v>270</v>
      </c>
      <c r="C22" t="s">
        <v>29</v>
      </c>
      <c r="D22" t="s">
        <v>182</v>
      </c>
      <c r="E22" s="66" t="s">
        <v>175</v>
      </c>
      <c r="F22" s="67"/>
      <c r="G22" s="71"/>
      <c r="H22" s="71">
        <f t="shared" si="6"/>
        <v>0</v>
      </c>
      <c r="I22" s="70"/>
      <c r="J22" s="70">
        <f t="shared" si="7"/>
        <v>0</v>
      </c>
      <c r="K22" s="70"/>
      <c r="L22" s="70">
        <f t="shared" si="8"/>
        <v>0</v>
      </c>
      <c r="M22" s="70"/>
      <c r="N22" s="70">
        <f t="shared" si="9"/>
        <v>0</v>
      </c>
      <c r="O22" s="182"/>
      <c r="Q22" s="78" t="s">
        <v>342</v>
      </c>
      <c r="R22" t="s">
        <v>381</v>
      </c>
      <c r="S22" t="s">
        <v>182</v>
      </c>
      <c r="T22" s="66" t="s">
        <v>175</v>
      </c>
      <c r="U22" s="67"/>
      <c r="V22" s="70"/>
      <c r="W22" s="70">
        <f t="shared" si="0"/>
        <v>0</v>
      </c>
      <c r="X22" s="70"/>
      <c r="Y22" s="70">
        <f t="shared" si="1"/>
        <v>0</v>
      </c>
      <c r="Z22" s="70"/>
      <c r="AA22" s="70">
        <f t="shared" si="2"/>
        <v>0</v>
      </c>
      <c r="AB22" s="183"/>
      <c r="AC22" s="79"/>
      <c r="AD22" s="78" t="s">
        <v>342</v>
      </c>
      <c r="AE22" t="s">
        <v>390</v>
      </c>
      <c r="AF22" t="s">
        <v>182</v>
      </c>
      <c r="AG22" s="66" t="s">
        <v>175</v>
      </c>
      <c r="AH22" s="67"/>
      <c r="AI22" s="70"/>
      <c r="AJ22" s="70">
        <f t="shared" ref="AJ22:AJ37" si="10">AH22*AI22</f>
        <v>0</v>
      </c>
      <c r="AK22" s="70"/>
      <c r="AL22" s="70">
        <f t="shared" ref="AL22:AL37" si="11">AH22*AK22</f>
        <v>0</v>
      </c>
      <c r="AM22" s="70"/>
      <c r="AN22" s="70">
        <f t="shared" ref="AN22:AN37" si="12">AH22*AM22</f>
        <v>0</v>
      </c>
      <c r="AO22" s="182"/>
    </row>
    <row r="23" spans="2:41" x14ac:dyDescent="0.35">
      <c r="B23" s="78" t="s">
        <v>270</v>
      </c>
      <c r="C23" t="s">
        <v>29</v>
      </c>
      <c r="D23" t="s">
        <v>185</v>
      </c>
      <c r="E23" s="66" t="s">
        <v>186</v>
      </c>
      <c r="F23" s="67">
        <v>1</v>
      </c>
      <c r="G23" s="68">
        <v>350</v>
      </c>
      <c r="H23" s="68">
        <f t="shared" si="6"/>
        <v>350</v>
      </c>
      <c r="I23" s="70">
        <v>350</v>
      </c>
      <c r="J23" s="70">
        <f t="shared" si="7"/>
        <v>350</v>
      </c>
      <c r="K23" s="70">
        <v>350</v>
      </c>
      <c r="L23" s="70">
        <f t="shared" si="8"/>
        <v>350</v>
      </c>
      <c r="M23" s="70">
        <v>350</v>
      </c>
      <c r="N23" s="70">
        <f t="shared" si="9"/>
        <v>350</v>
      </c>
      <c r="O23" s="172" t="s">
        <v>187</v>
      </c>
      <c r="P23" s="78"/>
      <c r="Q23" s="78" t="s">
        <v>342</v>
      </c>
      <c r="R23" t="s">
        <v>381</v>
      </c>
      <c r="S23" t="s">
        <v>185</v>
      </c>
      <c r="T23" s="66" t="s">
        <v>186</v>
      </c>
      <c r="U23" s="67">
        <v>1</v>
      </c>
      <c r="V23" s="70"/>
      <c r="W23" s="70">
        <f t="shared" si="0"/>
        <v>0</v>
      </c>
      <c r="X23" s="70"/>
      <c r="Y23" s="70">
        <f t="shared" si="1"/>
        <v>0</v>
      </c>
      <c r="Z23" s="70"/>
      <c r="AA23" s="70">
        <f t="shared" si="2"/>
        <v>0</v>
      </c>
      <c r="AB23" s="183" t="s">
        <v>257</v>
      </c>
      <c r="AC23" s="78"/>
      <c r="AD23" s="78" t="s">
        <v>342</v>
      </c>
      <c r="AE23" t="s">
        <v>390</v>
      </c>
      <c r="AF23" t="s">
        <v>185</v>
      </c>
      <c r="AG23" s="66" t="s">
        <v>186</v>
      </c>
      <c r="AH23" s="67">
        <v>1</v>
      </c>
      <c r="AI23" s="70"/>
      <c r="AJ23" s="70">
        <f t="shared" si="10"/>
        <v>0</v>
      </c>
      <c r="AK23" s="70"/>
      <c r="AL23" s="70">
        <f t="shared" si="11"/>
        <v>0</v>
      </c>
      <c r="AM23" s="70"/>
      <c r="AN23" s="70">
        <f t="shared" si="12"/>
        <v>0</v>
      </c>
      <c r="AO23" s="182"/>
    </row>
    <row r="24" spans="2:41" x14ac:dyDescent="0.35">
      <c r="B24" s="78" t="s">
        <v>270</v>
      </c>
      <c r="C24" t="s">
        <v>29</v>
      </c>
      <c r="D24" t="s">
        <v>185</v>
      </c>
      <c r="E24" s="66" t="s">
        <v>188</v>
      </c>
      <c r="F24" s="67">
        <v>1</v>
      </c>
      <c r="G24" s="68">
        <v>0.87</v>
      </c>
      <c r="H24" s="68">
        <f t="shared" si="6"/>
        <v>0.87</v>
      </c>
      <c r="I24" s="70">
        <v>0.87</v>
      </c>
      <c r="J24" s="70">
        <f t="shared" si="7"/>
        <v>0.87</v>
      </c>
      <c r="K24" s="70">
        <v>0.87</v>
      </c>
      <c r="L24" s="70">
        <f t="shared" si="8"/>
        <v>0.87</v>
      </c>
      <c r="M24" s="70">
        <v>0.87</v>
      </c>
      <c r="N24" s="70">
        <f t="shared" si="9"/>
        <v>0.87</v>
      </c>
      <c r="O24" s="173" t="s">
        <v>292</v>
      </c>
      <c r="P24" s="79"/>
      <c r="Q24" s="78" t="s">
        <v>342</v>
      </c>
      <c r="R24" t="s">
        <v>381</v>
      </c>
      <c r="S24" t="s">
        <v>185</v>
      </c>
      <c r="T24" s="66" t="s">
        <v>188</v>
      </c>
      <c r="U24" s="67">
        <v>0</v>
      </c>
      <c r="V24" s="70"/>
      <c r="W24" s="70">
        <f t="shared" si="0"/>
        <v>0</v>
      </c>
      <c r="X24" s="70"/>
      <c r="Y24" s="70">
        <f t="shared" si="1"/>
        <v>0</v>
      </c>
      <c r="Z24" s="70"/>
      <c r="AA24" s="70">
        <f t="shared" si="2"/>
        <v>0</v>
      </c>
      <c r="AB24" s="183"/>
      <c r="AC24" s="79"/>
      <c r="AD24" s="78" t="s">
        <v>342</v>
      </c>
      <c r="AE24" t="s">
        <v>390</v>
      </c>
      <c r="AF24" t="s">
        <v>185</v>
      </c>
      <c r="AG24" s="66" t="s">
        <v>188</v>
      </c>
      <c r="AH24" s="67">
        <v>1</v>
      </c>
      <c r="AI24" s="70"/>
      <c r="AJ24" s="70">
        <f t="shared" si="10"/>
        <v>0</v>
      </c>
      <c r="AK24" s="70"/>
      <c r="AL24" s="70">
        <f t="shared" si="11"/>
        <v>0</v>
      </c>
      <c r="AM24" s="70"/>
      <c r="AN24" s="70">
        <f t="shared" si="12"/>
        <v>0</v>
      </c>
      <c r="AO24" s="182"/>
    </row>
    <row r="25" spans="2:41" x14ac:dyDescent="0.35">
      <c r="B25" s="78" t="s">
        <v>270</v>
      </c>
      <c r="C25" t="s">
        <v>29</v>
      </c>
      <c r="D25" t="s">
        <v>190</v>
      </c>
      <c r="E25" s="66" t="s">
        <v>191</v>
      </c>
      <c r="F25" s="67">
        <v>14</v>
      </c>
      <c r="G25" s="68">
        <v>330</v>
      </c>
      <c r="H25" s="68">
        <f t="shared" si="6"/>
        <v>4620</v>
      </c>
      <c r="I25" s="70">
        <v>330</v>
      </c>
      <c r="J25" s="70">
        <f t="shared" si="7"/>
        <v>4620</v>
      </c>
      <c r="K25" s="70">
        <v>330</v>
      </c>
      <c r="L25" s="70">
        <f t="shared" si="8"/>
        <v>4620</v>
      </c>
      <c r="M25" s="70">
        <v>330</v>
      </c>
      <c r="N25" s="70">
        <f t="shared" si="9"/>
        <v>4620</v>
      </c>
      <c r="O25" s="182" t="s">
        <v>255</v>
      </c>
      <c r="P25" s="79"/>
      <c r="Q25" s="78" t="s">
        <v>342</v>
      </c>
      <c r="R25" t="s">
        <v>381</v>
      </c>
      <c r="S25" t="s">
        <v>190</v>
      </c>
      <c r="T25" s="66" t="s">
        <v>191</v>
      </c>
      <c r="U25" s="67">
        <v>14</v>
      </c>
      <c r="V25" s="70">
        <v>500</v>
      </c>
      <c r="W25" s="70">
        <f t="shared" si="0"/>
        <v>7000</v>
      </c>
      <c r="X25" s="70">
        <v>500</v>
      </c>
      <c r="Y25" s="70">
        <f t="shared" si="1"/>
        <v>7000</v>
      </c>
      <c r="Z25" s="70">
        <v>500</v>
      </c>
      <c r="AA25" s="70">
        <f t="shared" si="2"/>
        <v>7000</v>
      </c>
      <c r="AB25" s="183" t="s">
        <v>258</v>
      </c>
      <c r="AC25" s="79"/>
      <c r="AD25" s="78" t="s">
        <v>342</v>
      </c>
      <c r="AE25" t="s">
        <v>390</v>
      </c>
      <c r="AF25" t="s">
        <v>190</v>
      </c>
      <c r="AG25" s="66" t="s">
        <v>191</v>
      </c>
      <c r="AH25" s="67">
        <v>14</v>
      </c>
      <c r="AI25" s="70">
        <v>300</v>
      </c>
      <c r="AJ25" s="70">
        <f t="shared" si="10"/>
        <v>4200</v>
      </c>
      <c r="AK25" s="70">
        <v>300</v>
      </c>
      <c r="AL25" s="70">
        <f t="shared" si="11"/>
        <v>4200</v>
      </c>
      <c r="AM25" s="70">
        <v>300</v>
      </c>
      <c r="AN25" s="70">
        <f t="shared" si="12"/>
        <v>4200</v>
      </c>
      <c r="AO25" s="182" t="s">
        <v>258</v>
      </c>
    </row>
    <row r="26" spans="2:41" x14ac:dyDescent="0.35">
      <c r="B26" s="78" t="s">
        <v>270</v>
      </c>
      <c r="C26" t="s">
        <v>29</v>
      </c>
      <c r="D26" t="s">
        <v>190</v>
      </c>
      <c r="E26" s="66" t="s">
        <v>193</v>
      </c>
      <c r="F26" s="67">
        <v>2</v>
      </c>
      <c r="G26" s="68">
        <v>400</v>
      </c>
      <c r="H26" s="68">
        <f t="shared" si="6"/>
        <v>800</v>
      </c>
      <c r="I26" s="70">
        <v>375</v>
      </c>
      <c r="J26" s="70">
        <f t="shared" si="7"/>
        <v>750</v>
      </c>
      <c r="K26" s="70">
        <v>375</v>
      </c>
      <c r="L26" s="70">
        <f t="shared" si="8"/>
        <v>750</v>
      </c>
      <c r="M26" s="70">
        <v>375</v>
      </c>
      <c r="N26" s="70">
        <f t="shared" si="9"/>
        <v>750</v>
      </c>
      <c r="O26" s="182" t="s">
        <v>194</v>
      </c>
      <c r="P26" s="79"/>
      <c r="Q26" s="78" t="s">
        <v>342</v>
      </c>
      <c r="R26" t="s">
        <v>381</v>
      </c>
      <c r="S26" t="s">
        <v>190</v>
      </c>
      <c r="T26" s="66" t="s">
        <v>193</v>
      </c>
      <c r="U26" s="67">
        <v>2</v>
      </c>
      <c r="V26" s="70">
        <v>375</v>
      </c>
      <c r="W26" s="70">
        <f t="shared" si="0"/>
        <v>750</v>
      </c>
      <c r="X26" s="70">
        <v>375</v>
      </c>
      <c r="Y26" s="70">
        <f t="shared" si="1"/>
        <v>750</v>
      </c>
      <c r="Z26" s="70">
        <v>375</v>
      </c>
      <c r="AA26" s="70">
        <f t="shared" si="2"/>
        <v>750</v>
      </c>
      <c r="AB26" s="183"/>
      <c r="AC26" s="79"/>
      <c r="AD26" s="78" t="s">
        <v>342</v>
      </c>
      <c r="AE26" s="186" t="s">
        <v>390</v>
      </c>
      <c r="AF26" s="186" t="s">
        <v>190</v>
      </c>
      <c r="AG26" s="187" t="s">
        <v>193</v>
      </c>
      <c r="AH26" s="188">
        <v>2</v>
      </c>
      <c r="AI26" s="189">
        <v>375</v>
      </c>
      <c r="AJ26" s="189">
        <f t="shared" si="10"/>
        <v>750</v>
      </c>
      <c r="AK26" s="189">
        <v>375</v>
      </c>
      <c r="AL26" s="189">
        <f t="shared" si="11"/>
        <v>750</v>
      </c>
      <c r="AM26" s="189">
        <v>375</v>
      </c>
      <c r="AN26" s="189">
        <f t="shared" si="12"/>
        <v>750</v>
      </c>
      <c r="AO26" s="190" t="s">
        <v>231</v>
      </c>
    </row>
    <row r="27" spans="2:41" x14ac:dyDescent="0.35">
      <c r="B27" s="78" t="s">
        <v>270</v>
      </c>
      <c r="C27" t="s">
        <v>29</v>
      </c>
      <c r="D27" t="s">
        <v>190</v>
      </c>
      <c r="E27" s="66" t="s">
        <v>175</v>
      </c>
      <c r="F27" s="67"/>
      <c r="G27" s="71"/>
      <c r="H27" s="71">
        <f t="shared" si="6"/>
        <v>0</v>
      </c>
      <c r="I27" s="70"/>
      <c r="J27" s="70">
        <f t="shared" si="7"/>
        <v>0</v>
      </c>
      <c r="K27" s="70"/>
      <c r="L27" s="70">
        <f t="shared" si="8"/>
        <v>0</v>
      </c>
      <c r="M27" s="70"/>
      <c r="N27" s="70">
        <f t="shared" si="9"/>
        <v>0</v>
      </c>
      <c r="O27" s="182"/>
      <c r="P27" s="78"/>
      <c r="Q27" s="78" t="s">
        <v>342</v>
      </c>
      <c r="R27" t="s">
        <v>381</v>
      </c>
      <c r="S27" t="s">
        <v>190</v>
      </c>
      <c r="T27" s="66" t="s">
        <v>214</v>
      </c>
      <c r="U27" s="67">
        <v>2</v>
      </c>
      <c r="V27" s="70">
        <v>465</v>
      </c>
      <c r="W27" s="70">
        <f t="shared" si="0"/>
        <v>930</v>
      </c>
      <c r="X27" s="70">
        <v>465</v>
      </c>
      <c r="Y27" s="70">
        <f t="shared" si="1"/>
        <v>930</v>
      </c>
      <c r="Z27" s="70">
        <v>465</v>
      </c>
      <c r="AA27" s="70">
        <f t="shared" si="2"/>
        <v>930</v>
      </c>
      <c r="AB27" s="183"/>
      <c r="AC27" s="78"/>
      <c r="AD27" s="78" t="s">
        <v>342</v>
      </c>
      <c r="AE27" t="s">
        <v>390</v>
      </c>
      <c r="AF27" t="s">
        <v>190</v>
      </c>
      <c r="AG27" s="66" t="s">
        <v>175</v>
      </c>
      <c r="AH27" s="67"/>
      <c r="AI27" s="70"/>
      <c r="AJ27" s="70">
        <f t="shared" si="10"/>
        <v>0</v>
      </c>
      <c r="AK27" s="70"/>
      <c r="AL27" s="70">
        <f t="shared" si="11"/>
        <v>0</v>
      </c>
      <c r="AM27" s="70"/>
      <c r="AN27" s="70">
        <f t="shared" si="12"/>
        <v>0</v>
      </c>
      <c r="AO27" s="182"/>
    </row>
    <row r="28" spans="2:41" x14ac:dyDescent="0.35">
      <c r="B28" s="78" t="s">
        <v>270</v>
      </c>
      <c r="C28" t="s">
        <v>390</v>
      </c>
      <c r="D28" s="55" t="s">
        <v>190</v>
      </c>
      <c r="E28" s="55" t="s">
        <v>216</v>
      </c>
      <c r="F28">
        <v>2</v>
      </c>
      <c r="G28" s="175">
        <v>2061.04</v>
      </c>
      <c r="H28" s="70">
        <f t="shared" si="6"/>
        <v>4122.08</v>
      </c>
      <c r="I28" s="175">
        <v>2061.04</v>
      </c>
      <c r="J28" s="70">
        <f t="shared" si="7"/>
        <v>4122.08</v>
      </c>
      <c r="K28" s="175">
        <v>2151.04</v>
      </c>
      <c r="L28" s="70">
        <f t="shared" si="8"/>
        <v>4302.08</v>
      </c>
      <c r="M28" s="175">
        <v>2151.04</v>
      </c>
      <c r="N28" s="70">
        <f t="shared" si="9"/>
        <v>4302.08</v>
      </c>
      <c r="O28" s="182"/>
      <c r="Q28" s="78" t="s">
        <v>342</v>
      </c>
      <c r="R28" t="s">
        <v>381</v>
      </c>
      <c r="S28" t="s">
        <v>190</v>
      </c>
      <c r="T28" s="66" t="s">
        <v>215</v>
      </c>
      <c r="U28" s="67">
        <v>2</v>
      </c>
      <c r="V28" s="70">
        <v>235</v>
      </c>
      <c r="W28" s="70">
        <f t="shared" si="0"/>
        <v>470</v>
      </c>
      <c r="X28" s="70">
        <v>235</v>
      </c>
      <c r="Y28" s="70">
        <f t="shared" si="1"/>
        <v>470</v>
      </c>
      <c r="Z28" s="70">
        <v>235</v>
      </c>
      <c r="AA28" s="70">
        <f t="shared" si="2"/>
        <v>470</v>
      </c>
      <c r="AB28" s="183"/>
      <c r="AC28" s="79"/>
      <c r="AD28" s="78" t="s">
        <v>342</v>
      </c>
      <c r="AE28" t="s">
        <v>390</v>
      </c>
      <c r="AF28" s="55" t="s">
        <v>190</v>
      </c>
      <c r="AG28" s="55" t="s">
        <v>216</v>
      </c>
      <c r="AH28">
        <v>2</v>
      </c>
      <c r="AI28" s="175">
        <v>2061.04</v>
      </c>
      <c r="AJ28" s="70">
        <f t="shared" si="10"/>
        <v>4122.08</v>
      </c>
      <c r="AK28" s="175">
        <v>2061.04</v>
      </c>
      <c r="AL28" s="70">
        <f t="shared" si="11"/>
        <v>4122.08</v>
      </c>
      <c r="AM28" s="175">
        <v>2151.04</v>
      </c>
      <c r="AN28" s="70">
        <f t="shared" si="12"/>
        <v>4302.08</v>
      </c>
      <c r="AO28" s="182"/>
    </row>
    <row r="29" spans="2:41" ht="14" customHeight="1" x14ac:dyDescent="0.35">
      <c r="B29" s="78" t="s">
        <v>270</v>
      </c>
      <c r="C29" t="s">
        <v>29</v>
      </c>
      <c r="D29" t="s">
        <v>195</v>
      </c>
      <c r="E29" s="66" t="s">
        <v>196</v>
      </c>
      <c r="F29" s="67">
        <v>1</v>
      </c>
      <c r="G29" s="71">
        <v>3000</v>
      </c>
      <c r="H29" s="71">
        <f t="shared" si="6"/>
        <v>3000</v>
      </c>
      <c r="I29" s="70">
        <v>3000</v>
      </c>
      <c r="J29" s="70">
        <f t="shared" si="7"/>
        <v>3000</v>
      </c>
      <c r="K29" s="70">
        <v>3000</v>
      </c>
      <c r="L29" s="70">
        <f t="shared" si="8"/>
        <v>3000</v>
      </c>
      <c r="M29" s="70">
        <v>3000</v>
      </c>
      <c r="N29" s="70">
        <f t="shared" si="9"/>
        <v>3000</v>
      </c>
      <c r="O29" s="182"/>
      <c r="P29" s="91"/>
      <c r="Q29" s="78" t="s">
        <v>342</v>
      </c>
      <c r="R29" t="s">
        <v>381</v>
      </c>
      <c r="S29" s="55" t="s">
        <v>190</v>
      </c>
      <c r="T29" s="55" t="s">
        <v>216</v>
      </c>
      <c r="U29">
        <v>2</v>
      </c>
      <c r="V29" s="175">
        <v>2061.04</v>
      </c>
      <c r="W29" s="70">
        <f t="shared" si="0"/>
        <v>4122.08</v>
      </c>
      <c r="X29" s="175">
        <v>2061.04</v>
      </c>
      <c r="Y29" s="70">
        <f t="shared" si="1"/>
        <v>4122.08</v>
      </c>
      <c r="Z29" s="175">
        <v>2151.04</v>
      </c>
      <c r="AA29" s="70">
        <f t="shared" si="2"/>
        <v>4302.08</v>
      </c>
      <c r="AB29" s="182"/>
      <c r="AC29" s="79"/>
      <c r="AD29" s="78" t="s">
        <v>342</v>
      </c>
      <c r="AE29" t="s">
        <v>390</v>
      </c>
      <c r="AF29" t="s">
        <v>195</v>
      </c>
      <c r="AG29" s="66" t="s">
        <v>196</v>
      </c>
      <c r="AH29" s="67">
        <v>1</v>
      </c>
      <c r="AI29" s="70">
        <v>1000</v>
      </c>
      <c r="AJ29" s="70">
        <f t="shared" si="10"/>
        <v>1000</v>
      </c>
      <c r="AK29" s="70">
        <v>1000</v>
      </c>
      <c r="AL29" s="70">
        <f t="shared" si="11"/>
        <v>1000</v>
      </c>
      <c r="AM29" s="70">
        <v>1000</v>
      </c>
      <c r="AN29" s="70">
        <f t="shared" si="12"/>
        <v>1000</v>
      </c>
      <c r="AO29" s="182"/>
    </row>
    <row r="30" spans="2:41" x14ac:dyDescent="0.35">
      <c r="B30" s="78" t="s">
        <v>270</v>
      </c>
      <c r="C30" t="s">
        <v>29</v>
      </c>
      <c r="D30" t="s">
        <v>195</v>
      </c>
      <c r="E30" s="66" t="s">
        <v>197</v>
      </c>
      <c r="F30" s="67">
        <v>1</v>
      </c>
      <c r="G30" s="71"/>
      <c r="H30" s="71">
        <f t="shared" si="6"/>
        <v>0</v>
      </c>
      <c r="I30" s="70"/>
      <c r="J30" s="70">
        <f t="shared" si="7"/>
        <v>0</v>
      </c>
      <c r="K30" s="70"/>
      <c r="L30" s="70">
        <f t="shared" si="8"/>
        <v>0</v>
      </c>
      <c r="M30" s="70"/>
      <c r="N30" s="70">
        <f t="shared" si="9"/>
        <v>0</v>
      </c>
      <c r="O30" s="182" t="s">
        <v>198</v>
      </c>
      <c r="P30" s="78"/>
      <c r="Q30" s="78" t="s">
        <v>342</v>
      </c>
      <c r="R30" t="s">
        <v>381</v>
      </c>
      <c r="S30" t="s">
        <v>195</v>
      </c>
      <c r="T30" s="66" t="s">
        <v>196</v>
      </c>
      <c r="U30" s="67">
        <v>25</v>
      </c>
      <c r="V30" s="70">
        <v>140</v>
      </c>
      <c r="W30" s="70">
        <f t="shared" ref="W30:W38" si="13">U30*V30</f>
        <v>3500</v>
      </c>
      <c r="X30" s="70">
        <v>140</v>
      </c>
      <c r="Y30" s="70">
        <f t="shared" ref="Y30:Y38" si="14">U30*X30</f>
        <v>3500</v>
      </c>
      <c r="Z30" s="70">
        <v>140</v>
      </c>
      <c r="AA30" s="70">
        <f t="shared" ref="AA30:AA38" si="15">U30*Z30</f>
        <v>3500</v>
      </c>
      <c r="AB30" s="183"/>
      <c r="AC30" s="78"/>
      <c r="AD30" s="78" t="s">
        <v>342</v>
      </c>
      <c r="AE30" t="s">
        <v>390</v>
      </c>
      <c r="AF30" t="s">
        <v>195</v>
      </c>
      <c r="AG30" s="66" t="s">
        <v>197</v>
      </c>
      <c r="AH30" s="67">
        <v>1</v>
      </c>
      <c r="AI30" s="70">
        <v>1000</v>
      </c>
      <c r="AJ30" s="70">
        <f t="shared" si="10"/>
        <v>1000</v>
      </c>
      <c r="AK30" s="70">
        <v>1000</v>
      </c>
      <c r="AL30" s="70">
        <f t="shared" si="11"/>
        <v>1000</v>
      </c>
      <c r="AM30" s="70">
        <v>1000</v>
      </c>
      <c r="AN30" s="70">
        <f t="shared" si="12"/>
        <v>1000</v>
      </c>
      <c r="AO30" s="182"/>
    </row>
    <row r="31" spans="2:41" x14ac:dyDescent="0.35">
      <c r="B31" s="78" t="s">
        <v>270</v>
      </c>
      <c r="C31" t="s">
        <v>29</v>
      </c>
      <c r="D31" t="s">
        <v>195</v>
      </c>
      <c r="E31" s="55" t="s">
        <v>199</v>
      </c>
      <c r="F31" s="55">
        <v>1</v>
      </c>
      <c r="G31" s="68">
        <v>3000</v>
      </c>
      <c r="H31" s="68">
        <f t="shared" si="6"/>
        <v>3000</v>
      </c>
      <c r="I31" s="70">
        <v>3000</v>
      </c>
      <c r="J31" s="70">
        <f t="shared" si="7"/>
        <v>3000</v>
      </c>
      <c r="K31" s="70">
        <v>3000</v>
      </c>
      <c r="L31" s="70">
        <f t="shared" si="8"/>
        <v>3000</v>
      </c>
      <c r="M31" s="70">
        <v>3000</v>
      </c>
      <c r="N31" s="70">
        <f t="shared" si="9"/>
        <v>3000</v>
      </c>
      <c r="O31" s="172" t="s">
        <v>184</v>
      </c>
      <c r="P31" s="79"/>
      <c r="Q31" s="78" t="s">
        <v>342</v>
      </c>
      <c r="R31" t="s">
        <v>381</v>
      </c>
      <c r="S31" t="s">
        <v>195</v>
      </c>
      <c r="T31" s="66" t="s">
        <v>197</v>
      </c>
      <c r="U31" s="67">
        <v>0</v>
      </c>
      <c r="V31" s="70"/>
      <c r="W31" s="70">
        <f t="shared" si="13"/>
        <v>0</v>
      </c>
      <c r="X31" s="70"/>
      <c r="Y31" s="70">
        <f t="shared" si="14"/>
        <v>0</v>
      </c>
      <c r="Z31" s="70"/>
      <c r="AA31" s="70">
        <f t="shared" si="15"/>
        <v>0</v>
      </c>
      <c r="AB31" s="183"/>
      <c r="AC31" s="79"/>
      <c r="AD31" s="78" t="s">
        <v>342</v>
      </c>
      <c r="AE31" t="s">
        <v>390</v>
      </c>
      <c r="AF31" t="s">
        <v>195</v>
      </c>
      <c r="AG31" s="66" t="s">
        <v>175</v>
      </c>
      <c r="AH31" s="67"/>
      <c r="AI31" s="70"/>
      <c r="AJ31" s="70">
        <f t="shared" si="10"/>
        <v>0</v>
      </c>
      <c r="AK31" s="70"/>
      <c r="AL31" s="70">
        <f t="shared" si="11"/>
        <v>0</v>
      </c>
      <c r="AM31" s="70"/>
      <c r="AN31" s="70">
        <f t="shared" si="12"/>
        <v>0</v>
      </c>
      <c r="AO31" s="182"/>
    </row>
    <row r="32" spans="2:41" x14ac:dyDescent="0.35">
      <c r="B32" s="78" t="s">
        <v>270</v>
      </c>
      <c r="C32" t="s">
        <v>29</v>
      </c>
      <c r="D32" t="s">
        <v>195</v>
      </c>
      <c r="E32" s="66" t="s">
        <v>175</v>
      </c>
      <c r="F32" s="67"/>
      <c r="G32" s="71"/>
      <c r="H32" s="71">
        <f t="shared" si="6"/>
        <v>0</v>
      </c>
      <c r="I32" s="70"/>
      <c r="J32" s="70">
        <f t="shared" si="7"/>
        <v>0</v>
      </c>
      <c r="K32" s="70"/>
      <c r="L32" s="70">
        <f t="shared" si="8"/>
        <v>0</v>
      </c>
      <c r="M32" s="70"/>
      <c r="N32" s="70">
        <f t="shared" si="9"/>
        <v>0</v>
      </c>
      <c r="O32" s="182"/>
      <c r="P32" s="79"/>
      <c r="Q32" s="78" t="s">
        <v>342</v>
      </c>
      <c r="R32" t="s">
        <v>381</v>
      </c>
      <c r="S32" t="s">
        <v>195</v>
      </c>
      <c r="T32" s="66" t="s">
        <v>199</v>
      </c>
      <c r="U32" s="67">
        <v>200</v>
      </c>
      <c r="V32" s="70">
        <v>50</v>
      </c>
      <c r="W32" s="70">
        <f t="shared" si="13"/>
        <v>10000</v>
      </c>
      <c r="X32" s="70">
        <v>50</v>
      </c>
      <c r="Y32" s="70">
        <f t="shared" si="14"/>
        <v>10000</v>
      </c>
      <c r="Z32" s="70">
        <v>50</v>
      </c>
      <c r="AA32" s="70">
        <f t="shared" si="15"/>
        <v>10000</v>
      </c>
      <c r="AB32" s="183"/>
      <c r="AC32" s="79"/>
      <c r="AD32" s="78" t="s">
        <v>342</v>
      </c>
      <c r="AE32" t="s">
        <v>390</v>
      </c>
      <c r="AF32" t="s">
        <v>195</v>
      </c>
      <c r="AG32" s="66" t="s">
        <v>175</v>
      </c>
      <c r="AH32" s="67"/>
      <c r="AI32" s="70"/>
      <c r="AJ32" s="70">
        <f t="shared" si="10"/>
        <v>0</v>
      </c>
      <c r="AK32" s="70"/>
      <c r="AL32" s="70">
        <f t="shared" si="11"/>
        <v>0</v>
      </c>
      <c r="AM32" s="70"/>
      <c r="AN32" s="70">
        <f t="shared" si="12"/>
        <v>0</v>
      </c>
      <c r="AO32" s="182"/>
    </row>
    <row r="33" spans="2:41" x14ac:dyDescent="0.35">
      <c r="B33" s="78" t="s">
        <v>270</v>
      </c>
      <c r="C33" t="s">
        <v>29</v>
      </c>
      <c r="D33" t="s">
        <v>201</v>
      </c>
      <c r="E33" s="66" t="s">
        <v>202</v>
      </c>
      <c r="F33" s="67">
        <v>1</v>
      </c>
      <c r="G33" s="71">
        <v>2800</v>
      </c>
      <c r="H33" s="71">
        <f t="shared" si="6"/>
        <v>2800</v>
      </c>
      <c r="I33" s="70">
        <v>2800</v>
      </c>
      <c r="J33" s="70">
        <f t="shared" si="7"/>
        <v>2800</v>
      </c>
      <c r="K33" s="70">
        <v>2800</v>
      </c>
      <c r="L33" s="70">
        <f t="shared" si="8"/>
        <v>2800</v>
      </c>
      <c r="M33" s="70">
        <v>2800</v>
      </c>
      <c r="N33" s="70">
        <f t="shared" si="9"/>
        <v>2800</v>
      </c>
      <c r="O33" s="182" t="s">
        <v>293</v>
      </c>
      <c r="P33" s="79"/>
      <c r="Q33" s="78" t="s">
        <v>342</v>
      </c>
      <c r="R33" t="s">
        <v>381</v>
      </c>
      <c r="S33" t="s">
        <v>195</v>
      </c>
      <c r="T33" s="66" t="s">
        <v>175</v>
      </c>
      <c r="U33" s="67"/>
      <c r="V33" s="70"/>
      <c r="W33" s="70">
        <f t="shared" si="13"/>
        <v>0</v>
      </c>
      <c r="X33" s="70"/>
      <c r="Y33" s="70">
        <f t="shared" si="14"/>
        <v>0</v>
      </c>
      <c r="Z33" s="70"/>
      <c r="AA33" s="70">
        <f t="shared" si="15"/>
        <v>0</v>
      </c>
      <c r="AB33" s="183"/>
      <c r="AC33" s="79"/>
      <c r="AD33" s="78" t="s">
        <v>342</v>
      </c>
      <c r="AE33" t="s">
        <v>390</v>
      </c>
      <c r="AF33" t="s">
        <v>201</v>
      </c>
      <c r="AG33" s="66" t="s">
        <v>202</v>
      </c>
      <c r="AH33" s="67">
        <v>1</v>
      </c>
      <c r="AI33" s="70">
        <v>2800</v>
      </c>
      <c r="AJ33" s="70">
        <f t="shared" si="10"/>
        <v>2800</v>
      </c>
      <c r="AK33" s="70">
        <v>2800</v>
      </c>
      <c r="AL33" s="70">
        <f t="shared" si="11"/>
        <v>2800</v>
      </c>
      <c r="AM33" s="70">
        <v>2800</v>
      </c>
      <c r="AN33" s="70">
        <f t="shared" si="12"/>
        <v>2800</v>
      </c>
      <c r="AO33" s="172" t="s">
        <v>231</v>
      </c>
    </row>
    <row r="34" spans="2:41" x14ac:dyDescent="0.35">
      <c r="B34" s="78" t="s">
        <v>270</v>
      </c>
      <c r="C34" t="s">
        <v>29</v>
      </c>
      <c r="D34" t="s">
        <v>204</v>
      </c>
      <c r="E34" s="66" t="s">
        <v>205</v>
      </c>
      <c r="F34" s="67">
        <v>1</v>
      </c>
      <c r="G34" s="68">
        <v>3000</v>
      </c>
      <c r="H34" s="68">
        <f t="shared" si="6"/>
        <v>3000</v>
      </c>
      <c r="I34" s="70">
        <v>3000</v>
      </c>
      <c r="J34" s="70">
        <f t="shared" si="7"/>
        <v>3000</v>
      </c>
      <c r="K34" s="70">
        <v>3000</v>
      </c>
      <c r="L34" s="70">
        <f t="shared" si="8"/>
        <v>3000</v>
      </c>
      <c r="M34" s="70">
        <v>3000</v>
      </c>
      <c r="N34" s="70">
        <f t="shared" si="9"/>
        <v>3000</v>
      </c>
      <c r="O34" s="172" t="s">
        <v>184</v>
      </c>
      <c r="P34" s="79"/>
      <c r="Q34" s="78" t="s">
        <v>342</v>
      </c>
      <c r="R34" t="s">
        <v>381</v>
      </c>
      <c r="S34" t="s">
        <v>201</v>
      </c>
      <c r="T34" s="66" t="s">
        <v>202</v>
      </c>
      <c r="U34" s="67">
        <v>1</v>
      </c>
      <c r="V34" s="70">
        <v>4500</v>
      </c>
      <c r="W34" s="70">
        <f t="shared" si="13"/>
        <v>4500</v>
      </c>
      <c r="X34" s="70">
        <v>4500</v>
      </c>
      <c r="Y34" s="70">
        <f t="shared" si="14"/>
        <v>4500</v>
      </c>
      <c r="Z34" s="70">
        <v>4500</v>
      </c>
      <c r="AA34" s="70">
        <f t="shared" si="15"/>
        <v>4500</v>
      </c>
      <c r="AB34" s="183" t="s">
        <v>259</v>
      </c>
      <c r="AC34" s="79"/>
      <c r="AD34" s="78" t="s">
        <v>342</v>
      </c>
      <c r="AE34" t="s">
        <v>390</v>
      </c>
      <c r="AF34" t="s">
        <v>204</v>
      </c>
      <c r="AG34" s="66" t="s">
        <v>205</v>
      </c>
      <c r="AH34" s="185">
        <v>1500</v>
      </c>
      <c r="AI34" s="70">
        <v>1.25</v>
      </c>
      <c r="AJ34" s="70">
        <f t="shared" si="10"/>
        <v>1875</v>
      </c>
      <c r="AK34" s="70">
        <v>1.25</v>
      </c>
      <c r="AL34" s="70">
        <f t="shared" si="11"/>
        <v>1875</v>
      </c>
      <c r="AM34" s="70">
        <v>1.25</v>
      </c>
      <c r="AN34" s="70">
        <f t="shared" si="12"/>
        <v>1875</v>
      </c>
      <c r="AO34" s="182"/>
    </row>
    <row r="35" spans="2:41" x14ac:dyDescent="0.35">
      <c r="B35" s="78" t="s">
        <v>270</v>
      </c>
      <c r="C35" t="s">
        <v>29</v>
      </c>
      <c r="D35" t="s">
        <v>204</v>
      </c>
      <c r="E35" s="72" t="s">
        <v>206</v>
      </c>
      <c r="F35" s="73">
        <v>1</v>
      </c>
      <c r="G35" s="74"/>
      <c r="H35" s="71">
        <f t="shared" si="6"/>
        <v>0</v>
      </c>
      <c r="I35" s="75"/>
      <c r="J35" s="70">
        <f t="shared" si="7"/>
        <v>0</v>
      </c>
      <c r="K35" s="75"/>
      <c r="L35" s="70">
        <f t="shared" si="8"/>
        <v>0</v>
      </c>
      <c r="M35" s="75"/>
      <c r="N35" s="70">
        <f t="shared" si="9"/>
        <v>0</v>
      </c>
      <c r="O35" s="191" t="s">
        <v>198</v>
      </c>
      <c r="P35" s="78"/>
      <c r="Q35" s="78" t="s">
        <v>342</v>
      </c>
      <c r="R35" t="s">
        <v>381</v>
      </c>
      <c r="S35" t="s">
        <v>204</v>
      </c>
      <c r="T35" s="66" t="s">
        <v>205</v>
      </c>
      <c r="U35" s="67">
        <v>130</v>
      </c>
      <c r="V35" s="70">
        <v>75</v>
      </c>
      <c r="W35" s="70">
        <f t="shared" si="13"/>
        <v>9750</v>
      </c>
      <c r="X35" s="70">
        <v>75</v>
      </c>
      <c r="Y35" s="70">
        <f t="shared" si="14"/>
        <v>9750</v>
      </c>
      <c r="Z35" s="70">
        <v>75</v>
      </c>
      <c r="AA35" s="70">
        <f t="shared" si="15"/>
        <v>9750</v>
      </c>
      <c r="AB35" s="183"/>
      <c r="AC35" s="79"/>
      <c r="AD35" s="78" t="s">
        <v>342</v>
      </c>
      <c r="AE35" t="s">
        <v>390</v>
      </c>
      <c r="AF35" t="s">
        <v>204</v>
      </c>
      <c r="AG35" s="72" t="s">
        <v>206</v>
      </c>
      <c r="AH35" s="73">
        <v>1</v>
      </c>
      <c r="AI35" s="75">
        <v>2000</v>
      </c>
      <c r="AJ35" s="70">
        <f t="shared" si="10"/>
        <v>2000</v>
      </c>
      <c r="AK35" s="75">
        <v>2000</v>
      </c>
      <c r="AL35" s="70">
        <f t="shared" si="11"/>
        <v>2000</v>
      </c>
      <c r="AM35" s="75">
        <v>2000</v>
      </c>
      <c r="AN35" s="70">
        <f t="shared" si="12"/>
        <v>2000</v>
      </c>
      <c r="AO35" s="191"/>
    </row>
    <row r="36" spans="2:41" x14ac:dyDescent="0.35">
      <c r="B36" s="78" t="s">
        <v>270</v>
      </c>
      <c r="C36" t="s">
        <v>29</v>
      </c>
      <c r="D36" t="s">
        <v>204</v>
      </c>
      <c r="E36" s="72" t="s">
        <v>175</v>
      </c>
      <c r="F36" s="73"/>
      <c r="G36" s="74"/>
      <c r="H36" s="71">
        <f t="shared" si="6"/>
        <v>0</v>
      </c>
      <c r="I36" s="75"/>
      <c r="J36" s="70">
        <f t="shared" si="7"/>
        <v>0</v>
      </c>
      <c r="K36" s="75"/>
      <c r="L36" s="70">
        <f t="shared" si="8"/>
        <v>0</v>
      </c>
      <c r="M36" s="75"/>
      <c r="N36" s="70">
        <f t="shared" si="9"/>
        <v>0</v>
      </c>
      <c r="O36" s="191"/>
      <c r="P36" s="79"/>
      <c r="Q36" s="78" t="s">
        <v>342</v>
      </c>
      <c r="R36" t="s">
        <v>381</v>
      </c>
      <c r="S36" t="s">
        <v>204</v>
      </c>
      <c r="T36" s="72" t="s">
        <v>206</v>
      </c>
      <c r="U36" s="73">
        <v>1</v>
      </c>
      <c r="V36" s="75"/>
      <c r="W36" s="70">
        <f t="shared" si="13"/>
        <v>0</v>
      </c>
      <c r="X36" s="75"/>
      <c r="Y36" s="70">
        <f t="shared" si="14"/>
        <v>0</v>
      </c>
      <c r="Z36" s="75"/>
      <c r="AA36" s="70">
        <f t="shared" si="15"/>
        <v>0</v>
      </c>
      <c r="AB36" s="192"/>
      <c r="AC36" s="78"/>
      <c r="AD36" s="78" t="s">
        <v>342</v>
      </c>
      <c r="AE36" t="s">
        <v>390</v>
      </c>
      <c r="AF36" t="s">
        <v>204</v>
      </c>
      <c r="AG36" s="72" t="s">
        <v>175</v>
      </c>
      <c r="AH36" s="73"/>
      <c r="AI36" s="75"/>
      <c r="AJ36" s="70">
        <f t="shared" si="10"/>
        <v>0</v>
      </c>
      <c r="AK36" s="75"/>
      <c r="AL36" s="70">
        <f t="shared" si="11"/>
        <v>0</v>
      </c>
      <c r="AM36" s="75"/>
      <c r="AN36" s="70">
        <f t="shared" si="12"/>
        <v>0</v>
      </c>
      <c r="AO36" s="191"/>
    </row>
    <row r="37" spans="2:41" x14ac:dyDescent="0.35">
      <c r="B37" s="78" t="s">
        <v>270</v>
      </c>
      <c r="C37" t="s">
        <v>29</v>
      </c>
      <c r="D37" t="s">
        <v>204</v>
      </c>
      <c r="E37" s="72" t="s">
        <v>175</v>
      </c>
      <c r="F37" s="73"/>
      <c r="G37" s="74"/>
      <c r="H37" s="71">
        <f t="shared" si="6"/>
        <v>0</v>
      </c>
      <c r="I37" s="75"/>
      <c r="J37" s="70">
        <f t="shared" si="7"/>
        <v>0</v>
      </c>
      <c r="K37" s="75"/>
      <c r="L37" s="70">
        <f t="shared" si="8"/>
        <v>0</v>
      </c>
      <c r="M37" s="75"/>
      <c r="N37" s="70">
        <f t="shared" si="9"/>
        <v>0</v>
      </c>
      <c r="O37" s="191"/>
      <c r="P37" s="79"/>
      <c r="Q37" s="78" t="s">
        <v>342</v>
      </c>
      <c r="R37" t="s">
        <v>381</v>
      </c>
      <c r="S37" t="s">
        <v>204</v>
      </c>
      <c r="T37" s="72" t="s">
        <v>175</v>
      </c>
      <c r="U37" s="73"/>
      <c r="V37" s="75"/>
      <c r="W37" s="70">
        <f t="shared" si="13"/>
        <v>0</v>
      </c>
      <c r="X37" s="75"/>
      <c r="Y37" s="70">
        <f t="shared" si="14"/>
        <v>0</v>
      </c>
      <c r="Z37" s="75"/>
      <c r="AA37" s="70">
        <f t="shared" si="15"/>
        <v>0</v>
      </c>
      <c r="AB37" s="192"/>
      <c r="AC37" s="79"/>
      <c r="AD37" s="78" t="s">
        <v>342</v>
      </c>
      <c r="AE37" t="s">
        <v>390</v>
      </c>
      <c r="AF37" t="s">
        <v>204</v>
      </c>
      <c r="AG37" s="72" t="s">
        <v>175</v>
      </c>
      <c r="AH37" s="73"/>
      <c r="AI37" s="75"/>
      <c r="AJ37" s="70">
        <f t="shared" si="10"/>
        <v>0</v>
      </c>
      <c r="AK37" s="75"/>
      <c r="AL37" s="70">
        <f t="shared" si="11"/>
        <v>0</v>
      </c>
      <c r="AM37" s="75"/>
      <c r="AN37" s="70">
        <f t="shared" si="12"/>
        <v>0</v>
      </c>
      <c r="AO37" s="191"/>
    </row>
    <row r="38" spans="2:41" x14ac:dyDescent="0.35">
      <c r="B38" s="104" t="s">
        <v>28</v>
      </c>
      <c r="E38" s="105"/>
      <c r="I38" s="106"/>
      <c r="J38" s="108">
        <f>SUBTOTAL(109,Aventri_2021_2023IA[Total Cost (2022)])</f>
        <v>27117.949999999997</v>
      </c>
      <c r="K38" s="106"/>
      <c r="L38" s="108">
        <f>SUBTOTAL(109,Aventri_2021_2023IA[Total Cost (2023)])</f>
        <v>27297.949999999997</v>
      </c>
      <c r="M38" s="106"/>
      <c r="N38" s="108">
        <f>SUBTOTAL(109,Aventri_2021_2023IA[Total Cost (2024)])</f>
        <v>27297.949999999997</v>
      </c>
      <c r="O38" s="107">
        <f>SUBTOTAL(103,Aventri_2021_2023IA[Comments])</f>
        <v>18</v>
      </c>
      <c r="Q38" s="78" t="s">
        <v>342</v>
      </c>
      <c r="R38" t="s">
        <v>381</v>
      </c>
      <c r="S38" t="s">
        <v>204</v>
      </c>
      <c r="T38" s="72" t="s">
        <v>175</v>
      </c>
      <c r="U38" s="73"/>
      <c r="V38" s="75"/>
      <c r="W38" s="70">
        <f t="shared" si="13"/>
        <v>0</v>
      </c>
      <c r="X38" s="75"/>
      <c r="Y38" s="70">
        <f t="shared" si="14"/>
        <v>0</v>
      </c>
      <c r="Z38" s="75"/>
      <c r="AA38" s="70">
        <f t="shared" si="15"/>
        <v>0</v>
      </c>
      <c r="AB38" s="192"/>
      <c r="AC38" s="79"/>
      <c r="AD38" s="104" t="s">
        <v>28</v>
      </c>
      <c r="AG38" s="105"/>
      <c r="AI38" s="106"/>
      <c r="AJ38" s="108">
        <f>SUBTOTAL(109,MCI_2023_2025IA[Total Cost (2023)])</f>
        <v>28312.080000000002</v>
      </c>
      <c r="AK38" s="106"/>
      <c r="AL38" s="108">
        <f>SUBTOTAL(109,MCI_2023_2025IA[Total Cost (2024)])</f>
        <v>28312.080000000002</v>
      </c>
      <c r="AM38" s="106"/>
      <c r="AN38" s="108">
        <f>SUBTOTAL(109,MCI_2023_2025IA[Total Cost (2025)])</f>
        <v>28492.080000000002</v>
      </c>
      <c r="AO38" s="107">
        <f>SUBTOTAL(103,MCI_2023_2025IA[Comments])</f>
        <v>13</v>
      </c>
    </row>
    <row r="39" spans="2:41" x14ac:dyDescent="0.35">
      <c r="P39" s="79"/>
      <c r="Q39" s="104" t="s">
        <v>28</v>
      </c>
      <c r="T39" s="105"/>
      <c r="V39" s="106"/>
      <c r="W39" s="108">
        <f>SUBTOTAL(109,CompuSystems_2023_2025IA[Total Cost (2023)])</f>
        <v>44707.08</v>
      </c>
      <c r="X39" s="106"/>
      <c r="Y39" s="108">
        <f>SUBTOTAL(109,CompuSystems_2023_2025IA[Total Cost (2024)])</f>
        <v>44707.08</v>
      </c>
      <c r="Z39" s="106"/>
      <c r="AA39" s="108">
        <f>SUBTOTAL(109,CompuSystems_2023_2025IA[Total Cost (2025)])</f>
        <v>44887.08</v>
      </c>
      <c r="AB39" s="109">
        <f>SUBTOTAL(103,CompuSystems_2023_2025IA[Comments])</f>
        <v>4</v>
      </c>
      <c r="AC39" s="79"/>
      <c r="AD39" s="79"/>
    </row>
    <row r="40" spans="2:41" x14ac:dyDescent="0.35">
      <c r="P40" s="78"/>
      <c r="AC40" s="79"/>
      <c r="AD40" s="78"/>
    </row>
    <row r="41" spans="2:41" x14ac:dyDescent="0.35">
      <c r="P41" s="79"/>
      <c r="AC41" s="78"/>
    </row>
    <row r="42" spans="2:41" x14ac:dyDescent="0.35">
      <c r="P42" s="78"/>
      <c r="AC42" s="79"/>
    </row>
    <row r="43" spans="2:41" x14ac:dyDescent="0.35">
      <c r="AC43" s="78"/>
    </row>
    <row r="44" spans="2:41" x14ac:dyDescent="0.35">
      <c r="P44" s="79"/>
      <c r="AC44" s="79"/>
    </row>
    <row r="45" spans="2:41" x14ac:dyDescent="0.35">
      <c r="P45" s="79"/>
      <c r="AC45" s="79"/>
    </row>
    <row r="46" spans="2:41" x14ac:dyDescent="0.35">
      <c r="P46" s="79"/>
      <c r="AC46" s="79"/>
    </row>
    <row r="47" spans="2:41" x14ac:dyDescent="0.35">
      <c r="P47" s="78"/>
      <c r="AC47" s="79"/>
    </row>
    <row r="48" spans="2:41" x14ac:dyDescent="0.35">
      <c r="AC48" s="78"/>
    </row>
  </sheetData>
  <mergeCells count="6">
    <mergeCell ref="B3:O3"/>
    <mergeCell ref="B2:O2"/>
    <mergeCell ref="Q3:AB3"/>
    <mergeCell ref="Q2:AB2"/>
    <mergeCell ref="AD3:AO3"/>
    <mergeCell ref="AD2:AO2"/>
  </mergeCells>
  <pageMargins left="0.7" right="0.7" top="0.75" bottom="0.75" header="0.3" footer="0.3"/>
  <tableParts count="3">
    <tablePart r:id="rId1"/>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AA36"/>
  <sheetViews>
    <sheetView topLeftCell="A2" zoomScale="90" zoomScaleNormal="90" workbookViewId="0">
      <selection activeCell="T2" sqref="T2:AA2"/>
    </sheetView>
  </sheetViews>
  <sheetFormatPr defaultRowHeight="14.5" x14ac:dyDescent="0.35"/>
  <cols>
    <col min="1" max="1" width="8.81640625" customWidth="1"/>
    <col min="2" max="2" width="8.90625" hidden="1" customWidth="1"/>
    <col min="3" max="3" width="10.6328125" hidden="1" customWidth="1"/>
    <col min="4" max="4" width="22.08984375" hidden="1" customWidth="1"/>
    <col min="5" max="5" width="26.1796875" hidden="1" customWidth="1"/>
    <col min="6" max="6" width="20.1796875" hidden="1" customWidth="1"/>
    <col min="7" max="7" width="15.7265625" hidden="1" customWidth="1"/>
    <col min="8" max="8" width="20.26953125" hidden="1" customWidth="1"/>
    <col min="9" max="9" width="140.1796875" hidden="1" customWidth="1"/>
    <col min="10" max="10" width="22.1796875" hidden="1" customWidth="1"/>
    <col min="11" max="11" width="8.90625" bestFit="1" customWidth="1"/>
    <col min="12" max="12" width="13.6328125" bestFit="1" customWidth="1"/>
    <col min="13" max="13" width="22.08984375" bestFit="1" customWidth="1"/>
    <col min="14" max="14" width="26.1796875" bestFit="1" customWidth="1"/>
    <col min="15" max="15" width="20.1796875" customWidth="1"/>
    <col min="16" max="16" width="7.81640625" bestFit="1" customWidth="1"/>
    <col min="17" max="17" width="11.81640625" customWidth="1"/>
    <col min="18" max="18" width="24" bestFit="1" customWidth="1"/>
    <col min="19" max="19" width="23.1796875" customWidth="1"/>
    <col min="20" max="20" width="8.90625" bestFit="1" customWidth="1"/>
    <col min="21" max="21" width="10.6328125" customWidth="1"/>
    <col min="22" max="22" width="30.81640625" bestFit="1" customWidth="1"/>
    <col min="23" max="23" width="26.1796875" bestFit="1" customWidth="1"/>
    <col min="24" max="24" width="20.1796875" customWidth="1"/>
    <col min="25" max="25" width="9.36328125" bestFit="1" customWidth="1"/>
    <col min="26" max="26" width="11.81640625" customWidth="1"/>
    <col min="27" max="27" width="41.81640625" bestFit="1" customWidth="1"/>
  </cols>
  <sheetData>
    <row r="2" spans="2:27" x14ac:dyDescent="0.35">
      <c r="B2" s="248" t="s">
        <v>29</v>
      </c>
      <c r="C2" s="248"/>
      <c r="D2" s="248"/>
      <c r="E2" s="248"/>
      <c r="F2" s="248"/>
      <c r="G2" s="248"/>
      <c r="H2" s="248"/>
      <c r="I2" s="248"/>
      <c r="J2" s="88"/>
      <c r="K2" s="249" t="s">
        <v>381</v>
      </c>
      <c r="L2" s="249"/>
      <c r="M2" s="249"/>
      <c r="N2" s="249"/>
      <c r="O2" s="249"/>
      <c r="P2" s="249"/>
      <c r="Q2" s="249"/>
      <c r="R2" s="249"/>
      <c r="S2" s="88"/>
      <c r="T2" s="247" t="s">
        <v>390</v>
      </c>
      <c r="U2" s="247"/>
      <c r="V2" s="247"/>
      <c r="W2" s="247"/>
      <c r="X2" s="247"/>
      <c r="Y2" s="247"/>
      <c r="Z2" s="247"/>
      <c r="AA2" s="247"/>
    </row>
    <row r="3" spans="2:27" ht="18.5" x14ac:dyDescent="0.45">
      <c r="B3" s="256" t="s">
        <v>345</v>
      </c>
      <c r="C3" s="256"/>
      <c r="D3" s="256"/>
      <c r="E3" s="256"/>
      <c r="F3" s="256"/>
      <c r="G3" s="256"/>
      <c r="H3" s="256"/>
      <c r="I3" s="258"/>
      <c r="J3" s="89"/>
      <c r="K3" s="256" t="s">
        <v>345</v>
      </c>
      <c r="L3" s="256"/>
      <c r="M3" s="256"/>
      <c r="N3" s="256"/>
      <c r="O3" s="256"/>
      <c r="P3" s="256"/>
      <c r="Q3" s="256"/>
      <c r="R3" s="258"/>
      <c r="S3" s="89"/>
      <c r="T3" s="256" t="s">
        <v>345</v>
      </c>
      <c r="U3" s="256"/>
      <c r="V3" s="256"/>
      <c r="W3" s="256"/>
      <c r="X3" s="256"/>
      <c r="Y3" s="256"/>
      <c r="Z3" s="256"/>
      <c r="AA3" s="258"/>
    </row>
    <row r="4" spans="2:27" ht="31" x14ac:dyDescent="0.35">
      <c r="B4" t="s">
        <v>141</v>
      </c>
      <c r="C4" t="s">
        <v>22</v>
      </c>
      <c r="D4" s="80" t="s">
        <v>152</v>
      </c>
      <c r="E4" s="81" t="s">
        <v>153</v>
      </c>
      <c r="F4" s="82" t="s">
        <v>346</v>
      </c>
      <c r="G4" s="83" t="s">
        <v>155</v>
      </c>
      <c r="H4" s="82" t="s">
        <v>156</v>
      </c>
      <c r="I4" s="95" t="s">
        <v>157</v>
      </c>
      <c r="J4" s="90"/>
      <c r="K4" t="s">
        <v>141</v>
      </c>
      <c r="L4" t="s">
        <v>22</v>
      </c>
      <c r="M4" s="80" t="s">
        <v>152</v>
      </c>
      <c r="N4" s="81" t="s">
        <v>153</v>
      </c>
      <c r="O4" s="82" t="s">
        <v>346</v>
      </c>
      <c r="P4" s="83" t="s">
        <v>155</v>
      </c>
      <c r="Q4" s="82" t="s">
        <v>156</v>
      </c>
      <c r="R4" s="95" t="s">
        <v>157</v>
      </c>
      <c r="S4" s="90"/>
      <c r="T4" t="s">
        <v>141</v>
      </c>
      <c r="U4" t="s">
        <v>22</v>
      </c>
      <c r="V4" s="80" t="s">
        <v>152</v>
      </c>
      <c r="W4" s="81" t="s">
        <v>153</v>
      </c>
      <c r="X4" s="82" t="s">
        <v>346</v>
      </c>
      <c r="Y4" s="83" t="s">
        <v>155</v>
      </c>
      <c r="Z4" s="82" t="s">
        <v>156</v>
      </c>
      <c r="AA4" s="84" t="s">
        <v>157</v>
      </c>
    </row>
    <row r="5" spans="2:27" x14ac:dyDescent="0.35">
      <c r="B5" t="s">
        <v>344</v>
      </c>
      <c r="C5" t="s">
        <v>29</v>
      </c>
      <c r="D5" s="85" t="s">
        <v>169</v>
      </c>
      <c r="E5" s="86" t="s">
        <v>170</v>
      </c>
      <c r="F5" s="86">
        <v>2</v>
      </c>
      <c r="G5" s="57">
        <v>350</v>
      </c>
      <c r="H5" s="57">
        <f t="shared" ref="H5:H26" si="0">F5*G5</f>
        <v>700</v>
      </c>
      <c r="I5" s="193"/>
      <c r="J5" s="79"/>
      <c r="K5" t="s">
        <v>344</v>
      </c>
      <c r="L5" t="s">
        <v>381</v>
      </c>
      <c r="M5" s="85" t="s">
        <v>169</v>
      </c>
      <c r="N5" s="86" t="s">
        <v>170</v>
      </c>
      <c r="O5" s="86">
        <v>2</v>
      </c>
      <c r="P5" s="87">
        <v>150</v>
      </c>
      <c r="Q5" s="87">
        <f t="shared" ref="Q5:Q25" si="1">O5*P5</f>
        <v>300</v>
      </c>
      <c r="R5" s="193"/>
      <c r="S5" s="79"/>
      <c r="T5" t="s">
        <v>344</v>
      </c>
      <c r="U5" t="s">
        <v>390</v>
      </c>
      <c r="V5" s="54" t="s">
        <v>158</v>
      </c>
      <c r="W5" s="55" t="s">
        <v>159</v>
      </c>
      <c r="X5" s="55">
        <v>1200</v>
      </c>
      <c r="Y5" s="57">
        <v>3</v>
      </c>
      <c r="Z5" s="57">
        <f>X5*Y5</f>
        <v>3600</v>
      </c>
      <c r="AA5" s="172" t="s">
        <v>219</v>
      </c>
    </row>
    <row r="6" spans="2:27" x14ac:dyDescent="0.35">
      <c r="B6" t="s">
        <v>344</v>
      </c>
      <c r="C6" t="s">
        <v>29</v>
      </c>
      <c r="D6" s="85" t="s">
        <v>169</v>
      </c>
      <c r="E6" s="86" t="s">
        <v>171</v>
      </c>
      <c r="F6" s="86">
        <v>5</v>
      </c>
      <c r="G6" s="57">
        <v>75</v>
      </c>
      <c r="H6" s="57">
        <f t="shared" si="0"/>
        <v>375</v>
      </c>
      <c r="I6" s="193"/>
      <c r="J6" s="79"/>
      <c r="K6" t="s">
        <v>344</v>
      </c>
      <c r="L6" t="s">
        <v>381</v>
      </c>
      <c r="M6" s="85" t="s">
        <v>169</v>
      </c>
      <c r="N6" s="86" t="s">
        <v>171</v>
      </c>
      <c r="O6" s="86">
        <v>5</v>
      </c>
      <c r="P6" s="87">
        <v>150</v>
      </c>
      <c r="Q6" s="87">
        <f t="shared" si="1"/>
        <v>750</v>
      </c>
      <c r="R6" s="193"/>
      <c r="S6" s="79"/>
      <c r="T6" t="s">
        <v>344</v>
      </c>
      <c r="U6" t="s">
        <v>390</v>
      </c>
      <c r="V6" s="54" t="s">
        <v>158</v>
      </c>
      <c r="W6" s="55" t="s">
        <v>161</v>
      </c>
      <c r="X6" s="55">
        <v>1</v>
      </c>
      <c r="Y6" s="57">
        <v>0</v>
      </c>
      <c r="Z6" s="57">
        <f>X6*Y6</f>
        <v>0</v>
      </c>
      <c r="AA6" s="172"/>
    </row>
    <row r="7" spans="2:27" x14ac:dyDescent="0.35">
      <c r="B7" t="s">
        <v>344</v>
      </c>
      <c r="C7" t="s">
        <v>29</v>
      </c>
      <c r="D7" s="85" t="s">
        <v>169</v>
      </c>
      <c r="E7" s="86" t="s">
        <v>175</v>
      </c>
      <c r="F7" s="86"/>
      <c r="G7" s="87"/>
      <c r="H7" s="87">
        <f t="shared" si="0"/>
        <v>0</v>
      </c>
      <c r="I7" s="193"/>
      <c r="J7" s="79"/>
      <c r="K7" t="s">
        <v>344</v>
      </c>
      <c r="L7" t="s">
        <v>381</v>
      </c>
      <c r="M7" s="85" t="s">
        <v>169</v>
      </c>
      <c r="N7" s="86" t="s">
        <v>266</v>
      </c>
      <c r="O7" s="86">
        <v>1</v>
      </c>
      <c r="P7" s="87">
        <v>500</v>
      </c>
      <c r="Q7" s="87">
        <f t="shared" si="1"/>
        <v>500</v>
      </c>
      <c r="R7" s="193"/>
      <c r="S7" s="79"/>
      <c r="T7" t="s">
        <v>344</v>
      </c>
      <c r="U7" t="s">
        <v>390</v>
      </c>
      <c r="V7" s="54" t="s">
        <v>158</v>
      </c>
      <c r="W7" s="55" t="s">
        <v>164</v>
      </c>
      <c r="X7" s="55">
        <v>1</v>
      </c>
      <c r="Y7" s="57">
        <v>3750</v>
      </c>
      <c r="Z7" s="57">
        <f>X7*Y7</f>
        <v>3750</v>
      </c>
      <c r="AA7" s="172"/>
    </row>
    <row r="8" spans="2:27" x14ac:dyDescent="0.35">
      <c r="B8" t="s">
        <v>344</v>
      </c>
      <c r="C8" t="s">
        <v>29</v>
      </c>
      <c r="D8" s="85" t="s">
        <v>169</v>
      </c>
      <c r="E8" s="86" t="s">
        <v>175</v>
      </c>
      <c r="F8" s="86"/>
      <c r="G8" s="87"/>
      <c r="H8" s="87">
        <f t="shared" si="0"/>
        <v>0</v>
      </c>
      <c r="I8" s="193"/>
      <c r="J8" s="79"/>
      <c r="K8" t="s">
        <v>344</v>
      </c>
      <c r="L8" t="s">
        <v>381</v>
      </c>
      <c r="M8" s="85" t="s">
        <v>176</v>
      </c>
      <c r="N8" s="86" t="s">
        <v>320</v>
      </c>
      <c r="O8" s="86">
        <v>1</v>
      </c>
      <c r="P8" s="87">
        <v>0</v>
      </c>
      <c r="Q8" s="87">
        <f t="shared" si="1"/>
        <v>0</v>
      </c>
      <c r="R8" s="193"/>
      <c r="S8" s="79"/>
      <c r="T8" t="s">
        <v>344</v>
      </c>
      <c r="U8" t="s">
        <v>390</v>
      </c>
      <c r="V8" s="54" t="s">
        <v>158</v>
      </c>
      <c r="W8" s="55" t="s">
        <v>166</v>
      </c>
      <c r="X8" s="55">
        <v>6</v>
      </c>
      <c r="Y8" s="57">
        <v>1000</v>
      </c>
      <c r="Z8" s="57">
        <f>X8*Y8</f>
        <v>6000</v>
      </c>
      <c r="AA8" s="172"/>
    </row>
    <row r="9" spans="2:27" x14ac:dyDescent="0.35">
      <c r="B9" t="s">
        <v>344</v>
      </c>
      <c r="C9" t="s">
        <v>29</v>
      </c>
      <c r="D9" s="85" t="s">
        <v>176</v>
      </c>
      <c r="E9" s="86" t="s">
        <v>320</v>
      </c>
      <c r="F9" s="86">
        <v>1</v>
      </c>
      <c r="G9" s="57">
        <v>75</v>
      </c>
      <c r="H9" s="57">
        <f t="shared" si="0"/>
        <v>75</v>
      </c>
      <c r="I9" s="193"/>
      <c r="J9" s="79"/>
      <c r="K9" t="s">
        <v>344</v>
      </c>
      <c r="L9" t="s">
        <v>381</v>
      </c>
      <c r="M9" s="85" t="s">
        <v>176</v>
      </c>
      <c r="N9" s="86" t="s">
        <v>177</v>
      </c>
      <c r="O9" s="86">
        <v>1</v>
      </c>
      <c r="P9" s="87">
        <v>0</v>
      </c>
      <c r="Q9" s="87">
        <f t="shared" si="1"/>
        <v>0</v>
      </c>
      <c r="R9" s="193"/>
      <c r="S9" s="79"/>
      <c r="T9" t="s">
        <v>344</v>
      </c>
      <c r="U9" t="s">
        <v>390</v>
      </c>
      <c r="V9" s="85" t="s">
        <v>169</v>
      </c>
      <c r="W9" s="86" t="s">
        <v>170</v>
      </c>
      <c r="X9" s="86">
        <v>2</v>
      </c>
      <c r="Y9" s="57">
        <v>300</v>
      </c>
      <c r="Z9" s="87">
        <f t="shared" ref="Z9:Z16" si="2">X9*Y9</f>
        <v>600</v>
      </c>
      <c r="AA9" s="172" t="s">
        <v>268</v>
      </c>
    </row>
    <row r="10" spans="2:27" x14ac:dyDescent="0.35">
      <c r="B10" t="s">
        <v>344</v>
      </c>
      <c r="C10" t="s">
        <v>29</v>
      </c>
      <c r="D10" s="85" t="s">
        <v>176</v>
      </c>
      <c r="E10" s="86" t="s">
        <v>177</v>
      </c>
      <c r="F10" s="86">
        <v>1</v>
      </c>
      <c r="G10" s="57">
        <v>250</v>
      </c>
      <c r="H10" s="57">
        <f t="shared" si="0"/>
        <v>250</v>
      </c>
      <c r="I10" s="159" t="s">
        <v>178</v>
      </c>
      <c r="J10" s="79"/>
      <c r="K10" t="s">
        <v>344</v>
      </c>
      <c r="L10" t="s">
        <v>381</v>
      </c>
      <c r="M10" s="85" t="s">
        <v>176</v>
      </c>
      <c r="N10" s="86" t="s">
        <v>175</v>
      </c>
      <c r="O10" s="86"/>
      <c r="P10" s="87"/>
      <c r="Q10" s="87">
        <f t="shared" si="1"/>
        <v>0</v>
      </c>
      <c r="R10" s="193"/>
      <c r="S10" s="79"/>
      <c r="T10" t="s">
        <v>344</v>
      </c>
      <c r="U10" t="s">
        <v>390</v>
      </c>
      <c r="V10" s="85" t="s">
        <v>169</v>
      </c>
      <c r="W10" s="86" t="s">
        <v>171</v>
      </c>
      <c r="X10" s="86">
        <v>5</v>
      </c>
      <c r="Y10" s="57">
        <v>100</v>
      </c>
      <c r="Z10" s="87">
        <f t="shared" si="2"/>
        <v>500</v>
      </c>
      <c r="AA10" s="172" t="s">
        <v>269</v>
      </c>
    </row>
    <row r="11" spans="2:27" x14ac:dyDescent="0.35">
      <c r="B11" t="s">
        <v>344</v>
      </c>
      <c r="C11" t="s">
        <v>29</v>
      </c>
      <c r="D11" s="85" t="s">
        <v>176</v>
      </c>
      <c r="E11" s="86" t="s">
        <v>175</v>
      </c>
      <c r="F11" s="86"/>
      <c r="G11" s="87"/>
      <c r="H11" s="87">
        <f t="shared" si="0"/>
        <v>0</v>
      </c>
      <c r="I11" s="193"/>
      <c r="K11" t="s">
        <v>344</v>
      </c>
      <c r="L11" t="s">
        <v>381</v>
      </c>
      <c r="M11" s="85" t="s">
        <v>176</v>
      </c>
      <c r="N11" s="86" t="s">
        <v>175</v>
      </c>
      <c r="O11" s="86"/>
      <c r="P11" s="87"/>
      <c r="Q11" s="87">
        <f t="shared" si="1"/>
        <v>0</v>
      </c>
      <c r="R11" s="193"/>
      <c r="S11" s="79"/>
      <c r="T11" t="s">
        <v>344</v>
      </c>
      <c r="U11" t="s">
        <v>390</v>
      </c>
      <c r="V11" s="85" t="s">
        <v>169</v>
      </c>
      <c r="W11" s="86" t="s">
        <v>175</v>
      </c>
      <c r="X11" s="86"/>
      <c r="Y11" s="87"/>
      <c r="Z11" s="87">
        <f t="shared" si="2"/>
        <v>0</v>
      </c>
      <c r="AA11" s="194"/>
    </row>
    <row r="12" spans="2:27" x14ac:dyDescent="0.35">
      <c r="B12" t="s">
        <v>344</v>
      </c>
      <c r="C12" t="s">
        <v>29</v>
      </c>
      <c r="D12" s="85" t="s">
        <v>176</v>
      </c>
      <c r="E12" s="86" t="s">
        <v>175</v>
      </c>
      <c r="F12" s="86"/>
      <c r="G12" s="87"/>
      <c r="H12" s="87">
        <f t="shared" si="0"/>
        <v>0</v>
      </c>
      <c r="I12" s="193"/>
      <c r="J12" s="79"/>
      <c r="K12" t="s">
        <v>344</v>
      </c>
      <c r="L12" t="s">
        <v>381</v>
      </c>
      <c r="M12" s="85" t="s">
        <v>182</v>
      </c>
      <c r="N12" s="86" t="s">
        <v>183</v>
      </c>
      <c r="O12" s="195">
        <v>1200</v>
      </c>
      <c r="P12" s="87">
        <v>0.19</v>
      </c>
      <c r="Q12" s="87">
        <f t="shared" si="1"/>
        <v>228</v>
      </c>
      <c r="R12" s="193"/>
      <c r="S12" s="79"/>
      <c r="T12" t="s">
        <v>344</v>
      </c>
      <c r="U12" t="s">
        <v>390</v>
      </c>
      <c r="V12" s="85" t="s">
        <v>169</v>
      </c>
      <c r="W12" s="86" t="s">
        <v>175</v>
      </c>
      <c r="X12" s="86"/>
      <c r="Y12" s="87"/>
      <c r="Z12" s="87">
        <f t="shared" si="2"/>
        <v>0</v>
      </c>
      <c r="AA12" s="194"/>
    </row>
    <row r="13" spans="2:27" x14ac:dyDescent="0.35">
      <c r="B13" t="s">
        <v>344</v>
      </c>
      <c r="C13" t="s">
        <v>29</v>
      </c>
      <c r="D13" s="85" t="s">
        <v>182</v>
      </c>
      <c r="E13" s="86" t="s">
        <v>183</v>
      </c>
      <c r="F13" s="195">
        <v>1200</v>
      </c>
      <c r="G13" s="57">
        <v>0.85</v>
      </c>
      <c r="H13" s="57">
        <f t="shared" si="0"/>
        <v>1020</v>
      </c>
      <c r="I13" s="176" t="s">
        <v>265</v>
      </c>
      <c r="J13" s="79"/>
      <c r="K13" t="s">
        <v>344</v>
      </c>
      <c r="L13" t="s">
        <v>381</v>
      </c>
      <c r="M13" s="85" t="s">
        <v>182</v>
      </c>
      <c r="N13" s="86" t="s">
        <v>175</v>
      </c>
      <c r="O13" s="86"/>
      <c r="P13" s="87"/>
      <c r="Q13" s="87">
        <f t="shared" si="1"/>
        <v>0</v>
      </c>
      <c r="R13" s="193"/>
      <c r="S13" s="79"/>
      <c r="T13" t="s">
        <v>344</v>
      </c>
      <c r="U13" t="s">
        <v>390</v>
      </c>
      <c r="V13" s="85" t="s">
        <v>176</v>
      </c>
      <c r="W13" s="86" t="s">
        <v>320</v>
      </c>
      <c r="X13" s="86">
        <v>1</v>
      </c>
      <c r="Y13" s="87"/>
      <c r="Z13" s="87">
        <f t="shared" si="2"/>
        <v>0</v>
      </c>
      <c r="AA13" s="194"/>
    </row>
    <row r="14" spans="2:27" x14ac:dyDescent="0.35">
      <c r="B14" t="s">
        <v>344</v>
      </c>
      <c r="C14" t="s">
        <v>29</v>
      </c>
      <c r="D14" s="85" t="s">
        <v>182</v>
      </c>
      <c r="E14" s="86" t="s">
        <v>175</v>
      </c>
      <c r="F14" s="86"/>
      <c r="G14" s="87"/>
      <c r="H14" s="87">
        <f t="shared" si="0"/>
        <v>0</v>
      </c>
      <c r="I14" s="193"/>
      <c r="J14" s="79"/>
      <c r="K14" t="s">
        <v>344</v>
      </c>
      <c r="L14" t="s">
        <v>381</v>
      </c>
      <c r="M14" s="85" t="s">
        <v>182</v>
      </c>
      <c r="N14" s="86" t="s">
        <v>175</v>
      </c>
      <c r="O14" s="86"/>
      <c r="P14" s="87"/>
      <c r="Q14" s="87">
        <f t="shared" si="1"/>
        <v>0</v>
      </c>
      <c r="R14" s="193"/>
      <c r="S14" s="79"/>
      <c r="T14" t="s">
        <v>344</v>
      </c>
      <c r="U14" t="s">
        <v>390</v>
      </c>
      <c r="V14" s="85" t="s">
        <v>176</v>
      </c>
      <c r="W14" s="86" t="s">
        <v>177</v>
      </c>
      <c r="X14" s="86">
        <v>1</v>
      </c>
      <c r="Y14" s="87"/>
      <c r="Z14" s="87">
        <f t="shared" si="2"/>
        <v>0</v>
      </c>
      <c r="AA14" s="194"/>
    </row>
    <row r="15" spans="2:27" x14ac:dyDescent="0.35">
      <c r="B15" t="s">
        <v>344</v>
      </c>
      <c r="C15" t="s">
        <v>29</v>
      </c>
      <c r="D15" s="85" t="s">
        <v>182</v>
      </c>
      <c r="E15" s="86" t="s">
        <v>175</v>
      </c>
      <c r="F15" s="86"/>
      <c r="G15" s="87"/>
      <c r="H15" s="87">
        <f t="shared" si="0"/>
        <v>0</v>
      </c>
      <c r="I15" s="193"/>
      <c r="J15" s="91"/>
      <c r="K15" t="s">
        <v>344</v>
      </c>
      <c r="L15" t="s">
        <v>381</v>
      </c>
      <c r="M15" s="85" t="s">
        <v>185</v>
      </c>
      <c r="N15" s="86" t="s">
        <v>186</v>
      </c>
      <c r="O15" s="86">
        <v>1</v>
      </c>
      <c r="P15" s="87">
        <v>0</v>
      </c>
      <c r="Q15" s="87">
        <f t="shared" si="1"/>
        <v>0</v>
      </c>
      <c r="R15" s="193"/>
      <c r="S15" s="79"/>
      <c r="T15" t="s">
        <v>344</v>
      </c>
      <c r="U15" t="s">
        <v>390</v>
      </c>
      <c r="V15" s="85" t="s">
        <v>176</v>
      </c>
      <c r="W15" s="86" t="s">
        <v>175</v>
      </c>
      <c r="X15" s="86"/>
      <c r="Y15" s="87"/>
      <c r="Z15" s="87">
        <f t="shared" si="2"/>
        <v>0</v>
      </c>
      <c r="AA15" s="194"/>
    </row>
    <row r="16" spans="2:27" x14ac:dyDescent="0.35">
      <c r="B16" t="s">
        <v>344</v>
      </c>
      <c r="C16" t="s">
        <v>29</v>
      </c>
      <c r="D16" s="85" t="s">
        <v>185</v>
      </c>
      <c r="E16" s="86" t="s">
        <v>186</v>
      </c>
      <c r="F16" s="86">
        <v>1</v>
      </c>
      <c r="G16" s="57">
        <v>350</v>
      </c>
      <c r="H16" s="57">
        <f t="shared" si="0"/>
        <v>350</v>
      </c>
      <c r="I16" s="159" t="s">
        <v>187</v>
      </c>
      <c r="J16" s="79"/>
      <c r="K16" t="s">
        <v>344</v>
      </c>
      <c r="L16" t="s">
        <v>381</v>
      </c>
      <c r="M16" s="85" t="s">
        <v>185</v>
      </c>
      <c r="N16" s="86" t="s">
        <v>188</v>
      </c>
      <c r="O16" s="86">
        <v>0</v>
      </c>
      <c r="P16" s="87"/>
      <c r="Q16" s="87">
        <f t="shared" si="1"/>
        <v>0</v>
      </c>
      <c r="R16" s="193" t="s">
        <v>211</v>
      </c>
      <c r="S16" s="79"/>
      <c r="T16" t="s">
        <v>344</v>
      </c>
      <c r="U16" t="s">
        <v>390</v>
      </c>
      <c r="V16" s="85" t="s">
        <v>176</v>
      </c>
      <c r="W16" s="86" t="s">
        <v>175</v>
      </c>
      <c r="X16" s="86"/>
      <c r="Y16" s="87"/>
      <c r="Z16" s="87">
        <f t="shared" si="2"/>
        <v>0</v>
      </c>
      <c r="AA16" s="194"/>
    </row>
    <row r="17" spans="2:27" x14ac:dyDescent="0.35">
      <c r="B17" t="s">
        <v>344</v>
      </c>
      <c r="C17" t="s">
        <v>29</v>
      </c>
      <c r="D17" s="85" t="s">
        <v>185</v>
      </c>
      <c r="E17" s="86" t="s">
        <v>188</v>
      </c>
      <c r="F17" s="86">
        <v>1</v>
      </c>
      <c r="G17" s="57">
        <v>0.87</v>
      </c>
      <c r="H17" s="57">
        <f t="shared" si="0"/>
        <v>0.87</v>
      </c>
      <c r="I17" s="176" t="s">
        <v>189</v>
      </c>
      <c r="J17" s="79"/>
      <c r="K17" t="s">
        <v>344</v>
      </c>
      <c r="L17" t="s">
        <v>381</v>
      </c>
      <c r="M17" s="85" t="s">
        <v>195</v>
      </c>
      <c r="N17" s="86" t="s">
        <v>196</v>
      </c>
      <c r="O17" s="86">
        <v>25</v>
      </c>
      <c r="P17" s="87">
        <v>140</v>
      </c>
      <c r="Q17" s="87">
        <f t="shared" si="1"/>
        <v>3500</v>
      </c>
      <c r="R17" s="193"/>
      <c r="S17" s="79"/>
      <c r="T17" t="s">
        <v>344</v>
      </c>
      <c r="U17" t="s">
        <v>390</v>
      </c>
      <c r="V17" s="85" t="s">
        <v>182</v>
      </c>
      <c r="W17" s="86" t="s">
        <v>226</v>
      </c>
      <c r="X17" s="195">
        <v>3000</v>
      </c>
      <c r="Y17" s="87">
        <v>0.315</v>
      </c>
      <c r="Z17" s="87">
        <v>945</v>
      </c>
      <c r="AA17" s="172" t="s">
        <v>263</v>
      </c>
    </row>
    <row r="18" spans="2:27" x14ac:dyDescent="0.35">
      <c r="B18" t="s">
        <v>344</v>
      </c>
      <c r="C18" t="s">
        <v>29</v>
      </c>
      <c r="D18" s="85" t="s">
        <v>195</v>
      </c>
      <c r="E18" s="86" t="s">
        <v>196</v>
      </c>
      <c r="F18" s="86">
        <v>1</v>
      </c>
      <c r="G18" s="57">
        <v>3000</v>
      </c>
      <c r="H18" s="57">
        <f t="shared" si="0"/>
        <v>3000</v>
      </c>
      <c r="I18" s="159" t="s">
        <v>184</v>
      </c>
      <c r="J18" s="79"/>
      <c r="K18" t="s">
        <v>344</v>
      </c>
      <c r="L18" t="s">
        <v>381</v>
      </c>
      <c r="M18" s="85" t="s">
        <v>195</v>
      </c>
      <c r="N18" s="86" t="s">
        <v>197</v>
      </c>
      <c r="O18" s="86">
        <v>0</v>
      </c>
      <c r="P18" s="87">
        <v>0</v>
      </c>
      <c r="Q18" s="87">
        <f t="shared" si="1"/>
        <v>0</v>
      </c>
      <c r="R18" s="193"/>
      <c r="S18" s="79"/>
      <c r="T18" t="s">
        <v>344</v>
      </c>
      <c r="U18" t="s">
        <v>390</v>
      </c>
      <c r="V18" s="85" t="s">
        <v>182</v>
      </c>
      <c r="W18" s="86" t="s">
        <v>228</v>
      </c>
      <c r="X18" s="195">
        <v>3000</v>
      </c>
      <c r="Y18" s="87"/>
      <c r="Z18" s="87">
        <v>1320</v>
      </c>
      <c r="AA18" s="172" t="s">
        <v>264</v>
      </c>
    </row>
    <row r="19" spans="2:27" x14ac:dyDescent="0.35">
      <c r="B19" t="s">
        <v>344</v>
      </c>
      <c r="C19" t="s">
        <v>29</v>
      </c>
      <c r="D19" s="85" t="s">
        <v>195</v>
      </c>
      <c r="E19" s="86" t="s">
        <v>197</v>
      </c>
      <c r="F19" s="86">
        <v>1</v>
      </c>
      <c r="G19" s="57"/>
      <c r="H19" s="57">
        <f t="shared" si="0"/>
        <v>0</v>
      </c>
      <c r="I19" s="159" t="s">
        <v>198</v>
      </c>
      <c r="K19" t="s">
        <v>344</v>
      </c>
      <c r="L19" t="s">
        <v>381</v>
      </c>
      <c r="M19" s="85" t="s">
        <v>195</v>
      </c>
      <c r="N19" s="86" t="s">
        <v>267</v>
      </c>
      <c r="O19" s="86">
        <v>200</v>
      </c>
      <c r="P19" s="87">
        <v>50</v>
      </c>
      <c r="Q19" s="87">
        <f t="shared" si="1"/>
        <v>10000</v>
      </c>
      <c r="R19" s="193"/>
      <c r="S19" s="79"/>
      <c r="T19" t="s">
        <v>344</v>
      </c>
      <c r="U19" t="s">
        <v>390</v>
      </c>
      <c r="V19" s="85" t="s">
        <v>182</v>
      </c>
      <c r="W19" s="86" t="s">
        <v>175</v>
      </c>
      <c r="X19" s="86"/>
      <c r="Y19" s="87"/>
      <c r="Z19" s="87">
        <f t="shared" ref="Z19:Z32" si="3">X19*Y19</f>
        <v>0</v>
      </c>
      <c r="AA19" s="194"/>
    </row>
    <row r="20" spans="2:27" x14ac:dyDescent="0.35">
      <c r="B20" t="s">
        <v>344</v>
      </c>
      <c r="C20" t="s">
        <v>29</v>
      </c>
      <c r="D20" s="85" t="s">
        <v>195</v>
      </c>
      <c r="E20" s="86" t="s">
        <v>175</v>
      </c>
      <c r="F20" s="86"/>
      <c r="G20" s="87"/>
      <c r="H20" s="87">
        <f t="shared" si="0"/>
        <v>0</v>
      </c>
      <c r="I20" s="193"/>
      <c r="J20" s="91"/>
      <c r="K20" t="s">
        <v>344</v>
      </c>
      <c r="L20" t="s">
        <v>381</v>
      </c>
      <c r="M20" s="85" t="s">
        <v>195</v>
      </c>
      <c r="N20" s="86" t="s">
        <v>175</v>
      </c>
      <c r="O20" s="86"/>
      <c r="P20" s="87"/>
      <c r="Q20" s="87">
        <f t="shared" si="1"/>
        <v>0</v>
      </c>
      <c r="R20" s="193"/>
      <c r="S20" s="79"/>
      <c r="T20" t="s">
        <v>344</v>
      </c>
      <c r="U20" t="s">
        <v>390</v>
      </c>
      <c r="V20" s="85" t="s">
        <v>185</v>
      </c>
      <c r="W20" s="86" t="s">
        <v>186</v>
      </c>
      <c r="X20" s="86">
        <v>1</v>
      </c>
      <c r="Y20" s="87"/>
      <c r="Z20" s="87">
        <f t="shared" si="3"/>
        <v>0</v>
      </c>
      <c r="AA20" s="194"/>
    </row>
    <row r="21" spans="2:27" x14ac:dyDescent="0.35">
      <c r="B21" t="s">
        <v>344</v>
      </c>
      <c r="C21" t="s">
        <v>29</v>
      </c>
      <c r="D21" s="85" t="s">
        <v>195</v>
      </c>
      <c r="E21" s="86" t="s">
        <v>175</v>
      </c>
      <c r="F21" s="86"/>
      <c r="G21" s="87"/>
      <c r="H21" s="87">
        <f t="shared" si="0"/>
        <v>0</v>
      </c>
      <c r="I21" s="193"/>
      <c r="J21" s="79"/>
      <c r="K21" t="s">
        <v>344</v>
      </c>
      <c r="L21" t="s">
        <v>381</v>
      </c>
      <c r="M21" s="85" t="s">
        <v>201</v>
      </c>
      <c r="N21" s="86" t="s">
        <v>202</v>
      </c>
      <c r="O21" s="86">
        <v>1</v>
      </c>
      <c r="P21" s="87">
        <v>500</v>
      </c>
      <c r="Q21" s="87">
        <f t="shared" si="1"/>
        <v>500</v>
      </c>
      <c r="R21" s="193"/>
      <c r="S21" s="79"/>
      <c r="T21" t="s">
        <v>344</v>
      </c>
      <c r="U21" t="s">
        <v>390</v>
      </c>
      <c r="V21" s="85" t="s">
        <v>185</v>
      </c>
      <c r="W21" s="86" t="s">
        <v>188</v>
      </c>
      <c r="X21" s="86">
        <v>1</v>
      </c>
      <c r="Y21" s="87"/>
      <c r="Z21" s="87">
        <f t="shared" si="3"/>
        <v>0</v>
      </c>
      <c r="AA21" s="194" t="s">
        <v>211</v>
      </c>
    </row>
    <row r="22" spans="2:27" x14ac:dyDescent="0.35">
      <c r="B22" t="s">
        <v>344</v>
      </c>
      <c r="C22" t="s">
        <v>29</v>
      </c>
      <c r="D22" s="85" t="s">
        <v>201</v>
      </c>
      <c r="E22" s="86" t="s">
        <v>202</v>
      </c>
      <c r="F22" s="86">
        <v>1</v>
      </c>
      <c r="G22" s="87">
        <v>2800</v>
      </c>
      <c r="H22" s="87">
        <f t="shared" si="0"/>
        <v>2800</v>
      </c>
      <c r="I22" s="193" t="s">
        <v>203</v>
      </c>
      <c r="K22" t="s">
        <v>344</v>
      </c>
      <c r="L22" t="s">
        <v>381</v>
      </c>
      <c r="M22" s="85" t="s">
        <v>204</v>
      </c>
      <c r="N22" s="86" t="s">
        <v>205</v>
      </c>
      <c r="O22" s="86">
        <v>100</v>
      </c>
      <c r="P22" s="87">
        <v>75</v>
      </c>
      <c r="Q22" s="87">
        <f t="shared" si="1"/>
        <v>7500</v>
      </c>
      <c r="R22" s="193"/>
      <c r="S22" s="79"/>
      <c r="T22" t="s">
        <v>344</v>
      </c>
      <c r="U22" t="s">
        <v>390</v>
      </c>
      <c r="V22" s="85" t="s">
        <v>195</v>
      </c>
      <c r="W22" s="86" t="s">
        <v>196</v>
      </c>
      <c r="X22" s="86">
        <v>1</v>
      </c>
      <c r="Y22" s="87">
        <v>1000</v>
      </c>
      <c r="Z22" s="87">
        <f t="shared" si="3"/>
        <v>1000</v>
      </c>
      <c r="AA22" s="194"/>
    </row>
    <row r="23" spans="2:27" x14ac:dyDescent="0.35">
      <c r="B23" t="s">
        <v>344</v>
      </c>
      <c r="C23" t="s">
        <v>29</v>
      </c>
      <c r="D23" s="85" t="s">
        <v>204</v>
      </c>
      <c r="E23" s="86" t="s">
        <v>205</v>
      </c>
      <c r="F23" s="86">
        <v>1</v>
      </c>
      <c r="G23" s="57">
        <v>3000</v>
      </c>
      <c r="H23" s="57">
        <f t="shared" si="0"/>
        <v>3000</v>
      </c>
      <c r="I23" s="159" t="s">
        <v>184</v>
      </c>
      <c r="K23" t="s">
        <v>344</v>
      </c>
      <c r="L23" t="s">
        <v>381</v>
      </c>
      <c r="M23" s="85" t="s">
        <v>204</v>
      </c>
      <c r="N23" s="86" t="s">
        <v>206</v>
      </c>
      <c r="O23" s="86">
        <v>1</v>
      </c>
      <c r="P23" s="87">
        <v>800</v>
      </c>
      <c r="Q23" s="87">
        <f t="shared" si="1"/>
        <v>800</v>
      </c>
      <c r="R23" s="193"/>
      <c r="S23" s="79"/>
      <c r="T23" t="s">
        <v>344</v>
      </c>
      <c r="U23" t="s">
        <v>390</v>
      </c>
      <c r="V23" s="85" t="s">
        <v>195</v>
      </c>
      <c r="W23" s="86" t="s">
        <v>197</v>
      </c>
      <c r="X23" s="86">
        <v>1</v>
      </c>
      <c r="Y23" s="87">
        <v>1000</v>
      </c>
      <c r="Z23" s="87">
        <f t="shared" si="3"/>
        <v>1000</v>
      </c>
      <c r="AA23" s="194"/>
    </row>
    <row r="24" spans="2:27" x14ac:dyDescent="0.35">
      <c r="B24" t="s">
        <v>344</v>
      </c>
      <c r="C24" t="s">
        <v>29</v>
      </c>
      <c r="D24" s="85" t="s">
        <v>204</v>
      </c>
      <c r="E24" s="86" t="s">
        <v>206</v>
      </c>
      <c r="F24" s="86">
        <v>1</v>
      </c>
      <c r="G24" s="87"/>
      <c r="H24" s="87">
        <f t="shared" si="0"/>
        <v>0</v>
      </c>
      <c r="I24" s="193" t="s">
        <v>198</v>
      </c>
      <c r="J24" s="79"/>
      <c r="K24" t="s">
        <v>344</v>
      </c>
      <c r="L24" t="s">
        <v>381</v>
      </c>
      <c r="M24" s="85" t="s">
        <v>204</v>
      </c>
      <c r="N24" s="86" t="s">
        <v>175</v>
      </c>
      <c r="O24" s="86"/>
      <c r="P24" s="87"/>
      <c r="Q24" s="87">
        <f t="shared" si="1"/>
        <v>0</v>
      </c>
      <c r="R24" s="193"/>
      <c r="S24" s="79"/>
      <c r="T24" t="s">
        <v>344</v>
      </c>
      <c r="U24" t="s">
        <v>390</v>
      </c>
      <c r="V24" s="85" t="s">
        <v>195</v>
      </c>
      <c r="W24" s="86" t="s">
        <v>175</v>
      </c>
      <c r="X24" s="86"/>
      <c r="Y24" s="87"/>
      <c r="Z24" s="87">
        <f t="shared" si="3"/>
        <v>0</v>
      </c>
      <c r="AA24" s="194"/>
    </row>
    <row r="25" spans="2:27" x14ac:dyDescent="0.35">
      <c r="B25" t="s">
        <v>344</v>
      </c>
      <c r="C25" t="s">
        <v>29</v>
      </c>
      <c r="D25" s="85" t="s">
        <v>204</v>
      </c>
      <c r="E25" s="86" t="s">
        <v>175</v>
      </c>
      <c r="F25" s="86"/>
      <c r="G25" s="87"/>
      <c r="H25" s="87">
        <f t="shared" si="0"/>
        <v>0</v>
      </c>
      <c r="I25" s="193"/>
      <c r="J25" s="79"/>
      <c r="K25" t="s">
        <v>344</v>
      </c>
      <c r="L25" t="s">
        <v>381</v>
      </c>
      <c r="M25" s="85" t="s">
        <v>204</v>
      </c>
      <c r="N25" s="86" t="s">
        <v>175</v>
      </c>
      <c r="O25" s="86"/>
      <c r="P25" s="87"/>
      <c r="Q25" s="87">
        <f t="shared" si="1"/>
        <v>0</v>
      </c>
      <c r="R25" s="193"/>
      <c r="S25" s="79"/>
      <c r="T25" t="s">
        <v>344</v>
      </c>
      <c r="U25" t="s">
        <v>390</v>
      </c>
      <c r="V25" s="85" t="s">
        <v>195</v>
      </c>
      <c r="W25" s="86" t="s">
        <v>175</v>
      </c>
      <c r="X25" s="86"/>
      <c r="Y25" s="87"/>
      <c r="Z25" s="87">
        <f t="shared" si="3"/>
        <v>0</v>
      </c>
      <c r="AA25" s="194"/>
    </row>
    <row r="26" spans="2:27" x14ac:dyDescent="0.35">
      <c r="B26" t="s">
        <v>344</v>
      </c>
      <c r="C26" t="s">
        <v>29</v>
      </c>
      <c r="D26" s="85" t="s">
        <v>204</v>
      </c>
      <c r="E26" s="86" t="s">
        <v>175</v>
      </c>
      <c r="F26" s="86"/>
      <c r="G26" s="87"/>
      <c r="H26" s="87">
        <f t="shared" si="0"/>
        <v>0</v>
      </c>
      <c r="I26" s="193"/>
      <c r="J26" s="79"/>
      <c r="K26" t="s">
        <v>344</v>
      </c>
      <c r="L26" t="s">
        <v>381</v>
      </c>
      <c r="M26" s="55" t="s">
        <v>190</v>
      </c>
      <c r="N26" s="55" t="s">
        <v>216</v>
      </c>
      <c r="O26">
        <v>1</v>
      </c>
      <c r="P26">
        <v>444.16</v>
      </c>
      <c r="Q26" s="87">
        <f>O26*P26</f>
        <v>444.16</v>
      </c>
      <c r="R26" s="193"/>
      <c r="S26" s="79"/>
      <c r="T26" t="s">
        <v>344</v>
      </c>
      <c r="U26" t="s">
        <v>390</v>
      </c>
      <c r="V26" s="85" t="s">
        <v>201</v>
      </c>
      <c r="W26" s="86" t="s">
        <v>202</v>
      </c>
      <c r="X26" s="86">
        <v>1</v>
      </c>
      <c r="Y26" s="87">
        <v>2800</v>
      </c>
      <c r="Z26" s="87">
        <f t="shared" si="3"/>
        <v>2800</v>
      </c>
      <c r="AA26" s="194"/>
    </row>
    <row r="27" spans="2:27" x14ac:dyDescent="0.35">
      <c r="B27" t="s">
        <v>344</v>
      </c>
      <c r="C27" t="s">
        <v>29</v>
      </c>
      <c r="D27" s="55" t="s">
        <v>190</v>
      </c>
      <c r="E27" s="55" t="s">
        <v>216</v>
      </c>
      <c r="F27">
        <v>1</v>
      </c>
      <c r="G27">
        <v>444.16</v>
      </c>
      <c r="H27" s="196">
        <f>F27*G27</f>
        <v>444.16</v>
      </c>
      <c r="I27" s="193"/>
      <c r="J27" s="79"/>
      <c r="K27" t="s">
        <v>344</v>
      </c>
      <c r="L27" t="s">
        <v>381</v>
      </c>
      <c r="M27" s="54" t="s">
        <v>190</v>
      </c>
      <c r="N27" s="55" t="s">
        <v>193</v>
      </c>
      <c r="O27" s="79">
        <v>1</v>
      </c>
      <c r="P27" s="87">
        <v>375</v>
      </c>
      <c r="Q27" s="87">
        <f>O27*P27</f>
        <v>375</v>
      </c>
      <c r="R27" s="193"/>
      <c r="S27" s="79"/>
      <c r="T27" t="s">
        <v>344</v>
      </c>
      <c r="U27" t="s">
        <v>390</v>
      </c>
      <c r="V27" s="85" t="s">
        <v>204</v>
      </c>
      <c r="W27" s="86" t="s">
        <v>205</v>
      </c>
      <c r="X27" s="86">
        <v>1200</v>
      </c>
      <c r="Y27" s="87">
        <v>1.25</v>
      </c>
      <c r="Z27" s="87">
        <f t="shared" si="3"/>
        <v>1500</v>
      </c>
      <c r="AA27" s="194"/>
    </row>
    <row r="28" spans="2:27" x14ac:dyDescent="0.35">
      <c r="B28" t="s">
        <v>344</v>
      </c>
      <c r="C28" t="s">
        <v>29</v>
      </c>
      <c r="D28" s="54" t="s">
        <v>190</v>
      </c>
      <c r="E28" s="55" t="s">
        <v>193</v>
      </c>
      <c r="F28" s="79">
        <v>1</v>
      </c>
      <c r="G28" s="196">
        <v>375</v>
      </c>
      <c r="H28" s="196">
        <f>F28*G28</f>
        <v>375</v>
      </c>
      <c r="I28" s="193"/>
      <c r="J28" s="79"/>
      <c r="K28" t="s">
        <v>28</v>
      </c>
      <c r="M28" s="98"/>
      <c r="N28" s="99"/>
      <c r="P28" s="99"/>
      <c r="Q28" s="102">
        <f>SUBTOTAL(109,CompuSystems_2025COL[Total Cost])</f>
        <v>24897.16</v>
      </c>
      <c r="R28" s="101">
        <f>SUBTOTAL(103,CompuSystems_2025COL[Comments])</f>
        <v>1</v>
      </c>
      <c r="S28" s="79"/>
      <c r="T28" t="s">
        <v>344</v>
      </c>
      <c r="U28" t="s">
        <v>390</v>
      </c>
      <c r="V28" s="85" t="s">
        <v>204</v>
      </c>
      <c r="W28" s="86" t="s">
        <v>206</v>
      </c>
      <c r="X28" s="86">
        <v>1</v>
      </c>
      <c r="Y28" s="87">
        <v>2000</v>
      </c>
      <c r="Z28" s="87">
        <f t="shared" si="3"/>
        <v>2000</v>
      </c>
      <c r="AA28" s="194"/>
    </row>
    <row r="29" spans="2:27" x14ac:dyDescent="0.35">
      <c r="D29" s="163"/>
      <c r="E29" s="164"/>
      <c r="H29" s="103">
        <f>F29*G29</f>
        <v>0</v>
      </c>
      <c r="I29" s="165"/>
      <c r="S29" s="79"/>
      <c r="T29" t="s">
        <v>344</v>
      </c>
      <c r="U29" t="s">
        <v>390</v>
      </c>
      <c r="V29" s="85" t="s">
        <v>204</v>
      </c>
      <c r="W29" s="86" t="s">
        <v>175</v>
      </c>
      <c r="X29" s="86"/>
      <c r="Y29" s="87"/>
      <c r="Z29" s="87">
        <f t="shared" si="3"/>
        <v>0</v>
      </c>
      <c r="AA29" s="194"/>
    </row>
    <row r="30" spans="2:27" x14ac:dyDescent="0.35">
      <c r="B30" t="s">
        <v>28</v>
      </c>
      <c r="D30" s="98"/>
      <c r="E30" s="99"/>
      <c r="H30" s="103">
        <f>SUBTOTAL(109,Aventri_2022COL[Total Cost])</f>
        <v>12390.029999999999</v>
      </c>
      <c r="I30" s="101">
        <f>SUBTOTAL(103,Aventri_2022COL[Comments])</f>
        <v>9</v>
      </c>
      <c r="J30" s="79"/>
      <c r="K30" s="79"/>
      <c r="S30" s="79"/>
      <c r="T30" t="s">
        <v>344</v>
      </c>
      <c r="U30" t="s">
        <v>390</v>
      </c>
      <c r="V30" s="85" t="s">
        <v>204</v>
      </c>
      <c r="W30" s="86" t="s">
        <v>175</v>
      </c>
      <c r="X30" s="86"/>
      <c r="Y30" s="87"/>
      <c r="Z30" s="87">
        <f t="shared" si="3"/>
        <v>0</v>
      </c>
      <c r="AA30" s="194"/>
    </row>
    <row r="31" spans="2:27" x14ac:dyDescent="0.35">
      <c r="J31" s="79"/>
      <c r="K31" s="79"/>
      <c r="S31" s="79"/>
      <c r="T31" t="s">
        <v>344</v>
      </c>
      <c r="U31" t="s">
        <v>390</v>
      </c>
      <c r="V31" s="55" t="s">
        <v>190</v>
      </c>
      <c r="W31" s="55" t="s">
        <v>216</v>
      </c>
      <c r="X31">
        <v>1</v>
      </c>
      <c r="Y31">
        <v>444.16</v>
      </c>
      <c r="Z31" s="87">
        <f t="shared" si="3"/>
        <v>444.16</v>
      </c>
      <c r="AA31" s="194"/>
    </row>
    <row r="32" spans="2:27" x14ac:dyDescent="0.35">
      <c r="J32" s="79"/>
      <c r="S32" s="79"/>
      <c r="T32" t="s">
        <v>344</v>
      </c>
      <c r="U32" t="s">
        <v>390</v>
      </c>
      <c r="V32" s="54" t="s">
        <v>190</v>
      </c>
      <c r="W32" s="55" t="s">
        <v>193</v>
      </c>
      <c r="X32" s="79">
        <v>1</v>
      </c>
      <c r="Y32" s="87">
        <v>375</v>
      </c>
      <c r="Z32" s="87">
        <f t="shared" si="3"/>
        <v>375</v>
      </c>
      <c r="AA32" s="194"/>
    </row>
    <row r="33" spans="3:27" x14ac:dyDescent="0.35">
      <c r="T33" t="s">
        <v>28</v>
      </c>
      <c r="V33" s="98"/>
      <c r="W33" s="99"/>
      <c r="Y33" s="99"/>
      <c r="Z33" s="102">
        <f>SUBTOTAL(109,MCI_2025COL[Total Cost])</f>
        <v>25834.16</v>
      </c>
      <c r="AA33" s="100">
        <f>SUBTOTAL(103,MCI_2025COL[Comments])</f>
        <v>6</v>
      </c>
    </row>
    <row r="35" spans="3:27" x14ac:dyDescent="0.35">
      <c r="C35" s="79"/>
      <c r="D35" s="79"/>
      <c r="E35" s="79"/>
      <c r="L35" s="79"/>
    </row>
    <row r="36" spans="3:27" x14ac:dyDescent="0.35">
      <c r="C36" s="79"/>
      <c r="D36" s="79"/>
      <c r="E36" s="79"/>
    </row>
  </sheetData>
  <mergeCells count="6">
    <mergeCell ref="K3:R3"/>
    <mergeCell ref="K2:R2"/>
    <mergeCell ref="B3:I3"/>
    <mergeCell ref="B2:I2"/>
    <mergeCell ref="T3:AA3"/>
    <mergeCell ref="T2:AA2"/>
  </mergeCells>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67"/>
  <sheetViews>
    <sheetView topLeftCell="F1" zoomScale="70" zoomScaleNormal="70" workbookViewId="0">
      <selection activeCell="L11" sqref="F5:L11"/>
    </sheetView>
  </sheetViews>
  <sheetFormatPr defaultRowHeight="14.5" x14ac:dyDescent="0.35"/>
  <cols>
    <col min="2" max="4" width="20.453125" hidden="1" customWidth="1"/>
    <col min="5" max="5" width="5.6328125" hidden="1" customWidth="1"/>
    <col min="6" max="6" width="20.453125" customWidth="1"/>
    <col min="7" max="7" width="26.08984375" customWidth="1"/>
    <col min="8" max="8" width="20.453125" hidden="1" customWidth="1"/>
    <col min="9" max="9" width="5.6328125" hidden="1" customWidth="1"/>
    <col min="10" max="10" width="20.453125" hidden="1" customWidth="1"/>
    <col min="11" max="12" width="27.1796875" customWidth="1"/>
    <col min="13" max="13" width="115" hidden="1" customWidth="1"/>
  </cols>
  <sheetData>
    <row r="2" spans="2:13" hidden="1" x14ac:dyDescent="0.35">
      <c r="B2" s="232" t="s">
        <v>29</v>
      </c>
      <c r="C2" s="233"/>
      <c r="D2" s="233"/>
      <c r="F2" s="234" t="s">
        <v>380</v>
      </c>
      <c r="G2" s="234"/>
      <c r="H2" s="234"/>
      <c r="J2" s="238" t="s">
        <v>30</v>
      </c>
      <c r="K2" s="238"/>
      <c r="L2" s="208"/>
      <c r="M2" s="208"/>
    </row>
    <row r="3" spans="2:13" ht="15.5" x14ac:dyDescent="0.35">
      <c r="B3" s="235" t="s">
        <v>356</v>
      </c>
      <c r="C3" s="236"/>
      <c r="D3" s="237"/>
      <c r="F3" s="209" t="s">
        <v>356</v>
      </c>
      <c r="G3" s="210"/>
      <c r="H3" s="211"/>
      <c r="I3" s="132"/>
      <c r="J3" s="209" t="s">
        <v>356</v>
      </c>
      <c r="K3" s="210"/>
      <c r="L3" s="210"/>
      <c r="M3" s="211"/>
    </row>
    <row r="4" spans="2:13" x14ac:dyDescent="0.35">
      <c r="B4" s="38" t="s">
        <v>141</v>
      </c>
      <c r="C4" s="38" t="s">
        <v>142</v>
      </c>
      <c r="D4" s="38" t="s">
        <v>143</v>
      </c>
      <c r="F4" s="38" t="s">
        <v>141</v>
      </c>
      <c r="G4" s="38" t="s">
        <v>387</v>
      </c>
      <c r="H4" s="38" t="s">
        <v>143</v>
      </c>
      <c r="J4" s="38" t="s">
        <v>141</v>
      </c>
      <c r="K4" s="38" t="s">
        <v>388</v>
      </c>
      <c r="L4" s="38" t="s">
        <v>389</v>
      </c>
      <c r="M4" s="38" t="s">
        <v>143</v>
      </c>
    </row>
    <row r="5" spans="2:13" x14ac:dyDescent="0.35">
      <c r="B5" s="39" t="s">
        <v>144</v>
      </c>
      <c r="C5" s="143">
        <f>AvenrtiCategoryTable[[#Totals],[Aventri_2022IC]]</f>
        <v>0</v>
      </c>
      <c r="D5" s="41"/>
      <c r="F5" s="39" t="s">
        <v>144</v>
      </c>
      <c r="G5" s="204">
        <f>CompuSystemsCategoryTable[[#Totals],[Vendor A2023IC]]</f>
        <v>186749</v>
      </c>
      <c r="H5" s="41"/>
      <c r="J5" s="39" t="s">
        <v>144</v>
      </c>
      <c r="K5" s="204">
        <f>MCICategoryTable[[#Totals],[Vendor B2023IC]]</f>
        <v>186913</v>
      </c>
      <c r="L5" s="201">
        <f>K5-G5</f>
        <v>164</v>
      </c>
      <c r="M5" s="41" t="s">
        <v>379</v>
      </c>
    </row>
    <row r="6" spans="2:13" x14ac:dyDescent="0.35">
      <c r="B6" s="39" t="s">
        <v>145</v>
      </c>
      <c r="C6" s="143">
        <f>AvenrtiCategoryTable[[#Totals],[Aventri_2023IC]]</f>
        <v>0</v>
      </c>
      <c r="D6" s="41"/>
      <c r="F6" s="39" t="s">
        <v>145</v>
      </c>
      <c r="G6" s="204">
        <f>CompuSystemsCategoryTable[[#Totals],[Vendor A2024IC]]</f>
        <v>172340</v>
      </c>
      <c r="H6" s="41"/>
      <c r="J6" s="39" t="s">
        <v>145</v>
      </c>
      <c r="K6" s="204">
        <f>MCICategoryTable[[#Totals],[Vendor B2024IC]]</f>
        <v>186095</v>
      </c>
      <c r="L6" s="201">
        <f t="shared" ref="L6:L11" si="0">K6-G6</f>
        <v>13755</v>
      </c>
      <c r="M6" s="41" t="s">
        <v>378</v>
      </c>
    </row>
    <row r="7" spans="2:13" x14ac:dyDescent="0.35">
      <c r="B7" s="42" t="s">
        <v>357</v>
      </c>
      <c r="C7" s="143">
        <f>AvenrtiCategoryTable[[#Totals],[Aventri_2024IC]]</f>
        <v>0</v>
      </c>
      <c r="D7" s="41"/>
      <c r="F7" s="42" t="s">
        <v>357</v>
      </c>
      <c r="G7" s="204">
        <f>CompuSystemsCategoryTable[[#Totals],[Vendor A2025IC]]</f>
        <v>200975</v>
      </c>
      <c r="H7" s="41"/>
      <c r="J7" s="42" t="s">
        <v>357</v>
      </c>
      <c r="K7" s="204">
        <f>MCICategoryTable[[#Totals],[Vendor B2025IC]]</f>
        <v>177555</v>
      </c>
      <c r="L7" s="201">
        <f t="shared" si="0"/>
        <v>-23420</v>
      </c>
      <c r="M7" s="41" t="s">
        <v>377</v>
      </c>
    </row>
    <row r="8" spans="2:13" x14ac:dyDescent="0.35">
      <c r="B8" s="42" t="s">
        <v>146</v>
      </c>
      <c r="C8" s="143">
        <f>AvenrtiCategoryTable[[#Totals],[Aventri_2022IA]]</f>
        <v>0</v>
      </c>
      <c r="D8" s="41"/>
      <c r="F8" s="42" t="s">
        <v>146</v>
      </c>
      <c r="G8" s="204">
        <f>CompuSystemsCategoryTable[[#Totals],[Vendor A2023IA]]</f>
        <v>44707.08</v>
      </c>
      <c r="H8" s="41"/>
      <c r="J8" s="42" t="s">
        <v>146</v>
      </c>
      <c r="K8" s="204">
        <f>MCICategoryTable[[#Totals],[Vendor B2023IA]]</f>
        <v>28312.080000000002</v>
      </c>
      <c r="L8" s="201">
        <f t="shared" si="0"/>
        <v>-16395</v>
      </c>
      <c r="M8" s="41" t="s">
        <v>376</v>
      </c>
    </row>
    <row r="9" spans="2:13" x14ac:dyDescent="0.35">
      <c r="B9" s="42" t="s">
        <v>150</v>
      </c>
      <c r="C9" s="143">
        <f>AvenrtiCategoryTable[[#Totals],[Aventri_2023IA]]</f>
        <v>0</v>
      </c>
      <c r="D9" s="41"/>
      <c r="F9" s="42" t="s">
        <v>150</v>
      </c>
      <c r="G9" s="204">
        <f>CompuSystemsCategoryTable[[#Totals],[Vendor A2024IA]]</f>
        <v>44707.08</v>
      </c>
      <c r="H9" s="41"/>
      <c r="J9" s="42" t="s">
        <v>150</v>
      </c>
      <c r="K9" s="204">
        <f>MCICategoryTable[[#Totals],[Vendor B2024IA]]</f>
        <v>28312.080000000002</v>
      </c>
      <c r="L9" s="201">
        <f t="shared" si="0"/>
        <v>-16395</v>
      </c>
      <c r="M9" s="41" t="s">
        <v>376</v>
      </c>
    </row>
    <row r="10" spans="2:13" x14ac:dyDescent="0.35">
      <c r="B10" s="42" t="s">
        <v>358</v>
      </c>
      <c r="C10" s="143">
        <f>AvenrtiCategoryTable[[#Totals],[Aventri_2024]]</f>
        <v>0</v>
      </c>
      <c r="D10" s="41"/>
      <c r="F10" s="42" t="s">
        <v>358</v>
      </c>
      <c r="G10" s="204">
        <f>CompuSystemsCategoryTable[[#Totals],[Vendor A2025IA]]</f>
        <v>44887.08</v>
      </c>
      <c r="H10" s="41"/>
      <c r="J10" s="42" t="s">
        <v>358</v>
      </c>
      <c r="K10" s="204">
        <f>MCICategoryTable[[#Totals],[Vendor B2025IA]]</f>
        <v>28492.080000000002</v>
      </c>
      <c r="L10" s="201">
        <f t="shared" si="0"/>
        <v>-16395</v>
      </c>
      <c r="M10" s="41" t="s">
        <v>376</v>
      </c>
    </row>
    <row r="11" spans="2:13" x14ac:dyDescent="0.35">
      <c r="B11" s="42" t="s">
        <v>344</v>
      </c>
      <c r="C11" s="145">
        <f>AvenrtiCategoryTable[[#Totals],[Aventri_2022COL]]</f>
        <v>0</v>
      </c>
      <c r="D11" s="41"/>
      <c r="F11" s="42" t="s">
        <v>344</v>
      </c>
      <c r="G11" s="205">
        <f>CompuSystemsCategoryTable[[#Totals],[Vendor A2025COL]]</f>
        <v>24897.16</v>
      </c>
      <c r="H11" s="41"/>
      <c r="J11" s="42" t="s">
        <v>344</v>
      </c>
      <c r="K11" s="205">
        <f>MCICategoryTable[[#Totals],[Vendor B2025COL]]</f>
        <v>25834.16</v>
      </c>
      <c r="L11" s="201">
        <f t="shared" si="0"/>
        <v>937</v>
      </c>
      <c r="M11" s="41" t="s">
        <v>375</v>
      </c>
    </row>
    <row r="12" spans="2:13" x14ac:dyDescent="0.35">
      <c r="B12" s="39"/>
      <c r="C12" s="40"/>
      <c r="D12" s="41"/>
      <c r="F12" s="39"/>
      <c r="G12" s="206"/>
      <c r="H12" s="41"/>
      <c r="J12" s="39"/>
      <c r="K12" s="206"/>
      <c r="L12" s="202"/>
      <c r="M12" s="41"/>
    </row>
    <row r="13" spans="2:13" x14ac:dyDescent="0.35">
      <c r="B13" s="43" t="s">
        <v>147</v>
      </c>
      <c r="C13" s="44">
        <f>SUM(C5:C11)</f>
        <v>0</v>
      </c>
      <c r="D13" s="45"/>
      <c r="F13" s="43" t="s">
        <v>147</v>
      </c>
      <c r="G13" s="207">
        <f>SUM(G5:G11)</f>
        <v>719262.39999999991</v>
      </c>
      <c r="H13" s="45"/>
      <c r="J13" s="43" t="s">
        <v>147</v>
      </c>
      <c r="K13" s="207">
        <f>SUM(K5:K11)</f>
        <v>661513.39999999991</v>
      </c>
      <c r="L13" s="203">
        <f>SUM(L5:L11)</f>
        <v>-57749</v>
      </c>
      <c r="M13" s="45"/>
    </row>
    <row r="15" spans="2:13" x14ac:dyDescent="0.35">
      <c r="B15" s="46" t="s">
        <v>148</v>
      </c>
      <c r="C15" s="46" t="s">
        <v>149</v>
      </c>
      <c r="F15" s="46" t="s">
        <v>148</v>
      </c>
      <c r="G15" s="46" t="s">
        <v>149</v>
      </c>
    </row>
    <row r="16" spans="2:13" x14ac:dyDescent="0.35">
      <c r="B16" s="47" t="s">
        <v>144</v>
      </c>
      <c r="C16" s="48">
        <f>'Fiscal Year Breakdown'!I40</f>
        <v>20000</v>
      </c>
      <c r="F16" s="47" t="s">
        <v>144</v>
      </c>
      <c r="G16" s="48">
        <f>'Fiscal Year Breakdown'!I40</f>
        <v>20000</v>
      </c>
    </row>
    <row r="17" spans="2:7" x14ac:dyDescent="0.35">
      <c r="B17" s="47" t="s">
        <v>145</v>
      </c>
      <c r="C17" s="48">
        <f>'Fiscal Year Breakdown'!I41</f>
        <v>20000</v>
      </c>
      <c r="F17" s="47" t="s">
        <v>145</v>
      </c>
      <c r="G17" s="48">
        <f>'Fiscal Year Breakdown'!I41</f>
        <v>20000</v>
      </c>
    </row>
    <row r="18" spans="2:7" x14ac:dyDescent="0.35">
      <c r="B18" s="47" t="s">
        <v>357</v>
      </c>
      <c r="C18" s="48">
        <f>'Fiscal Year Breakdown'!I42</f>
        <v>20000</v>
      </c>
      <c r="F18" s="47" t="s">
        <v>357</v>
      </c>
      <c r="G18" s="48">
        <f>'Fiscal Year Breakdown'!I42</f>
        <v>20000</v>
      </c>
    </row>
    <row r="21" spans="2:7" x14ac:dyDescent="0.35">
      <c r="D21" s="161"/>
    </row>
    <row r="64" spans="6:8" x14ac:dyDescent="0.35">
      <c r="F64" s="46" t="s">
        <v>148</v>
      </c>
      <c r="G64" s="46" t="s">
        <v>149</v>
      </c>
      <c r="H64" s="199"/>
    </row>
    <row r="65" spans="6:8" x14ac:dyDescent="0.35">
      <c r="F65" s="47" t="s">
        <v>144</v>
      </c>
      <c r="G65" s="48">
        <f>'Fiscal Year Breakdown'!I40</f>
        <v>20000</v>
      </c>
      <c r="H65" s="200"/>
    </row>
    <row r="66" spans="6:8" x14ac:dyDescent="0.35">
      <c r="F66" s="47" t="s">
        <v>145</v>
      </c>
      <c r="G66" s="48">
        <f>'Fiscal Year Breakdown'!I41</f>
        <v>20000</v>
      </c>
      <c r="H66" s="200"/>
    </row>
    <row r="67" spans="6:8" x14ac:dyDescent="0.35">
      <c r="F67" s="47" t="s">
        <v>357</v>
      </c>
      <c r="G67" s="48">
        <f>'Fiscal Year Breakdown'!I42</f>
        <v>20000</v>
      </c>
      <c r="H67" s="200"/>
    </row>
  </sheetData>
  <mergeCells count="4">
    <mergeCell ref="B2:D2"/>
    <mergeCell ref="F2:H2"/>
    <mergeCell ref="B3:D3"/>
    <mergeCell ref="J2:K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M44"/>
  <sheetViews>
    <sheetView topLeftCell="A3" zoomScale="90" zoomScaleNormal="90" workbookViewId="0">
      <selection activeCell="G5" sqref="G5"/>
    </sheetView>
  </sheetViews>
  <sheetFormatPr defaultRowHeight="14.5" x14ac:dyDescent="0.35"/>
  <cols>
    <col min="3" max="3" width="17.90625" hidden="1" customWidth="1"/>
    <col min="4" max="4" width="13.81640625" hidden="1" customWidth="1"/>
    <col min="5" max="5" width="21.54296875" hidden="1" customWidth="1"/>
    <col min="6" max="6" width="8.1796875" hidden="1" customWidth="1"/>
    <col min="7" max="7" width="24.6328125" bestFit="1" customWidth="1"/>
    <col min="8" max="9" width="21.54296875" bestFit="1" customWidth="1"/>
    <col min="10" max="10" width="5.81640625" customWidth="1"/>
    <col min="11" max="12" width="17.90625" bestFit="1" customWidth="1"/>
    <col min="13" max="13" width="33.81640625" customWidth="1"/>
  </cols>
  <sheetData>
    <row r="2" spans="3:13" x14ac:dyDescent="0.35">
      <c r="C2" s="232" t="s">
        <v>29</v>
      </c>
      <c r="D2" s="233"/>
      <c r="E2" s="233"/>
      <c r="G2" s="234" t="s">
        <v>381</v>
      </c>
      <c r="H2" s="234"/>
      <c r="I2" s="234"/>
      <c r="K2" s="239" t="s">
        <v>390</v>
      </c>
      <c r="L2" s="239"/>
      <c r="M2" s="239"/>
    </row>
    <row r="3" spans="3:13" ht="15.5" x14ac:dyDescent="0.35">
      <c r="C3" s="235" t="s">
        <v>356</v>
      </c>
      <c r="D3" s="236"/>
      <c r="E3" s="237"/>
      <c r="G3" s="235" t="s">
        <v>356</v>
      </c>
      <c r="H3" s="236"/>
      <c r="I3" s="237"/>
      <c r="K3" s="235" t="s">
        <v>359</v>
      </c>
      <c r="L3" s="236"/>
      <c r="M3" s="237"/>
    </row>
    <row r="4" spans="3:13" x14ac:dyDescent="0.35">
      <c r="C4" s="141" t="s">
        <v>141</v>
      </c>
      <c r="D4" s="141" t="s">
        <v>142</v>
      </c>
      <c r="E4" s="142" t="s">
        <v>143</v>
      </c>
      <c r="G4" s="141" t="s">
        <v>141</v>
      </c>
      <c r="H4" s="141" t="s">
        <v>142</v>
      </c>
      <c r="I4" s="142" t="s">
        <v>143</v>
      </c>
      <c r="K4" s="141" t="s">
        <v>141</v>
      </c>
      <c r="L4" s="141" t="s">
        <v>142</v>
      </c>
      <c r="M4" s="142" t="s">
        <v>143</v>
      </c>
    </row>
    <row r="5" spans="3:13" x14ac:dyDescent="0.35">
      <c r="C5" s="39" t="s">
        <v>144</v>
      </c>
      <c r="D5" s="143">
        <f>AvenrtiCategoryTable[[#Totals],[Aventri_2022IC]]</f>
        <v>0</v>
      </c>
      <c r="E5" s="144"/>
      <c r="G5" s="39" t="s">
        <v>144</v>
      </c>
      <c r="H5" s="143">
        <f>CompuSystemsCategoryTable[[#Totals],[Vendor A2023IC]]</f>
        <v>186749</v>
      </c>
      <c r="I5" s="144"/>
      <c r="K5" s="39" t="s">
        <v>144</v>
      </c>
      <c r="L5" s="143">
        <f>MCICategoryTable[[#Totals],[Vendor B2023IC]]</f>
        <v>186913</v>
      </c>
      <c r="M5" s="144"/>
    </row>
    <row r="6" spans="3:13" x14ac:dyDescent="0.35">
      <c r="C6" s="39" t="s">
        <v>145</v>
      </c>
      <c r="D6" s="143">
        <f>AvenrtiCategoryTable[[#Totals],[Aventri_2023IC]]</f>
        <v>0</v>
      </c>
      <c r="E6" s="144"/>
      <c r="G6" s="39" t="s">
        <v>145</v>
      </c>
      <c r="H6" s="143">
        <f>CompuSystemsCategoryTable[[#Totals],[Vendor A2024IC]]</f>
        <v>172340</v>
      </c>
      <c r="I6" s="144"/>
      <c r="K6" s="39" t="s">
        <v>145</v>
      </c>
      <c r="L6" s="143">
        <f>MCICategoryTable[[#Totals],[Vendor B2024IC]]</f>
        <v>186095</v>
      </c>
      <c r="M6" s="144"/>
    </row>
    <row r="7" spans="3:13" x14ac:dyDescent="0.35">
      <c r="C7" s="42" t="s">
        <v>357</v>
      </c>
      <c r="D7" s="143">
        <f>AvenrtiCategoryTable[[#Totals],[Aventri_2024IC]]</f>
        <v>0</v>
      </c>
      <c r="E7" s="144"/>
      <c r="G7" s="42" t="s">
        <v>357</v>
      </c>
      <c r="H7" s="143">
        <f>CompuSystemsCategoryTable[[#Totals],[Vendor A2025IC]]</f>
        <v>200975</v>
      </c>
      <c r="I7" s="144"/>
      <c r="K7" s="42" t="s">
        <v>357</v>
      </c>
      <c r="L7" s="143">
        <f>MCICategoryTable[[#Totals],[Vendor B2025IC]]</f>
        <v>177555</v>
      </c>
      <c r="M7" s="144"/>
    </row>
    <row r="8" spans="3:13" x14ac:dyDescent="0.35">
      <c r="C8" s="42" t="s">
        <v>146</v>
      </c>
      <c r="D8" s="143">
        <f>AvenrtiCategoryTable[[#Totals],[Aventri_2022IA]]</f>
        <v>0</v>
      </c>
      <c r="E8" s="144"/>
      <c r="G8" s="42" t="s">
        <v>146</v>
      </c>
      <c r="H8" s="143">
        <f>CompuSystemsCategoryTable[[#Totals],[Vendor A2023IA]]</f>
        <v>44707.08</v>
      </c>
      <c r="I8" s="144"/>
      <c r="K8" s="42" t="s">
        <v>146</v>
      </c>
      <c r="L8" s="143">
        <f>MCICategoryTable[[#Totals],[Vendor B2023IA]]</f>
        <v>28312.080000000002</v>
      </c>
      <c r="M8" s="144"/>
    </row>
    <row r="9" spans="3:13" x14ac:dyDescent="0.35">
      <c r="C9" s="42" t="s">
        <v>150</v>
      </c>
      <c r="D9" s="143">
        <f>AvenrtiCategoryTable[[#Totals],[Aventri_2023IA]]</f>
        <v>0</v>
      </c>
      <c r="E9" s="144"/>
      <c r="G9" s="42" t="s">
        <v>150</v>
      </c>
      <c r="H9" s="143">
        <f>CompuSystemsCategoryTable[[#Totals],[Vendor A2024IA]]</f>
        <v>44707.08</v>
      </c>
      <c r="I9" s="144"/>
      <c r="K9" s="42" t="s">
        <v>150</v>
      </c>
      <c r="L9" s="143">
        <f>MCICategoryTable[[#Totals],[Vendor B2024IA]]</f>
        <v>28312.080000000002</v>
      </c>
      <c r="M9" s="144"/>
    </row>
    <row r="10" spans="3:13" x14ac:dyDescent="0.35">
      <c r="C10" s="42" t="s">
        <v>358</v>
      </c>
      <c r="D10" s="143">
        <f>AvenrtiCategoryTable[[#Totals],[Aventri_2024]]</f>
        <v>0</v>
      </c>
      <c r="E10" s="144"/>
      <c r="G10" s="42" t="s">
        <v>358</v>
      </c>
      <c r="H10" s="143">
        <f>CompuSystemsCategoryTable[[#Totals],[Vendor A2025IA]]</f>
        <v>44887.08</v>
      </c>
      <c r="I10" s="144"/>
      <c r="K10" s="42" t="s">
        <v>358</v>
      </c>
      <c r="L10" s="143">
        <f>MCICategoryTable[[#Totals],[Vendor B2025IA]]</f>
        <v>28492.080000000002</v>
      </c>
      <c r="M10" s="144"/>
    </row>
    <row r="11" spans="3:13" x14ac:dyDescent="0.35">
      <c r="C11" s="42" t="s">
        <v>344</v>
      </c>
      <c r="D11" s="145">
        <f>AvenrtiCategoryTable[[#Totals],[Aventri_2022COL]]</f>
        <v>0</v>
      </c>
      <c r="E11" s="41"/>
      <c r="G11" s="42" t="s">
        <v>344</v>
      </c>
      <c r="H11" s="145">
        <f>CompuSystemsCategoryTable[[#Totals],[Vendor A2025COL]]</f>
        <v>24897.16</v>
      </c>
      <c r="I11" s="41"/>
      <c r="K11" s="42" t="s">
        <v>344</v>
      </c>
      <c r="L11" s="145">
        <f>MCICategoryTable[[#Totals],[Vendor B2025COL]]</f>
        <v>25834.16</v>
      </c>
      <c r="M11" s="41"/>
    </row>
    <row r="12" spans="3:13" x14ac:dyDescent="0.35">
      <c r="C12" s="39"/>
      <c r="D12" s="40"/>
      <c r="E12" s="41"/>
      <c r="G12" s="39"/>
      <c r="H12" s="40"/>
      <c r="I12" s="41"/>
      <c r="K12" s="39"/>
      <c r="L12" s="40"/>
      <c r="M12" s="41"/>
    </row>
    <row r="13" spans="3:13" x14ac:dyDescent="0.35">
      <c r="C13" s="43" t="s">
        <v>147</v>
      </c>
      <c r="D13" s="44">
        <f>SUM(D5:D11)</f>
        <v>0</v>
      </c>
      <c r="E13" s="45"/>
      <c r="G13" s="43" t="s">
        <v>147</v>
      </c>
      <c r="H13" s="44">
        <f>SUM(H5:H11)</f>
        <v>719262.39999999991</v>
      </c>
      <c r="I13" s="45"/>
      <c r="K13" s="43" t="s">
        <v>147</v>
      </c>
      <c r="L13" s="44">
        <f>SUM(L5:L11)</f>
        <v>661513.39999999991</v>
      </c>
      <c r="M13" s="45"/>
    </row>
    <row r="14" spans="3:13" x14ac:dyDescent="0.35">
      <c r="C14" s="146"/>
      <c r="D14" s="147"/>
      <c r="E14" s="146"/>
      <c r="G14" s="146"/>
      <c r="H14" s="147"/>
      <c r="I14" s="146"/>
      <c r="K14" s="146"/>
      <c r="L14" s="147"/>
      <c r="M14" s="146"/>
    </row>
    <row r="15" spans="3:13" x14ac:dyDescent="0.35">
      <c r="C15" s="151" t="s">
        <v>141</v>
      </c>
      <c r="D15" s="152" t="s">
        <v>142</v>
      </c>
      <c r="E15" s="146"/>
      <c r="G15" s="151" t="s">
        <v>141</v>
      </c>
      <c r="H15" s="152" t="s">
        <v>142</v>
      </c>
      <c r="I15" s="146"/>
      <c r="K15" s="151" t="s">
        <v>141</v>
      </c>
      <c r="L15" s="152" t="s">
        <v>142</v>
      </c>
      <c r="M15" s="146"/>
    </row>
    <row r="16" spans="3:13" x14ac:dyDescent="0.35">
      <c r="C16" s="151" t="s">
        <v>141</v>
      </c>
      <c r="D16" s="152">
        <f>SUM(D5:D7)</f>
        <v>0</v>
      </c>
      <c r="E16" s="146"/>
      <c r="G16" s="151" t="s">
        <v>323</v>
      </c>
      <c r="H16" s="152">
        <f>SUM(H5:H7)</f>
        <v>560064</v>
      </c>
      <c r="I16" s="146"/>
      <c r="K16" s="151" t="s">
        <v>323</v>
      </c>
      <c r="L16" s="152">
        <f>SUM(L5:L7)</f>
        <v>550563</v>
      </c>
      <c r="M16" s="146"/>
    </row>
    <row r="17" spans="3:13" x14ac:dyDescent="0.35">
      <c r="C17" s="151" t="s">
        <v>324</v>
      </c>
      <c r="D17" s="152">
        <f>SUM(D8:D10)</f>
        <v>0</v>
      </c>
      <c r="E17" s="146"/>
      <c r="G17" s="151" t="s">
        <v>324</v>
      </c>
      <c r="H17" s="152">
        <f>SUM(H8:H10)</f>
        <v>134301.24</v>
      </c>
      <c r="I17" s="146"/>
      <c r="K17" s="151" t="s">
        <v>324</v>
      </c>
      <c r="L17" s="152">
        <f>SUM(L8:L10)</f>
        <v>85116.24</v>
      </c>
      <c r="M17" s="146"/>
    </row>
    <row r="18" spans="3:13" x14ac:dyDescent="0.35">
      <c r="C18" s="151" t="s">
        <v>325</v>
      </c>
      <c r="D18" s="152">
        <f>D11</f>
        <v>0</v>
      </c>
      <c r="E18" s="146"/>
      <c r="G18" s="151" t="s">
        <v>325</v>
      </c>
      <c r="H18" s="152">
        <f>H11</f>
        <v>24897.16</v>
      </c>
      <c r="I18" s="146"/>
      <c r="K18" s="151" t="s">
        <v>325</v>
      </c>
      <c r="L18" s="152">
        <f>L11</f>
        <v>25834.16</v>
      </c>
      <c r="M18" s="146"/>
    </row>
    <row r="19" spans="3:13" x14ac:dyDescent="0.35">
      <c r="C19" s="151" t="s">
        <v>28</v>
      </c>
      <c r="D19" s="152">
        <f>SUM(D16:D18)</f>
        <v>0</v>
      </c>
      <c r="E19" s="146"/>
      <c r="G19" s="151" t="s">
        <v>28</v>
      </c>
      <c r="H19" s="152">
        <f>SUM(H16:H18)</f>
        <v>719262.4</v>
      </c>
      <c r="I19" s="146"/>
      <c r="K19" s="151" t="s">
        <v>28</v>
      </c>
      <c r="L19" s="152">
        <f>SUM(L16:L18)</f>
        <v>661513.4</v>
      </c>
      <c r="M19" s="146"/>
    </row>
    <row r="20" spans="3:13" x14ac:dyDescent="0.35">
      <c r="C20" s="146"/>
      <c r="D20" s="147"/>
      <c r="E20" s="146"/>
      <c r="G20" s="146"/>
      <c r="H20" s="147"/>
      <c r="I20" s="146"/>
      <c r="K20" s="146"/>
      <c r="L20" s="147"/>
      <c r="M20" s="146"/>
    </row>
    <row r="21" spans="3:13" x14ac:dyDescent="0.35">
      <c r="C21" s="146"/>
      <c r="D21" s="147"/>
      <c r="E21" s="146"/>
      <c r="G21" s="146"/>
      <c r="H21" s="147"/>
      <c r="I21" s="146"/>
      <c r="K21" s="146"/>
      <c r="L21" s="147"/>
      <c r="M21" s="146"/>
    </row>
    <row r="22" spans="3:13" x14ac:dyDescent="0.35">
      <c r="C22" s="150" t="s">
        <v>317</v>
      </c>
      <c r="D22" s="150" t="s">
        <v>142</v>
      </c>
      <c r="E22" s="146"/>
      <c r="G22" s="150" t="s">
        <v>317</v>
      </c>
      <c r="H22" s="150" t="s">
        <v>142</v>
      </c>
      <c r="I22" s="148"/>
      <c r="J22" s="149"/>
      <c r="K22" s="150" t="s">
        <v>317</v>
      </c>
      <c r="L22" s="150" t="s">
        <v>142</v>
      </c>
      <c r="M22" s="146"/>
    </row>
    <row r="23" spans="3:13" x14ac:dyDescent="0.35">
      <c r="C23" s="177">
        <v>2022</v>
      </c>
      <c r="D23" s="178">
        <f>D5+D8+D11</f>
        <v>0</v>
      </c>
      <c r="E23" s="146"/>
      <c r="F23" s="130"/>
      <c r="G23" s="177">
        <v>2023</v>
      </c>
      <c r="H23" s="178">
        <f>H5+H8</f>
        <v>231456.08000000002</v>
      </c>
      <c r="I23" s="146"/>
      <c r="J23" s="130"/>
      <c r="K23" s="177">
        <v>2023</v>
      </c>
      <c r="L23" s="178">
        <f>L5+L8</f>
        <v>215225.08000000002</v>
      </c>
      <c r="M23" s="146"/>
    </row>
    <row r="24" spans="3:13" x14ac:dyDescent="0.35">
      <c r="C24" s="177">
        <v>2023</v>
      </c>
      <c r="D24" s="178">
        <f>D6+D9</f>
        <v>0</v>
      </c>
      <c r="E24" s="146"/>
      <c r="F24" s="130"/>
      <c r="G24" s="177">
        <v>2024</v>
      </c>
      <c r="H24" s="178">
        <f>H6+H9</f>
        <v>217047.08000000002</v>
      </c>
      <c r="I24" s="146"/>
      <c r="J24" s="130"/>
      <c r="K24" s="177">
        <v>2024</v>
      </c>
      <c r="L24" s="178">
        <f>L6+L9</f>
        <v>214407.08000000002</v>
      </c>
      <c r="M24" s="146"/>
    </row>
    <row r="25" spans="3:13" x14ac:dyDescent="0.35">
      <c r="C25" s="151">
        <v>2024</v>
      </c>
      <c r="D25" s="178">
        <f>D7+D10</f>
        <v>0</v>
      </c>
      <c r="E25" s="146"/>
      <c r="F25" s="130"/>
      <c r="G25" s="151">
        <v>2025</v>
      </c>
      <c r="H25" s="178">
        <f>H7+H10+H11</f>
        <v>270759.24</v>
      </c>
      <c r="I25" s="146"/>
      <c r="J25" s="130"/>
      <c r="K25" s="151">
        <v>2025</v>
      </c>
      <c r="L25" s="178">
        <f>L7+L10+L11</f>
        <v>231881.24000000002</v>
      </c>
      <c r="M25" s="146"/>
    </row>
    <row r="26" spans="3:13" x14ac:dyDescent="0.35">
      <c r="C26" s="151"/>
      <c r="D26" s="152"/>
      <c r="E26" s="146"/>
      <c r="G26" s="151"/>
      <c r="H26" s="152"/>
      <c r="I26" s="146"/>
      <c r="K26" s="151"/>
      <c r="L26" s="152"/>
      <c r="M26" s="146"/>
    </row>
    <row r="27" spans="3:13" x14ac:dyDescent="0.35">
      <c r="C27" s="151" t="s">
        <v>28</v>
      </c>
      <c r="D27" s="152">
        <f>SUM(D23:D25)</f>
        <v>0</v>
      </c>
      <c r="E27" s="146"/>
      <c r="G27" s="151" t="s">
        <v>28</v>
      </c>
      <c r="H27" s="152">
        <f>SUM(H23:H25)</f>
        <v>719262.4</v>
      </c>
      <c r="I27" s="146"/>
      <c r="K27" s="151" t="s">
        <v>28</v>
      </c>
      <c r="L27" s="152">
        <f>SUM(L23:L26)</f>
        <v>661513.4</v>
      </c>
      <c r="M27" s="146"/>
    </row>
    <row r="29" spans="3:13" x14ac:dyDescent="0.35">
      <c r="C29" s="137" t="s">
        <v>148</v>
      </c>
      <c r="D29" s="137" t="s">
        <v>305</v>
      </c>
      <c r="E29" s="138" t="s">
        <v>149</v>
      </c>
      <c r="G29" s="137" t="s">
        <v>148</v>
      </c>
      <c r="H29" s="137" t="s">
        <v>305</v>
      </c>
      <c r="I29" s="138" t="s">
        <v>149</v>
      </c>
      <c r="K29" s="137" t="s">
        <v>148</v>
      </c>
      <c r="L29" s="137" t="s">
        <v>305</v>
      </c>
      <c r="M29" s="138" t="s">
        <v>149</v>
      </c>
    </row>
    <row r="30" spans="3:13" x14ac:dyDescent="0.35">
      <c r="C30" s="139" t="s">
        <v>271</v>
      </c>
      <c r="D30" s="47" t="s">
        <v>306</v>
      </c>
      <c r="E30" s="136">
        <v>20000</v>
      </c>
      <c r="G30" s="140" t="s">
        <v>272</v>
      </c>
      <c r="H30" s="47" t="s">
        <v>307</v>
      </c>
      <c r="I30" s="136">
        <v>20000</v>
      </c>
      <c r="K30" s="140" t="s">
        <v>272</v>
      </c>
      <c r="L30" s="47" t="s">
        <v>307</v>
      </c>
      <c r="M30" s="136">
        <v>20000</v>
      </c>
    </row>
    <row r="31" spans="3:13" x14ac:dyDescent="0.35">
      <c r="C31" s="139" t="s">
        <v>272</v>
      </c>
      <c r="D31" s="47" t="s">
        <v>307</v>
      </c>
      <c r="E31" s="136">
        <v>20000</v>
      </c>
      <c r="G31" s="139" t="s">
        <v>273</v>
      </c>
      <c r="H31" s="47" t="s">
        <v>308</v>
      </c>
      <c r="I31" s="136">
        <v>20000</v>
      </c>
      <c r="K31" s="139" t="s">
        <v>273</v>
      </c>
      <c r="L31" s="47" t="s">
        <v>308</v>
      </c>
      <c r="M31" s="136">
        <v>20000</v>
      </c>
    </row>
    <row r="32" spans="3:13" x14ac:dyDescent="0.35">
      <c r="C32" s="140" t="s">
        <v>273</v>
      </c>
      <c r="D32" s="47" t="s">
        <v>308</v>
      </c>
      <c r="E32" s="136">
        <v>20000</v>
      </c>
      <c r="G32" s="139" t="s">
        <v>336</v>
      </c>
      <c r="H32" s="47" t="s">
        <v>360</v>
      </c>
      <c r="I32" s="136">
        <v>20000</v>
      </c>
      <c r="K32" s="139" t="s">
        <v>336</v>
      </c>
      <c r="L32" s="47" t="s">
        <v>360</v>
      </c>
      <c r="M32" s="136">
        <v>20000</v>
      </c>
    </row>
    <row r="36" spans="7:9" x14ac:dyDescent="0.35">
      <c r="G36" s="130" t="s">
        <v>309</v>
      </c>
    </row>
    <row r="37" spans="7:9" x14ac:dyDescent="0.35">
      <c r="G37" t="s">
        <v>339</v>
      </c>
    </row>
    <row r="39" spans="7:9" x14ac:dyDescent="0.35">
      <c r="G39" s="137" t="s">
        <v>148</v>
      </c>
      <c r="H39" s="137" t="s">
        <v>305</v>
      </c>
      <c r="I39" s="138" t="s">
        <v>149</v>
      </c>
    </row>
    <row r="40" spans="7:9" x14ac:dyDescent="0.35">
      <c r="G40" s="140" t="s">
        <v>272</v>
      </c>
      <c r="H40" s="47" t="s">
        <v>307</v>
      </c>
      <c r="I40" s="136">
        <v>20000</v>
      </c>
    </row>
    <row r="41" spans="7:9" x14ac:dyDescent="0.35">
      <c r="G41" s="139" t="s">
        <v>273</v>
      </c>
      <c r="H41" s="47" t="s">
        <v>308</v>
      </c>
      <c r="I41" s="136">
        <v>20000</v>
      </c>
    </row>
    <row r="42" spans="7:9" x14ac:dyDescent="0.35">
      <c r="G42" s="139" t="s">
        <v>336</v>
      </c>
      <c r="H42" s="47" t="s">
        <v>360</v>
      </c>
      <c r="I42" s="136">
        <v>20000</v>
      </c>
    </row>
    <row r="44" spans="7:9" x14ac:dyDescent="0.35">
      <c r="G44" s="240"/>
      <c r="H44" s="240"/>
      <c r="I44" s="240"/>
    </row>
  </sheetData>
  <mergeCells count="7">
    <mergeCell ref="K3:M3"/>
    <mergeCell ref="K2:M2"/>
    <mergeCell ref="G44:I44"/>
    <mergeCell ref="C3:E3"/>
    <mergeCell ref="C2:E2"/>
    <mergeCell ref="G3:I3"/>
    <mergeCell ref="G2:I2"/>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D48"/>
  <sheetViews>
    <sheetView topLeftCell="P1" workbookViewId="0">
      <selection activeCell="T62" sqref="T62"/>
    </sheetView>
  </sheetViews>
  <sheetFormatPr defaultRowHeight="14.5" x14ac:dyDescent="0.35"/>
  <cols>
    <col min="2" max="2" width="52.36328125" bestFit="1" customWidth="1"/>
    <col min="3" max="5" width="15.90625" customWidth="1"/>
    <col min="6" max="7" width="16" customWidth="1"/>
    <col min="8" max="8" width="14.1796875" customWidth="1"/>
    <col min="9" max="9" width="17.54296875" customWidth="1"/>
    <col min="10" max="10" width="22.36328125" bestFit="1" customWidth="1"/>
    <col min="12" max="12" width="52.36328125" bestFit="1" customWidth="1"/>
    <col min="13" max="16" width="21.81640625" customWidth="1"/>
    <col min="17" max="17" width="22.81640625" customWidth="1"/>
    <col min="18" max="18" width="21.81640625" customWidth="1"/>
    <col min="19" max="19" width="23.453125" customWidth="1"/>
    <col min="20" max="20" width="28.1796875" bestFit="1" customWidth="1"/>
    <col min="22" max="22" width="52.36328125" bestFit="1" customWidth="1"/>
    <col min="23" max="26" width="21.81640625" customWidth="1"/>
    <col min="27" max="27" width="22.81640625" customWidth="1"/>
    <col min="28" max="28" width="21.81640625" customWidth="1"/>
    <col min="29" max="29" width="23.453125" customWidth="1"/>
    <col min="30" max="30" width="28.1796875" bestFit="1" customWidth="1"/>
  </cols>
  <sheetData>
    <row r="2" spans="2:30" s="130" customFormat="1" x14ac:dyDescent="0.35">
      <c r="B2" s="243" t="s">
        <v>29</v>
      </c>
      <c r="C2" s="243"/>
      <c r="D2" s="243"/>
      <c r="E2" s="243"/>
      <c r="F2" s="243"/>
      <c r="G2" s="243"/>
      <c r="H2" s="243"/>
      <c r="I2" s="243"/>
      <c r="J2" s="243"/>
      <c r="L2" s="242" t="s">
        <v>2</v>
      </c>
      <c r="M2" s="242"/>
      <c r="N2" s="242"/>
      <c r="O2" s="242"/>
      <c r="P2" s="242"/>
      <c r="Q2" s="242"/>
      <c r="R2" s="242"/>
      <c r="S2" s="242"/>
      <c r="T2" s="242"/>
      <c r="V2" s="241" t="s">
        <v>302</v>
      </c>
      <c r="W2" s="241"/>
      <c r="X2" s="241"/>
      <c r="Y2" s="241"/>
      <c r="Z2" s="241"/>
      <c r="AA2" s="241"/>
      <c r="AB2" s="241"/>
      <c r="AC2" s="241"/>
      <c r="AD2" s="241"/>
    </row>
    <row r="3" spans="2:30" x14ac:dyDescent="0.35">
      <c r="B3" s="128" t="s">
        <v>153</v>
      </c>
      <c r="C3" s="128" t="s">
        <v>276</v>
      </c>
      <c r="D3" s="128" t="s">
        <v>277</v>
      </c>
      <c r="E3" s="128" t="s">
        <v>278</v>
      </c>
      <c r="F3" s="128" t="s">
        <v>279</v>
      </c>
      <c r="G3" s="128" t="s">
        <v>280</v>
      </c>
      <c r="H3" s="128" t="s">
        <v>281</v>
      </c>
      <c r="I3" s="128" t="s">
        <v>282</v>
      </c>
      <c r="J3" s="128" t="s">
        <v>283</v>
      </c>
      <c r="L3" s="127" t="s">
        <v>153</v>
      </c>
      <c r="M3" s="127" t="s">
        <v>284</v>
      </c>
      <c r="N3" s="127" t="s">
        <v>285</v>
      </c>
      <c r="O3" s="127" t="s">
        <v>286</v>
      </c>
      <c r="P3" s="127" t="s">
        <v>291</v>
      </c>
      <c r="Q3" s="127" t="s">
        <v>290</v>
      </c>
      <c r="R3" s="127" t="s">
        <v>287</v>
      </c>
      <c r="S3" s="127" t="s">
        <v>288</v>
      </c>
      <c r="T3" s="127" t="s">
        <v>289</v>
      </c>
      <c r="V3" s="129" t="s">
        <v>153</v>
      </c>
      <c r="W3" s="129" t="s">
        <v>294</v>
      </c>
      <c r="X3" s="129" t="s">
        <v>295</v>
      </c>
      <c r="Y3" s="129" t="s">
        <v>296</v>
      </c>
      <c r="Z3" s="129" t="s">
        <v>297</v>
      </c>
      <c r="AA3" s="129" t="s">
        <v>298</v>
      </c>
      <c r="AB3" s="129" t="s">
        <v>299</v>
      </c>
      <c r="AC3" s="129" t="s">
        <v>300</v>
      </c>
      <c r="AD3" s="129" t="s">
        <v>301</v>
      </c>
    </row>
    <row r="4" spans="2:30" x14ac:dyDescent="0.35">
      <c r="B4" s="122"/>
      <c r="C4" s="117"/>
      <c r="D4" s="117"/>
      <c r="E4" s="117"/>
      <c r="F4" s="117"/>
      <c r="G4" s="117"/>
      <c r="H4" s="117"/>
      <c r="I4" s="117"/>
      <c r="J4" s="117"/>
      <c r="L4" s="122"/>
      <c r="M4" s="118">
        <f>SUMIF(CompuSystems_2025IC[Detailed Description],Table162223[[#This Row],[Detailed Description]],CompuSystems_2025IC[Total Cost])</f>
        <v>0</v>
      </c>
      <c r="N4" s="118">
        <f>SUMIF(CompuSystems_2024IC[Detailed Description],Table162223[[#This Row],[Detailed Description]],CompuSystems_2024IC[Total Cost])</f>
        <v>0</v>
      </c>
      <c r="O4" s="118">
        <f>SUMIF(CompuSystems_2023IC[Detailed Description],Table162223[[#This Row],[Detailed Description]],CompuSystems_2023IC[Total Cost])</f>
        <v>0</v>
      </c>
      <c r="P4" s="118">
        <f>SUMIF(CompuSystems_2023_2025IA[Detailed Description],Table162223[[#This Row],[Detailed Description]],CompuSystems_2023_2025IA[Total Cost (2023)])</f>
        <v>0</v>
      </c>
      <c r="Q4" s="118">
        <f>SUMIF(CompuSystems_2023_2025IA[Detailed Description],Table162223[[#This Row],[Detailed Description]],CompuSystems_2023_2025IA[Total Cost (2025)])</f>
        <v>0</v>
      </c>
      <c r="R4" s="118">
        <f>SUMIF(CompuSystems_2023_2025IA[Detailed Description],Table162223[[#This Row],[Detailed Description]],CompuSystems_2023_2025IA[Total Cost (2025)])</f>
        <v>0</v>
      </c>
      <c r="S4" s="118">
        <f>SUMIF(CompuSystems_2025COL[Detailed Description],Table162223[[#This Row],[Detailed Description]],CompuSystems_2025COL[Total Cost])</f>
        <v>0</v>
      </c>
      <c r="T4" s="118">
        <f>SUM(Table162223[[#This Row],[CompuSystems2024IC]:[CompuSystems2022COL]])</f>
        <v>0</v>
      </c>
      <c r="V4" s="122"/>
      <c r="W4" s="118">
        <f>SUMIF(MCI_2025IC[Detailed Description],Table16222324[[#This Row],[Detailed Description]],MCI_2025IC[Total Cost])</f>
        <v>0</v>
      </c>
      <c r="X4" s="118">
        <f>SUMIF(MCI_2024IC[Detailed Description],Table16222324[[#This Row],[Detailed Description]],MCI_2024IC[Total Cost])</f>
        <v>0</v>
      </c>
      <c r="Y4" s="118">
        <f>SUMIF(MCI_2023IC[Detailed Description],Table16222324[[#This Row],[Detailed Description]],MCI_2023IC[Total Cost])</f>
        <v>0</v>
      </c>
      <c r="Z4" s="118">
        <f>SUMIF(MCI_2023_2025IA[Detailed Description],Table16222324[[#This Row],[Detailed Description]],MCI_2023_2025IA[Total Cost (2023)])</f>
        <v>0</v>
      </c>
      <c r="AA4" s="118">
        <f>SUMIF(MCI_2023_2025IA[Detailed Description],Table16222324[[#This Row],[Detailed Description]],MCI_2023_2025IA[Total Cost (2025)])</f>
        <v>0</v>
      </c>
      <c r="AB4" s="118">
        <f>SUMIF(MCI_2023_2025IA[Detailed Description],Table16222324[[#This Row],[Detailed Description]],MCI_2023_2025IA[Total Cost (2025)])</f>
        <v>0</v>
      </c>
      <c r="AC4" s="118">
        <f>SUMIF(MCI_2025COL[Detailed Description],Table16222324[[#This Row],[Detailed Description]],MCI_2025COL[Total Cost])</f>
        <v>0</v>
      </c>
      <c r="AD4" s="118">
        <f>SUM(Table16222324[[#This Row],[MCI2024IC]:[MCI2022COL]])</f>
        <v>0</v>
      </c>
    </row>
    <row r="5" spans="2:30" x14ac:dyDescent="0.35">
      <c r="B5" s="123" t="s">
        <v>174</v>
      </c>
      <c r="C5" s="118">
        <f>SUMIF(Aventri_2024IC[Detailed Description],Table1622[[#This Row],[Detailed Description]],Aventri_2024IC[Total Cost])</f>
        <v>10000</v>
      </c>
      <c r="D5" s="118">
        <f>SUMIF(Aventri_2023IC[Detailed Description],Table1622[[#This Row],[Detailed Description]],Aventri_2023IC[Total Cost])</f>
        <v>10000</v>
      </c>
      <c r="E5" s="118">
        <f>SUMIF(Aventri_2022IC[Detailed Description],Table1622[[#This Row],[Detailed Description]],Aventri_2022IC[Total Cost])</f>
        <v>12000</v>
      </c>
      <c r="F5" s="118">
        <f>SUMIF(Aventri_2021_2023IA[Detailed Description],Table1622[[#This Row],[Detailed Description]],Aventri_2021_2023IA[Total Cost (2022)])</f>
        <v>2000</v>
      </c>
      <c r="G5" s="118">
        <f>SUMIF(Aventri_2021_2023IA[Detailed Description],Table1622[[#This Row],[Detailed Description]],Aventri_2021_2023IA[Total Cost (2023)])</f>
        <v>2000</v>
      </c>
      <c r="H5" s="118">
        <f>SUMIF(Aventri_2021_2023IA[Detailed Description],Table1622[[#This Row],[Detailed Description]],Aventri_2021_2023IA[Total Cost (2024)])</f>
        <v>2000</v>
      </c>
      <c r="I5" s="118">
        <f>SUMIF(Aventri_2022COL[Detailed Description],Table1622[[#This Row],[Detailed Description]],Aventri_2022COL[Total Cost])</f>
        <v>0</v>
      </c>
      <c r="J5" s="118">
        <f>SUM(Table1622[[#This Row],[Aventri_2024IC]:[Aventri_2022COL]])</f>
        <v>38000</v>
      </c>
      <c r="L5" s="123" t="s">
        <v>174</v>
      </c>
      <c r="M5" s="118">
        <f>SUMIF(CompuSystems_2025IC[Detailed Description],Table162223[[#This Row],[Detailed Description]],CompuSystems_2025IC[Total Cost])</f>
        <v>12000</v>
      </c>
      <c r="N5" s="118">
        <f>SUMIF(CompuSystems_2024IC[Detailed Description],Table162223[[#This Row],[Detailed Description]],CompuSystems_2024IC[Total Cost])</f>
        <v>10000</v>
      </c>
      <c r="O5" s="118">
        <f>SUMIF(CompuSystems_2023IC[Detailed Description],Table162223[[#This Row],[Detailed Description]],CompuSystems_2023IC[Total Cost])</f>
        <v>10000</v>
      </c>
      <c r="P5" s="118">
        <f>SUMIF(CompuSystems_2023_2025IA[Detailed Description],Table162223[[#This Row],[Detailed Description]],CompuSystems_2023_2025IA[Total Cost (2023)])</f>
        <v>2000</v>
      </c>
      <c r="Q5" s="118">
        <f>SUMIF(CompuSystems_2023_2025IA[Detailed Description],Table162223[[#This Row],[Detailed Description]],CompuSystems_2023_2025IA[Total Cost (2025)])</f>
        <v>2000</v>
      </c>
      <c r="R5" s="118">
        <f>SUMIF(CompuSystems_2023_2025IA[Detailed Description],Table162223[[#This Row],[Detailed Description]],CompuSystems_2023_2025IA[Total Cost (2025)])</f>
        <v>2000</v>
      </c>
      <c r="S5" s="118">
        <f>SUMIF(CompuSystems_2025COL[Detailed Description],Table162223[[#This Row],[Detailed Description]],CompuSystems_2025COL[Total Cost])</f>
        <v>0</v>
      </c>
      <c r="T5" s="118">
        <f>SUM(Table162223[[#This Row],[CompuSystems2024IC]:[CompuSystems2022COL]])</f>
        <v>38000</v>
      </c>
      <c r="V5" s="123" t="s">
        <v>174</v>
      </c>
      <c r="W5" s="118">
        <f>SUMIF(MCI_2025IC[Detailed Description],Table16222324[[#This Row],[Detailed Description]],MCI_2025IC[Total Cost])</f>
        <v>10000</v>
      </c>
      <c r="X5" s="118">
        <f>SUMIF(MCI_2024IC[Detailed Description],Table16222324[[#This Row],[Detailed Description]],MCI_2024IC[Total Cost])</f>
        <v>11000</v>
      </c>
      <c r="Y5" s="118">
        <f>SUMIF(MCI_2023IC[Detailed Description],Table16222324[[#This Row],[Detailed Description]],MCI_2023IC[Total Cost])</f>
        <v>10000</v>
      </c>
      <c r="Z5" s="118">
        <f>SUMIF(MCI_2023_2025IA[Detailed Description],Table16222324[[#This Row],[Detailed Description]],MCI_2023_2025IA[Total Cost (2023)])</f>
        <v>2000</v>
      </c>
      <c r="AA5" s="118">
        <f>SUMIF(MCI_2023_2025IA[Detailed Description],Table16222324[[#This Row],[Detailed Description]],MCI_2023_2025IA[Total Cost (2025)])</f>
        <v>2000</v>
      </c>
      <c r="AB5" s="118">
        <f>SUMIF(MCI_2023_2025IA[Detailed Description],Table16222324[[#This Row],[Detailed Description]],MCI_2023_2025IA[Total Cost (2025)])</f>
        <v>2000</v>
      </c>
      <c r="AC5" s="118">
        <f>SUMIF(MCI_2025COL[Detailed Description],Table16222324[[#This Row],[Detailed Description]],MCI_2025COL[Total Cost])</f>
        <v>0</v>
      </c>
      <c r="AD5" s="118">
        <f>SUM(Table16222324[[#This Row],[MCI2024IC]:[MCI2022COL]])</f>
        <v>37000</v>
      </c>
    </row>
    <row r="6" spans="2:30" x14ac:dyDescent="0.35">
      <c r="B6" s="125" t="s">
        <v>321</v>
      </c>
      <c r="C6" s="118">
        <f>SUMIF(Aventri_2024IC[Detailed Description],Table1622[[#This Row],[Detailed Description]],Aventri_2024IC[Total Cost])</f>
        <v>100</v>
      </c>
      <c r="D6" s="118">
        <f>SUMIF(Aventri_2023IC[Detailed Description],Table1622[[#This Row],[Detailed Description]],Aventri_2023IC[Total Cost])</f>
        <v>100</v>
      </c>
      <c r="E6" s="118">
        <f>SUMIF(Aventri_2022IC[Detailed Description],Table1622[[#This Row],[Detailed Description]],Aventri_2022IC[Total Cost])</f>
        <v>100</v>
      </c>
      <c r="F6" s="118">
        <f>SUMIF(Aventri_2021_2023IA[Detailed Description],Table1622[[#This Row],[Detailed Description]],Aventri_2021_2023IA[Total Cost (2022)])</f>
        <v>100</v>
      </c>
      <c r="G6" s="118">
        <f>SUMIF(Aventri_2021_2023IA[Detailed Description],Table1622[[#This Row],[Detailed Description]],Aventri_2021_2023IA[Total Cost (2023)])</f>
        <v>100</v>
      </c>
      <c r="H6" s="118">
        <f>SUMIF(Aventri_2021_2023IA[Detailed Description],Table1622[[#This Row],[Detailed Description]],Aventri_2021_2023IA[Total Cost (2024)])</f>
        <v>100</v>
      </c>
      <c r="I6" s="118">
        <f>SUMIF(Aventri_2022COL[Detailed Description],Table1622[[#This Row],[Detailed Description]],Aventri_2022COL[Total Cost])</f>
        <v>0</v>
      </c>
      <c r="J6" s="118">
        <f>SUM(Table1622[[#This Row],[Aventri_2024IC]:[Aventri_2022COL]])</f>
        <v>600</v>
      </c>
      <c r="L6" s="123" t="s">
        <v>321</v>
      </c>
      <c r="M6" s="118">
        <f>SUMIF(CompuSystems_2025IC[Detailed Description],Table162223[[#This Row],[Detailed Description]],CompuSystems_2025IC[Total Cost])</f>
        <v>0</v>
      </c>
      <c r="N6" s="118">
        <f>SUMIF(CompuSystems_2024IC[Detailed Description],Table162223[[#This Row],[Detailed Description]],CompuSystems_2024IC[Total Cost])</f>
        <v>0</v>
      </c>
      <c r="O6" s="118">
        <f>SUMIF(CompuSystems_2023IC[Detailed Description],Table162223[[#This Row],[Detailed Description]],CompuSystems_2023IC[Total Cost])</f>
        <v>0</v>
      </c>
      <c r="P6" s="118">
        <f>SUMIF(CompuSystems_2023_2025IA[Detailed Description],Table162223[[#This Row],[Detailed Description]],CompuSystems_2023_2025IA[Total Cost (2023)])</f>
        <v>0</v>
      </c>
      <c r="Q6" s="118">
        <f>SUMIF(CompuSystems_2023_2025IA[Detailed Description],Table162223[[#This Row],[Detailed Description]],CompuSystems_2023_2025IA[Total Cost (2025)])</f>
        <v>0</v>
      </c>
      <c r="R6" s="118">
        <f>SUMIF(CompuSystems_2023_2025IA[Detailed Description],Table162223[[#This Row],[Detailed Description]],CompuSystems_2023_2025IA[Total Cost (2025)])</f>
        <v>0</v>
      </c>
      <c r="S6" s="118">
        <f>SUMIF(CompuSystems_2025COL[Detailed Description],Table162223[[#This Row],[Detailed Description]],CompuSystems_2025COL[Total Cost])</f>
        <v>0</v>
      </c>
      <c r="T6" s="118">
        <f>SUM(Table162223[[#This Row],[CompuSystems2024IC]:[CompuSystems2022COL]])</f>
        <v>0</v>
      </c>
      <c r="V6" s="123" t="s">
        <v>321</v>
      </c>
      <c r="W6" s="118">
        <f>SUMIF(MCI_2025IC[Detailed Description],Table16222324[[#This Row],[Detailed Description]],MCI_2025IC[Total Cost])</f>
        <v>0</v>
      </c>
      <c r="X6" s="118">
        <f>SUMIF(MCI_2024IC[Detailed Description],Table16222324[[#This Row],[Detailed Description]],MCI_2024IC[Total Cost])</f>
        <v>0</v>
      </c>
      <c r="Y6" s="118">
        <f>SUMIF(MCI_2023IC[Detailed Description],Table16222324[[#This Row],[Detailed Description]],MCI_2023IC[Total Cost])</f>
        <v>0</v>
      </c>
      <c r="Z6" s="118">
        <f>SUMIF(MCI_2023_2025IA[Detailed Description],Table16222324[[#This Row],[Detailed Description]],MCI_2023_2025IA[Total Cost (2023)])</f>
        <v>0</v>
      </c>
      <c r="AA6" s="118">
        <f>SUMIF(MCI_2023_2025IA[Detailed Description],Table16222324[[#This Row],[Detailed Description]],MCI_2023_2025IA[Total Cost (2025)])</f>
        <v>0</v>
      </c>
      <c r="AB6" s="118">
        <f>SUMIF(MCI_2023_2025IA[Detailed Description],Table16222324[[#This Row],[Detailed Description]],MCI_2023_2025IA[Total Cost (2025)])</f>
        <v>0</v>
      </c>
      <c r="AC6" s="118">
        <f>SUMIF(MCI_2025COL[Detailed Description],Table16222324[[#This Row],[Detailed Description]],MCI_2025COL[Total Cost])</f>
        <v>0</v>
      </c>
      <c r="AD6" s="118">
        <f>SUM(Table16222324[[#This Row],[MCI2024IC]:[MCI2022COL]])</f>
        <v>0</v>
      </c>
    </row>
    <row r="7" spans="2:30" x14ac:dyDescent="0.35">
      <c r="B7" s="122" t="s">
        <v>177</v>
      </c>
      <c r="C7" s="118">
        <f>SUMIF(Aventri_2024IC[Detailed Description],Table1622[[#This Row],[Detailed Description]],Aventri_2024IC[Total Cost])</f>
        <v>250</v>
      </c>
      <c r="D7" s="118">
        <f>SUMIF(Aventri_2023IC[Detailed Description],Table1622[[#This Row],[Detailed Description]],Aventri_2023IC[Total Cost])</f>
        <v>250</v>
      </c>
      <c r="E7" s="118">
        <f>SUMIF(Aventri_2022IC[Detailed Description],Table1622[[#This Row],[Detailed Description]],Aventri_2022IC[Total Cost])</f>
        <v>250</v>
      </c>
      <c r="F7" s="118">
        <f>SUMIF(Aventri_2021_2023IA[Detailed Description],Table1622[[#This Row],[Detailed Description]],Aventri_2021_2023IA[Total Cost (2022)])</f>
        <v>250</v>
      </c>
      <c r="G7" s="118">
        <f>SUMIF(Aventri_2021_2023IA[Detailed Description],Table1622[[#This Row],[Detailed Description]],Aventri_2021_2023IA[Total Cost (2023)])</f>
        <v>250</v>
      </c>
      <c r="H7" s="118">
        <f>SUMIF(Aventri_2021_2023IA[Detailed Description],Table1622[[#This Row],[Detailed Description]],Aventri_2021_2023IA[Total Cost (2024)])</f>
        <v>250</v>
      </c>
      <c r="I7" s="118">
        <f>SUMIF(Aventri_2022COL[Detailed Description],Table1622[[#This Row],[Detailed Description]],Aventri_2022COL[Total Cost])</f>
        <v>250</v>
      </c>
      <c r="J7" s="118">
        <f>SUM(Table1622[[#This Row],[Aventri_2024IC]:[Aventri_2022COL]])</f>
        <v>1750</v>
      </c>
      <c r="L7" s="122" t="s">
        <v>177</v>
      </c>
      <c r="M7" s="118">
        <f>SUMIF(CompuSystems_2025IC[Detailed Description],Table162223[[#This Row],[Detailed Description]],CompuSystems_2025IC[Total Cost])</f>
        <v>0</v>
      </c>
      <c r="N7" s="118">
        <f>SUMIF(CompuSystems_2024IC[Detailed Description],Table162223[[#This Row],[Detailed Description]],CompuSystems_2024IC[Total Cost])</f>
        <v>0</v>
      </c>
      <c r="O7" s="118">
        <f>SUMIF(CompuSystems_2023IC[Detailed Description],Table162223[[#This Row],[Detailed Description]],CompuSystems_2023IC[Total Cost])</f>
        <v>0</v>
      </c>
      <c r="P7" s="118">
        <f>SUMIF(CompuSystems_2023_2025IA[Detailed Description],Table162223[[#This Row],[Detailed Description]],CompuSystems_2023_2025IA[Total Cost (2023)])</f>
        <v>0</v>
      </c>
      <c r="Q7" s="118">
        <f>SUMIF(CompuSystems_2023_2025IA[Detailed Description],Table162223[[#This Row],[Detailed Description]],CompuSystems_2023_2025IA[Total Cost (2025)])</f>
        <v>0</v>
      </c>
      <c r="R7" s="118">
        <f>SUMIF(CompuSystems_2023_2025IA[Detailed Description],Table162223[[#This Row],[Detailed Description]],CompuSystems_2023_2025IA[Total Cost (2025)])</f>
        <v>0</v>
      </c>
      <c r="S7" s="118">
        <f>SUMIF(CompuSystems_2025COL[Detailed Description],Table162223[[#This Row],[Detailed Description]],CompuSystems_2025COL[Total Cost])</f>
        <v>0</v>
      </c>
      <c r="T7" s="118">
        <f>SUM(Table162223[[#This Row],[CompuSystems2024IC]:[CompuSystems2022COL]])</f>
        <v>0</v>
      </c>
      <c r="V7" s="122" t="s">
        <v>177</v>
      </c>
      <c r="W7" s="118">
        <f>SUMIF(MCI_2025IC[Detailed Description],Table16222324[[#This Row],[Detailed Description]],MCI_2025IC[Total Cost])</f>
        <v>0</v>
      </c>
      <c r="X7" s="118">
        <f>SUMIF(MCI_2024IC[Detailed Description],Table16222324[[#This Row],[Detailed Description]],MCI_2024IC[Total Cost])</f>
        <v>0</v>
      </c>
      <c r="Y7" s="118">
        <f>SUMIF(MCI_2023IC[Detailed Description],Table16222324[[#This Row],[Detailed Description]],MCI_2023IC[Total Cost])</f>
        <v>0</v>
      </c>
      <c r="Z7" s="118">
        <f>SUMIF(MCI_2023_2025IA[Detailed Description],Table16222324[[#This Row],[Detailed Description]],MCI_2023_2025IA[Total Cost (2023)])</f>
        <v>0</v>
      </c>
      <c r="AA7" s="118">
        <f>SUMIF(MCI_2023_2025IA[Detailed Description],Table16222324[[#This Row],[Detailed Description]],MCI_2023_2025IA[Total Cost (2025)])</f>
        <v>0</v>
      </c>
      <c r="AB7" s="118">
        <f>SUMIF(MCI_2023_2025IA[Detailed Description],Table16222324[[#This Row],[Detailed Description]],MCI_2023_2025IA[Total Cost (2025)])</f>
        <v>0</v>
      </c>
      <c r="AC7" s="118">
        <f>SUMIF(MCI_2025COL[Detailed Description],Table16222324[[#This Row],[Detailed Description]],MCI_2025COL[Total Cost])</f>
        <v>0</v>
      </c>
      <c r="AD7" s="118">
        <f>SUM(Table16222324[[#This Row],[MCI2024IC]:[MCI2022COL]])</f>
        <v>0</v>
      </c>
    </row>
    <row r="8" spans="2:30" x14ac:dyDescent="0.35">
      <c r="B8" s="122" t="s">
        <v>170</v>
      </c>
      <c r="C8" s="118">
        <f>SUMIF(Aventri_2024IC[Detailed Description],Table1622[[#This Row],[Detailed Description]],Aventri_2024IC[Total Cost])</f>
        <v>12250</v>
      </c>
      <c r="D8" s="118">
        <f>SUMIF(Aventri_2023IC[Detailed Description],Table1622[[#This Row],[Detailed Description]],Aventri_2023IC[Total Cost])</f>
        <v>12250</v>
      </c>
      <c r="E8" s="118">
        <f>SUMIF(Aventri_2022IC[Detailed Description],Table1622[[#This Row],[Detailed Description]],Aventri_2022IC[Total Cost])</f>
        <v>12250</v>
      </c>
      <c r="F8" s="118">
        <f>SUMIF(Aventri_2021_2023IA[Detailed Description],Table1622[[#This Row],[Detailed Description]],Aventri_2021_2023IA[Total Cost (2022)])</f>
        <v>1400</v>
      </c>
      <c r="G8" s="118">
        <f>SUMIF(Aventri_2021_2023IA[Detailed Description],Table1622[[#This Row],[Detailed Description]],Aventri_2021_2023IA[Total Cost (2023)])</f>
        <v>1400</v>
      </c>
      <c r="H8" s="118">
        <f>SUMIF(Aventri_2021_2023IA[Detailed Description],Table1622[[#This Row],[Detailed Description]],Aventri_2021_2023IA[Total Cost (2024)])</f>
        <v>1400</v>
      </c>
      <c r="I8" s="118">
        <f>SUMIF(Aventri_2022COL[Detailed Description],Table1622[[#This Row],[Detailed Description]],Aventri_2022COL[Total Cost])</f>
        <v>700</v>
      </c>
      <c r="J8" s="118">
        <f>SUM(Table1622[[#This Row],[Aventri_2024IC]:[Aventri_2022COL]])</f>
        <v>41650</v>
      </c>
      <c r="L8" s="122" t="s">
        <v>170</v>
      </c>
      <c r="M8" s="118">
        <f>SUMIF(CompuSystems_2025IC[Detailed Description],Table162223[[#This Row],[Detailed Description]],CompuSystems_2025IC[Total Cost])</f>
        <v>9000</v>
      </c>
      <c r="N8" s="118">
        <f>SUMIF(CompuSystems_2024IC[Detailed Description],Table162223[[#This Row],[Detailed Description]],CompuSystems_2024IC[Total Cost])</f>
        <v>5250</v>
      </c>
      <c r="O8" s="118">
        <f>SUMIF(CompuSystems_2023IC[Detailed Description],Table162223[[#This Row],[Detailed Description]],CompuSystems_2023IC[Total Cost])</f>
        <v>5250</v>
      </c>
      <c r="P8" s="118">
        <f>SUMIF(CompuSystems_2023_2025IA[Detailed Description],Table162223[[#This Row],[Detailed Description]],CompuSystems_2023_2025IA[Total Cost (2023)])</f>
        <v>600</v>
      </c>
      <c r="Q8" s="118">
        <f>SUMIF(CompuSystems_2023_2025IA[Detailed Description],Table162223[[#This Row],[Detailed Description]],CompuSystems_2023_2025IA[Total Cost (2025)])</f>
        <v>600</v>
      </c>
      <c r="R8" s="118">
        <f>SUMIF(CompuSystems_2023_2025IA[Detailed Description],Table162223[[#This Row],[Detailed Description]],CompuSystems_2023_2025IA[Total Cost (2025)])</f>
        <v>600</v>
      </c>
      <c r="S8" s="118">
        <f>SUMIF(CompuSystems_2025COL[Detailed Description],Table162223[[#This Row],[Detailed Description]],CompuSystems_2025COL[Total Cost])</f>
        <v>300</v>
      </c>
      <c r="T8" s="118">
        <f>SUM(Table162223[[#This Row],[CompuSystems2024IC]:[CompuSystems2022COL]])</f>
        <v>21600</v>
      </c>
      <c r="V8" s="122" t="s">
        <v>170</v>
      </c>
      <c r="W8" s="118">
        <f>SUMIF(MCI_2025IC[Detailed Description],Table16222324[[#This Row],[Detailed Description]],MCI_2025IC[Total Cost])</f>
        <v>12000</v>
      </c>
      <c r="X8" s="118">
        <f>SUMIF(MCI_2024IC[Detailed Description],Table16222324[[#This Row],[Detailed Description]],MCI_2024IC[Total Cost])</f>
        <v>15000</v>
      </c>
      <c r="Y8" s="118">
        <f>SUMIF(MCI_2023IC[Detailed Description],Table16222324[[#This Row],[Detailed Description]],MCI_2023IC[Total Cost])</f>
        <v>10500</v>
      </c>
      <c r="Z8" s="118">
        <f>SUMIF(MCI_2023_2025IA[Detailed Description],Table16222324[[#This Row],[Detailed Description]],MCI_2023_2025IA[Total Cost (2023)])</f>
        <v>1200</v>
      </c>
      <c r="AA8" s="118">
        <f>SUMIF(MCI_2023_2025IA[Detailed Description],Table16222324[[#This Row],[Detailed Description]],MCI_2023_2025IA[Total Cost (2025)])</f>
        <v>1200</v>
      </c>
      <c r="AB8" s="118">
        <f>SUMIF(MCI_2023_2025IA[Detailed Description],Table16222324[[#This Row],[Detailed Description]],MCI_2023_2025IA[Total Cost (2025)])</f>
        <v>1200</v>
      </c>
      <c r="AC8" s="118">
        <f>SUMIF(MCI_2025COL[Detailed Description],Table16222324[[#This Row],[Detailed Description]],MCI_2025COL[Total Cost])</f>
        <v>600</v>
      </c>
      <c r="AD8" s="118">
        <f>SUM(Table16222324[[#This Row],[MCI2024IC]:[MCI2022COL]])</f>
        <v>41700</v>
      </c>
    </row>
    <row r="9" spans="2:30" x14ac:dyDescent="0.35">
      <c r="B9" s="122" t="s">
        <v>197</v>
      </c>
      <c r="C9" s="118">
        <f>SUMIF(Aventri_2024IC[Detailed Description],Table1622[[#This Row],[Detailed Description]],Aventri_2024IC[Total Cost])</f>
        <v>0</v>
      </c>
      <c r="D9" s="118">
        <f>SUMIF(Aventri_2023IC[Detailed Description],Table1622[[#This Row],[Detailed Description]],Aventri_2023IC[Total Cost])</f>
        <v>0</v>
      </c>
      <c r="E9" s="118">
        <f>SUMIF(Aventri_2022IC[Detailed Description],Table1622[[#This Row],[Detailed Description]],Aventri_2022IC[Total Cost])</f>
        <v>0</v>
      </c>
      <c r="F9" s="118">
        <f>SUMIF(Aventri_2021_2023IA[Detailed Description],Table1622[[#This Row],[Detailed Description]],Aventri_2021_2023IA[Total Cost (2022)])</f>
        <v>0</v>
      </c>
      <c r="G9" s="118">
        <f>SUMIF(Aventri_2021_2023IA[Detailed Description],Table1622[[#This Row],[Detailed Description]],Aventri_2021_2023IA[Total Cost (2023)])</f>
        <v>0</v>
      </c>
      <c r="H9" s="118">
        <f>SUMIF(Aventri_2021_2023IA[Detailed Description],Table1622[[#This Row],[Detailed Description]],Aventri_2021_2023IA[Total Cost (2024)])</f>
        <v>0</v>
      </c>
      <c r="I9" s="118">
        <f>SUMIF(Aventri_2022COL[Detailed Description],Table1622[[#This Row],[Detailed Description]],Aventri_2022COL[Total Cost])</f>
        <v>0</v>
      </c>
      <c r="J9" s="118">
        <f>SUM(Table1622[[#This Row],[Aventri_2024IC]:[Aventri_2022COL]])</f>
        <v>0</v>
      </c>
      <c r="L9" s="122" t="s">
        <v>197</v>
      </c>
      <c r="M9" s="118">
        <f>SUMIF(CompuSystems_2025IC[Detailed Description],Table162223[[#This Row],[Detailed Description]],CompuSystems_2025IC[Total Cost])</f>
        <v>0</v>
      </c>
      <c r="N9" s="118">
        <f>SUMIF(CompuSystems_2024IC[Detailed Description],Table162223[[#This Row],[Detailed Description]],CompuSystems_2024IC[Total Cost])</f>
        <v>0</v>
      </c>
      <c r="O9" s="118">
        <f>SUMIF(CompuSystems_2023IC[Detailed Description],Table162223[[#This Row],[Detailed Description]],CompuSystems_2023IC[Total Cost])</f>
        <v>0</v>
      </c>
      <c r="P9" s="118">
        <f>SUMIF(CompuSystems_2023_2025IA[Detailed Description],Table162223[[#This Row],[Detailed Description]],CompuSystems_2023_2025IA[Total Cost (2023)])</f>
        <v>0</v>
      </c>
      <c r="Q9" s="118">
        <f>SUMIF(CompuSystems_2023_2025IA[Detailed Description],Table162223[[#This Row],[Detailed Description]],CompuSystems_2023_2025IA[Total Cost (2025)])</f>
        <v>0</v>
      </c>
      <c r="R9" s="118">
        <f>SUMIF(CompuSystems_2023_2025IA[Detailed Description],Table162223[[#This Row],[Detailed Description]],CompuSystems_2023_2025IA[Total Cost (2025)])</f>
        <v>0</v>
      </c>
      <c r="S9" s="118">
        <f>SUMIF(CompuSystems_2025COL[Detailed Description],Table162223[[#This Row],[Detailed Description]],CompuSystems_2025COL[Total Cost])</f>
        <v>0</v>
      </c>
      <c r="T9" s="118">
        <f>SUM(Table162223[[#This Row],[CompuSystems2024IC]:[CompuSystems2022COL]])</f>
        <v>0</v>
      </c>
      <c r="V9" s="122" t="s">
        <v>197</v>
      </c>
      <c r="W9" s="118">
        <f>SUMIF(MCI_2025IC[Detailed Description],Table16222324[[#This Row],[Detailed Description]],MCI_2025IC[Total Cost])</f>
        <v>3000</v>
      </c>
      <c r="X9" s="118">
        <f>SUMIF(MCI_2024IC[Detailed Description],Table16222324[[#This Row],[Detailed Description]],MCI_2024IC[Total Cost])</f>
        <v>3000</v>
      </c>
      <c r="Y9" s="118">
        <f>SUMIF(MCI_2023IC[Detailed Description],Table16222324[[#This Row],[Detailed Description]],MCI_2023IC[Total Cost])</f>
        <v>3000</v>
      </c>
      <c r="Z9" s="118">
        <f>SUMIF(MCI_2023_2025IA[Detailed Description],Table16222324[[#This Row],[Detailed Description]],MCI_2023_2025IA[Total Cost (2023)])</f>
        <v>1000</v>
      </c>
      <c r="AA9" s="118">
        <f>SUMIF(MCI_2023_2025IA[Detailed Description],Table16222324[[#This Row],[Detailed Description]],MCI_2023_2025IA[Total Cost (2025)])</f>
        <v>1000</v>
      </c>
      <c r="AB9" s="118">
        <f>SUMIF(MCI_2023_2025IA[Detailed Description],Table16222324[[#This Row],[Detailed Description]],MCI_2023_2025IA[Total Cost (2025)])</f>
        <v>1000</v>
      </c>
      <c r="AC9" s="118">
        <f>SUMIF(MCI_2025COL[Detailed Description],Table16222324[[#This Row],[Detailed Description]],MCI_2025COL[Total Cost])</f>
        <v>1000</v>
      </c>
      <c r="AD9" s="118">
        <f>SUM(Table16222324[[#This Row],[MCI2024IC]:[MCI2022COL]])</f>
        <v>13000</v>
      </c>
    </row>
    <row r="10" spans="2:30" x14ac:dyDescent="0.35">
      <c r="B10" s="122" t="s">
        <v>183</v>
      </c>
      <c r="C10" s="118">
        <f>SUMIF(Aventri_2024IC[Detailed Description],Table1622[[#This Row],[Detailed Description]],Aventri_2024IC[Total Cost])</f>
        <v>17000</v>
      </c>
      <c r="D10" s="118">
        <f>SUMIF(Aventri_2023IC[Detailed Description],Table1622[[#This Row],[Detailed Description]],Aventri_2023IC[Total Cost])</f>
        <v>17000</v>
      </c>
      <c r="E10" s="118">
        <f>SUMIF(Aventri_2022IC[Detailed Description],Table1622[[#This Row],[Detailed Description]],Aventri_2022IC[Total Cost])</f>
        <v>0</v>
      </c>
      <c r="F10" s="118">
        <f>SUMIF(Aventri_2021_2023IA[Detailed Description],Table1622[[#This Row],[Detailed Description]],Aventri_2021_2023IA[Total Cost (2022)])</f>
        <v>1275</v>
      </c>
      <c r="G10" s="118">
        <f>SUMIF(Aventri_2021_2023IA[Detailed Description],Table1622[[#This Row],[Detailed Description]],Aventri_2021_2023IA[Total Cost (2023)])</f>
        <v>1275</v>
      </c>
      <c r="H10" s="118">
        <f>SUMIF(Aventri_2021_2023IA[Detailed Description],Table1622[[#This Row],[Detailed Description]],Aventri_2021_2023IA[Total Cost (2024)])</f>
        <v>1275</v>
      </c>
      <c r="I10" s="118">
        <f>SUMIF(Aventri_2022COL[Detailed Description],Table1622[[#This Row],[Detailed Description]],Aventri_2022COL[Total Cost])</f>
        <v>1020</v>
      </c>
      <c r="J10" s="118">
        <f>SUM(Table1622[[#This Row],[Aventri_2024IC]:[Aventri_2022COL]])</f>
        <v>38845</v>
      </c>
      <c r="L10" s="122" t="s">
        <v>183</v>
      </c>
      <c r="M10" s="118">
        <f>SUMIF(CompuSystems_2025IC[Detailed Description],Table162223[[#This Row],[Detailed Description]],CompuSystems_2025IC[Total Cost])</f>
        <v>3720</v>
      </c>
      <c r="N10" s="118">
        <f>SUMIF(CompuSystems_2024IC[Detailed Description],Table162223[[#This Row],[Detailed Description]],CompuSystems_2024IC[Total Cost])</f>
        <v>3720</v>
      </c>
      <c r="O10" s="118">
        <f>SUMIF(CompuSystems_2023IC[Detailed Description],Table162223[[#This Row],[Detailed Description]],CompuSystems_2023IC[Total Cost])</f>
        <v>3720</v>
      </c>
      <c r="P10" s="118">
        <f>SUMIF(CompuSystems_2023_2025IA[Detailed Description],Table162223[[#This Row],[Detailed Description]],CompuSystems_2023_2025IA[Total Cost (2023)])</f>
        <v>285</v>
      </c>
      <c r="Q10" s="118">
        <f>SUMIF(CompuSystems_2023_2025IA[Detailed Description],Table162223[[#This Row],[Detailed Description]],CompuSystems_2023_2025IA[Total Cost (2025)])</f>
        <v>285</v>
      </c>
      <c r="R10" s="118">
        <f>SUMIF(CompuSystems_2023_2025IA[Detailed Description],Table162223[[#This Row],[Detailed Description]],CompuSystems_2023_2025IA[Total Cost (2025)])</f>
        <v>285</v>
      </c>
      <c r="S10" s="118">
        <f>SUMIF(CompuSystems_2025COL[Detailed Description],Table162223[[#This Row],[Detailed Description]],CompuSystems_2025COL[Total Cost])</f>
        <v>228</v>
      </c>
      <c r="T10" s="118">
        <f>SUM(Table162223[[#This Row],[CompuSystems2024IC]:[CompuSystems2022COL]])</f>
        <v>12243</v>
      </c>
      <c r="V10" s="122" t="s">
        <v>183</v>
      </c>
      <c r="W10" s="118">
        <f>SUMIF(MCI_2025IC[Detailed Description],Table16222324[[#This Row],[Detailed Description]],MCI_2025IC[Total Cost])</f>
        <v>0</v>
      </c>
      <c r="X10" s="118">
        <f>SUMIF(MCI_2024IC[Detailed Description],Table16222324[[#This Row],[Detailed Description]],MCI_2024IC[Total Cost])</f>
        <v>0</v>
      </c>
      <c r="Y10" s="118">
        <f>SUMIF(MCI_2023IC[Detailed Description],Table16222324[[#This Row],[Detailed Description]],MCI_2023IC[Total Cost])</f>
        <v>0</v>
      </c>
      <c r="Z10" s="118">
        <f>SUMIF(MCI_2023_2025IA[Detailed Description],Table16222324[[#This Row],[Detailed Description]],MCI_2023_2025IA[Total Cost (2023)])</f>
        <v>0</v>
      </c>
      <c r="AA10" s="118">
        <f>SUMIF(MCI_2023_2025IA[Detailed Description],Table16222324[[#This Row],[Detailed Description]],MCI_2023_2025IA[Total Cost (2025)])</f>
        <v>0</v>
      </c>
      <c r="AB10" s="118">
        <f>SUMIF(MCI_2023_2025IA[Detailed Description],Table16222324[[#This Row],[Detailed Description]],MCI_2023_2025IA[Total Cost (2025)])</f>
        <v>0</v>
      </c>
      <c r="AC10" s="118">
        <f>SUMIF(MCI_2025COL[Detailed Description],Table16222324[[#This Row],[Detailed Description]],MCI_2025COL[Total Cost])</f>
        <v>0</v>
      </c>
      <c r="AD10" s="118">
        <f>SUM(Table16222324[[#This Row],[MCI2024IC]:[MCI2022COL]])</f>
        <v>0</v>
      </c>
    </row>
    <row r="11" spans="2:30" x14ac:dyDescent="0.35">
      <c r="B11" s="122" t="s">
        <v>226</v>
      </c>
      <c r="C11" s="118">
        <f>SUMIF(Aventri_2024IC[Detailed Description],Table1622[[#This Row],[Detailed Description]],Aventri_2024IC[Total Cost])</f>
        <v>0</v>
      </c>
      <c r="D11" s="118">
        <f>SUMIF(Aventri_2023IC[Detailed Description],Table1622[[#This Row],[Detailed Description]],Aventri_2023IC[Total Cost])</f>
        <v>0</v>
      </c>
      <c r="E11" s="118">
        <f>SUMIF(Aventri_2022IC[Detailed Description],Table1622[[#This Row],[Detailed Description]],Aventri_2022IC[Total Cost])</f>
        <v>0</v>
      </c>
      <c r="F11" s="118">
        <f>SUMIF(Aventri_2021_2023IA[Detailed Description],Table1622[[#This Row],[Detailed Description]],Aventri_2021_2023IA[Total Cost (2022)])</f>
        <v>0</v>
      </c>
      <c r="G11" s="118">
        <f>SUMIF(Aventri_2021_2023IA[Detailed Description],Table1622[[#This Row],[Detailed Description]],Aventri_2021_2023IA[Total Cost (2023)])</f>
        <v>0</v>
      </c>
      <c r="H11" s="118">
        <f>SUMIF(Aventri_2021_2023IA[Detailed Description],Table1622[[#This Row],[Detailed Description]],Aventri_2021_2023IA[Total Cost (2024)])</f>
        <v>0</v>
      </c>
      <c r="I11" s="118">
        <f>SUMIF(Aventri_2022COL[Detailed Description],Table1622[[#This Row],[Detailed Description]],Aventri_2022COL[Total Cost])</f>
        <v>0</v>
      </c>
      <c r="J11" s="118">
        <f>SUM(Table1622[[#This Row],[Aventri_2024IC]:[Aventri_2022COL]])</f>
        <v>0</v>
      </c>
      <c r="L11" s="122" t="s">
        <v>226</v>
      </c>
      <c r="M11" s="118">
        <f>SUMIF(CompuSystems_2025IC[Detailed Description],Table162223[[#This Row],[Detailed Description]],CompuSystems_2025IC[Total Cost])</f>
        <v>0</v>
      </c>
      <c r="N11" s="118">
        <f>SUMIF(CompuSystems_2024IC[Detailed Description],Table162223[[#This Row],[Detailed Description]],CompuSystems_2024IC[Total Cost])</f>
        <v>0</v>
      </c>
      <c r="O11" s="118">
        <f>SUMIF(CompuSystems_2023IC[Detailed Description],Table162223[[#This Row],[Detailed Description]],CompuSystems_2023IC[Total Cost])</f>
        <v>0</v>
      </c>
      <c r="P11" s="118">
        <f>SUMIF(CompuSystems_2023_2025IA[Detailed Description],Table162223[[#This Row],[Detailed Description]],CompuSystems_2023_2025IA[Total Cost (2023)])</f>
        <v>0</v>
      </c>
      <c r="Q11" s="118">
        <f>SUMIF(CompuSystems_2023_2025IA[Detailed Description],Table162223[[#This Row],[Detailed Description]],CompuSystems_2023_2025IA[Total Cost (2025)])</f>
        <v>0</v>
      </c>
      <c r="R11" s="118">
        <f>SUMIF(CompuSystems_2023_2025IA[Detailed Description],Table162223[[#This Row],[Detailed Description]],CompuSystems_2023_2025IA[Total Cost (2025)])</f>
        <v>0</v>
      </c>
      <c r="S11" s="118">
        <f>SUMIF(CompuSystems_2025COL[Detailed Description],Table162223[[#This Row],[Detailed Description]],CompuSystems_2025COL[Total Cost])</f>
        <v>0</v>
      </c>
      <c r="T11" s="118">
        <f>SUM(Table162223[[#This Row],[CompuSystems2024IC]:[CompuSystems2022COL]])</f>
        <v>0</v>
      </c>
      <c r="V11" s="122" t="s">
        <v>226</v>
      </c>
      <c r="W11" s="118">
        <f>SUMIF(MCI_2025IC[Detailed Description],Table16222324[[#This Row],[Detailed Description]],MCI_2025IC[Total Cost])</f>
        <v>4000</v>
      </c>
      <c r="X11" s="118">
        <f>SUMIF(MCI_2024IC[Detailed Description],Table16222324[[#This Row],[Detailed Description]],MCI_2024IC[Total Cost])</f>
        <v>4000</v>
      </c>
      <c r="Y11" s="118">
        <f>SUMIF(MCI_2023IC[Detailed Description],Table16222324[[#This Row],[Detailed Description]],MCI_2023IC[Total Cost])</f>
        <v>4000</v>
      </c>
      <c r="Z11" s="118">
        <f>SUMIF(MCI_2023_2025IA[Detailed Description],Table16222324[[#This Row],[Detailed Description]],MCI_2023_2025IA[Total Cost (2023)])</f>
        <v>945</v>
      </c>
      <c r="AA11" s="118">
        <f>SUMIF(MCI_2023_2025IA[Detailed Description],Table16222324[[#This Row],[Detailed Description]],MCI_2023_2025IA[Total Cost (2025)])</f>
        <v>945</v>
      </c>
      <c r="AB11" s="118">
        <f>SUMIF(MCI_2023_2025IA[Detailed Description],Table16222324[[#This Row],[Detailed Description]],MCI_2023_2025IA[Total Cost (2025)])</f>
        <v>945</v>
      </c>
      <c r="AC11" s="118">
        <f>SUMIF(MCI_2025COL[Detailed Description],Table16222324[[#This Row],[Detailed Description]],MCI_2025COL[Total Cost])</f>
        <v>945</v>
      </c>
      <c r="AD11" s="118">
        <f>SUM(Table16222324[[#This Row],[MCI2024IC]:[MCI2022COL]])</f>
        <v>15780</v>
      </c>
    </row>
    <row r="12" spans="2:30" x14ac:dyDescent="0.35">
      <c r="B12" s="122" t="s">
        <v>228</v>
      </c>
      <c r="C12" s="118">
        <f>SUMIF(Aventri_2024IC[Detailed Description],Table1622[[#This Row],[Detailed Description]],Aventri_2024IC[Total Cost])</f>
        <v>0</v>
      </c>
      <c r="D12" s="118">
        <f>SUMIF(Aventri_2023IC[Detailed Description],Table1622[[#This Row],[Detailed Description]],Aventri_2023IC[Total Cost])</f>
        <v>0</v>
      </c>
      <c r="E12" s="118">
        <f>SUMIF(Aventri_2022IC[Detailed Description],Table1622[[#This Row],[Detailed Description]],Aventri_2022IC[Total Cost])</f>
        <v>0</v>
      </c>
      <c r="F12" s="118">
        <f>SUMIF(Aventri_2021_2023IA[Detailed Description],Table1622[[#This Row],[Detailed Description]],Aventri_2021_2023IA[Total Cost (2022)])</f>
        <v>0</v>
      </c>
      <c r="G12" s="118">
        <f>SUMIF(Aventri_2021_2023IA[Detailed Description],Table1622[[#This Row],[Detailed Description]],Aventri_2021_2023IA[Total Cost (2023)])</f>
        <v>0</v>
      </c>
      <c r="H12" s="118">
        <f>SUMIF(Aventri_2021_2023IA[Detailed Description],Table1622[[#This Row],[Detailed Description]],Aventri_2021_2023IA[Total Cost (2024)])</f>
        <v>0</v>
      </c>
      <c r="I12" s="118">
        <f>SUMIF(Aventri_2022COL[Detailed Description],Table1622[[#This Row],[Detailed Description]],Aventri_2022COL[Total Cost])</f>
        <v>0</v>
      </c>
      <c r="J12" s="118">
        <f>SUM(Table1622[[#This Row],[Aventri_2024IC]:[Aventri_2022COL]])</f>
        <v>0</v>
      </c>
      <c r="L12" s="122" t="s">
        <v>228</v>
      </c>
      <c r="M12" s="118">
        <f>SUMIF(CompuSystems_2025IC[Detailed Description],Table162223[[#This Row],[Detailed Description]],CompuSystems_2025IC[Total Cost])</f>
        <v>0</v>
      </c>
      <c r="N12" s="118">
        <f>SUMIF(CompuSystems_2024IC[Detailed Description],Table162223[[#This Row],[Detailed Description]],CompuSystems_2024IC[Total Cost])</f>
        <v>0</v>
      </c>
      <c r="O12" s="118">
        <f>SUMIF(CompuSystems_2023IC[Detailed Description],Table162223[[#This Row],[Detailed Description]],CompuSystems_2023IC[Total Cost])</f>
        <v>0</v>
      </c>
      <c r="P12" s="118">
        <f>SUMIF(CompuSystems_2023_2025IA[Detailed Description],Table162223[[#This Row],[Detailed Description]],CompuSystems_2023_2025IA[Total Cost (2023)])</f>
        <v>0</v>
      </c>
      <c r="Q12" s="118">
        <f>SUMIF(CompuSystems_2023_2025IA[Detailed Description],Table162223[[#This Row],[Detailed Description]],CompuSystems_2023_2025IA[Total Cost (2025)])</f>
        <v>0</v>
      </c>
      <c r="R12" s="118">
        <f>SUMIF(CompuSystems_2023_2025IA[Detailed Description],Table162223[[#This Row],[Detailed Description]],CompuSystems_2023_2025IA[Total Cost (2025)])</f>
        <v>0</v>
      </c>
      <c r="S12" s="118">
        <f>SUMIF(CompuSystems_2025COL[Detailed Description],Table162223[[#This Row],[Detailed Description]],CompuSystems_2025COL[Total Cost])</f>
        <v>0</v>
      </c>
      <c r="T12" s="118">
        <f>SUM(Table162223[[#This Row],[CompuSystems2024IC]:[CompuSystems2022COL]])</f>
        <v>0</v>
      </c>
      <c r="V12" s="122" t="s">
        <v>228</v>
      </c>
      <c r="W12" s="118">
        <f>SUMIF(MCI_2025IC[Detailed Description],Table16222324[[#This Row],[Detailed Description]],MCI_2025IC[Total Cost])</f>
        <v>9000</v>
      </c>
      <c r="X12" s="118">
        <f>SUMIF(MCI_2024IC[Detailed Description],Table16222324[[#This Row],[Detailed Description]],MCI_2024IC[Total Cost])</f>
        <v>9000</v>
      </c>
      <c r="Y12" s="118">
        <f>SUMIF(MCI_2023IC[Detailed Description],Table16222324[[#This Row],[Detailed Description]],MCI_2023IC[Total Cost])</f>
        <v>9000</v>
      </c>
      <c r="Z12" s="118">
        <f>SUMIF(MCI_2023_2025IA[Detailed Description],Table16222324[[#This Row],[Detailed Description]],MCI_2023_2025IA[Total Cost (2023)])</f>
        <v>1320</v>
      </c>
      <c r="AA12" s="118">
        <f>SUMIF(MCI_2023_2025IA[Detailed Description],Table16222324[[#This Row],[Detailed Description]],MCI_2023_2025IA[Total Cost (2025)])</f>
        <v>1320</v>
      </c>
      <c r="AB12" s="118">
        <f>SUMIF(MCI_2023_2025IA[Detailed Description],Table16222324[[#This Row],[Detailed Description]],MCI_2023_2025IA[Total Cost (2025)])</f>
        <v>1320</v>
      </c>
      <c r="AC12" s="118">
        <f>SUMIF(MCI_2025COL[Detailed Description],Table16222324[[#This Row],[Detailed Description]],MCI_2025COL[Total Cost])</f>
        <v>1320</v>
      </c>
      <c r="AD12" s="118">
        <f>SUM(Table16222324[[#This Row],[MCI2024IC]:[MCI2022COL]])</f>
        <v>32280</v>
      </c>
    </row>
    <row r="13" spans="2:30" x14ac:dyDescent="0.35">
      <c r="B13" s="123" t="s">
        <v>210</v>
      </c>
      <c r="C13" s="118">
        <f>SUMIF(Aventri_2024IC[Detailed Description],Table1622[[#This Row],[Detailed Description]],Aventri_2024IC[Total Cost])</f>
        <v>0</v>
      </c>
      <c r="D13" s="118">
        <f>SUMIF(Aventri_2023IC[Detailed Description],Table1622[[#This Row],[Detailed Description]],Aventri_2023IC[Total Cost])</f>
        <v>0</v>
      </c>
      <c r="E13" s="118">
        <f>SUMIF(Aventri_2022IC[Detailed Description],Table1622[[#This Row],[Detailed Description]],Aventri_2022IC[Total Cost])</f>
        <v>0</v>
      </c>
      <c r="F13" s="118">
        <f>SUMIF(Aventri_2021_2023IA[Detailed Description],Table1622[[#This Row],[Detailed Description]],Aventri_2021_2023IA[Total Cost (2022)])</f>
        <v>0</v>
      </c>
      <c r="G13" s="118">
        <f>SUMIF(Aventri_2021_2023IA[Detailed Description],Table1622[[#This Row],[Detailed Description]],Aventri_2021_2023IA[Total Cost (2023)])</f>
        <v>0</v>
      </c>
      <c r="H13" s="118">
        <f>SUMIF(Aventri_2021_2023IA[Detailed Description],Table1622[[#This Row],[Detailed Description]],Aventri_2021_2023IA[Total Cost (2024)])</f>
        <v>0</v>
      </c>
      <c r="I13" s="118">
        <f>SUMIF(Aventri_2022COL[Detailed Description],Table1622[[#This Row],[Detailed Description]],Aventri_2022COL[Total Cost])</f>
        <v>0</v>
      </c>
      <c r="J13" s="118">
        <f>SUM(Table1622[[#This Row],[Aventri_2024IC]:[Aventri_2022COL]])</f>
        <v>0</v>
      </c>
      <c r="L13" s="123" t="s">
        <v>210</v>
      </c>
      <c r="M13" s="118">
        <f>SUMIF(CompuSystems_2025IC[Detailed Description],Table162223[[#This Row],[Detailed Description]],CompuSystems_2025IC[Total Cost])</f>
        <v>0</v>
      </c>
      <c r="N13" s="118">
        <f>SUMIF(CompuSystems_2024IC[Detailed Description],Table162223[[#This Row],[Detailed Description]],CompuSystems_2024IC[Total Cost])</f>
        <v>0</v>
      </c>
      <c r="O13" s="118">
        <f>SUMIF(CompuSystems_2023IC[Detailed Description],Table162223[[#This Row],[Detailed Description]],CompuSystems_2023IC[Total Cost])</f>
        <v>0</v>
      </c>
      <c r="P13" s="118">
        <f>SUMIF(CompuSystems_2023_2025IA[Detailed Description],Table162223[[#This Row],[Detailed Description]],CompuSystems_2023_2025IA[Total Cost (2023)])</f>
        <v>0</v>
      </c>
      <c r="Q13" s="118">
        <f>SUMIF(CompuSystems_2023_2025IA[Detailed Description],Table162223[[#This Row],[Detailed Description]],CompuSystems_2023_2025IA[Total Cost (2025)])</f>
        <v>0</v>
      </c>
      <c r="R13" s="118">
        <f>SUMIF(CompuSystems_2023_2025IA[Detailed Description],Table162223[[#This Row],[Detailed Description]],CompuSystems_2023_2025IA[Total Cost (2025)])</f>
        <v>0</v>
      </c>
      <c r="S13" s="118">
        <f>SUMIF(CompuSystems_2025COL[Detailed Description],Table162223[[#This Row],[Detailed Description]],CompuSystems_2025COL[Total Cost])</f>
        <v>0</v>
      </c>
      <c r="T13" s="118">
        <f>SUM(Table162223[[#This Row],[CompuSystems2024IC]:[CompuSystems2022COL]])</f>
        <v>0</v>
      </c>
      <c r="V13" s="123" t="s">
        <v>210</v>
      </c>
      <c r="W13" s="118">
        <f>SUMIF(MCI_2025IC[Detailed Description],Table16222324[[#This Row],[Detailed Description]],MCI_2025IC[Total Cost])</f>
        <v>0</v>
      </c>
      <c r="X13" s="118">
        <f>SUMIF(MCI_2024IC[Detailed Description],Table16222324[[#This Row],[Detailed Description]],MCI_2024IC[Total Cost])</f>
        <v>0</v>
      </c>
      <c r="Y13" s="118">
        <f>SUMIF(MCI_2023IC[Detailed Description],Table16222324[[#This Row],[Detailed Description]],MCI_2023IC[Total Cost])</f>
        <v>0</v>
      </c>
      <c r="Z13" s="118">
        <f>SUMIF(MCI_2023_2025IA[Detailed Description],Table16222324[[#This Row],[Detailed Description]],MCI_2023_2025IA[Total Cost (2023)])</f>
        <v>0</v>
      </c>
      <c r="AA13" s="118">
        <f>SUMIF(MCI_2023_2025IA[Detailed Description],Table16222324[[#This Row],[Detailed Description]],MCI_2023_2025IA[Total Cost (2025)])</f>
        <v>0</v>
      </c>
      <c r="AB13" s="118">
        <f>SUMIF(MCI_2023_2025IA[Detailed Description],Table16222324[[#This Row],[Detailed Description]],MCI_2023_2025IA[Total Cost (2025)])</f>
        <v>0</v>
      </c>
      <c r="AC13" s="118">
        <f>SUMIF(MCI_2025COL[Detailed Description],Table16222324[[#This Row],[Detailed Description]],MCI_2025COL[Total Cost])</f>
        <v>0</v>
      </c>
      <c r="AD13" s="118">
        <f>SUM(Table16222324[[#This Row],[MCI2024IC]:[MCI2022COL]])</f>
        <v>0</v>
      </c>
    </row>
    <row r="14" spans="2:30" x14ac:dyDescent="0.35">
      <c r="B14" s="123" t="s">
        <v>246</v>
      </c>
      <c r="C14" s="118">
        <f>SUMIF(Aventri_2024IC[Detailed Description],Table1622[[#This Row],[Detailed Description]],Aventri_2024IC[Total Cost])</f>
        <v>3000</v>
      </c>
      <c r="D14" s="118">
        <f>SUMIF(Aventri_2023IC[Detailed Description],Table1622[[#This Row],[Detailed Description]],Aventri_2023IC[Total Cost])</f>
        <v>3000</v>
      </c>
      <c r="E14" s="118">
        <f>SUMIF(Aventri_2022IC[Detailed Description],Table1622[[#This Row],[Detailed Description]],Aventri_2022IC[Total Cost])</f>
        <v>3000</v>
      </c>
      <c r="F14" s="118">
        <f>SUMIF(Aventri_2021_2023IA[Detailed Description],Table1622[[#This Row],[Detailed Description]],Aventri_2021_2023IA[Total Cost (2022)])</f>
        <v>0</v>
      </c>
      <c r="G14" s="118">
        <f>SUMIF(Aventri_2021_2023IA[Detailed Description],Table1622[[#This Row],[Detailed Description]],Aventri_2021_2023IA[Total Cost (2023)])</f>
        <v>0</v>
      </c>
      <c r="H14" s="118">
        <f>SUMIF(Aventri_2021_2023IA[Detailed Description],Table1622[[#This Row],[Detailed Description]],Aventri_2021_2023IA[Total Cost (2024)])</f>
        <v>0</v>
      </c>
      <c r="I14" s="118">
        <f>SUMIF(Aventri_2022COL[Detailed Description],Table1622[[#This Row],[Detailed Description]],Aventri_2022COL[Total Cost])</f>
        <v>0</v>
      </c>
      <c r="J14" s="118">
        <f>SUM(Table1622[[#This Row],[Aventri_2024IC]:[Aventri_2022COL]])</f>
        <v>9000</v>
      </c>
      <c r="L14" s="123" t="s">
        <v>246</v>
      </c>
      <c r="M14" s="118">
        <f>SUMIF(CompuSystems_2025IC[Detailed Description],Table162223[[#This Row],[Detailed Description]],CompuSystems_2025IC[Total Cost])</f>
        <v>0</v>
      </c>
      <c r="N14" s="118">
        <f>SUMIF(CompuSystems_2024IC[Detailed Description],Table162223[[#This Row],[Detailed Description]],CompuSystems_2024IC[Total Cost])</f>
        <v>0</v>
      </c>
      <c r="O14" s="118">
        <f>SUMIF(CompuSystems_2023IC[Detailed Description],Table162223[[#This Row],[Detailed Description]],CompuSystems_2023IC[Total Cost])</f>
        <v>2100</v>
      </c>
      <c r="P14" s="118">
        <f>SUMIF(CompuSystems_2023_2025IA[Detailed Description],Table162223[[#This Row],[Detailed Description]],CompuSystems_2023_2025IA[Total Cost (2023)])</f>
        <v>0</v>
      </c>
      <c r="Q14" s="118">
        <f>SUMIF(CompuSystems_2023_2025IA[Detailed Description],Table162223[[#This Row],[Detailed Description]],CompuSystems_2023_2025IA[Total Cost (2025)])</f>
        <v>0</v>
      </c>
      <c r="R14" s="118">
        <f>SUMIF(CompuSystems_2023_2025IA[Detailed Description],Table162223[[#This Row],[Detailed Description]],CompuSystems_2023_2025IA[Total Cost (2025)])</f>
        <v>0</v>
      </c>
      <c r="S14" s="118">
        <f>SUMIF(CompuSystems_2025COL[Detailed Description],Table162223[[#This Row],[Detailed Description]],CompuSystems_2025COL[Total Cost])</f>
        <v>0</v>
      </c>
      <c r="T14" s="118">
        <f>SUM(Table162223[[#This Row],[CompuSystems2024IC]:[CompuSystems2022COL]])</f>
        <v>2100</v>
      </c>
      <c r="V14" s="123" t="s">
        <v>246</v>
      </c>
      <c r="W14" s="118">
        <f>SUMIF(MCI_2025IC[Detailed Description],Table16222324[[#This Row],[Detailed Description]],MCI_2025IC[Total Cost])</f>
        <v>0</v>
      </c>
      <c r="X14" s="118">
        <f>SUMIF(MCI_2024IC[Detailed Description],Table16222324[[#This Row],[Detailed Description]],MCI_2024IC[Total Cost])</f>
        <v>0</v>
      </c>
      <c r="Y14" s="118">
        <f>SUMIF(MCI_2023IC[Detailed Description],Table16222324[[#This Row],[Detailed Description]],MCI_2023IC[Total Cost])</f>
        <v>7500</v>
      </c>
      <c r="Z14" s="118">
        <f>SUMIF(MCI_2023_2025IA[Detailed Description],Table16222324[[#This Row],[Detailed Description]],MCI_2023_2025IA[Total Cost (2023)])</f>
        <v>0</v>
      </c>
      <c r="AA14" s="118">
        <f>SUMIF(MCI_2023_2025IA[Detailed Description],Table16222324[[#This Row],[Detailed Description]],MCI_2023_2025IA[Total Cost (2025)])</f>
        <v>0</v>
      </c>
      <c r="AB14" s="118">
        <f>SUMIF(MCI_2023_2025IA[Detailed Description],Table16222324[[#This Row],[Detailed Description]],MCI_2023_2025IA[Total Cost (2025)])</f>
        <v>0</v>
      </c>
      <c r="AC14" s="118">
        <f>SUMIF(MCI_2025COL[Detailed Description],Table16222324[[#This Row],[Detailed Description]],MCI_2025COL[Total Cost])</f>
        <v>0</v>
      </c>
      <c r="AD14" s="118">
        <f>SUM(Table16222324[[#This Row],[MCI2024IC]:[MCI2022COL]])</f>
        <v>7500</v>
      </c>
    </row>
    <row r="15" spans="2:30" x14ac:dyDescent="0.35">
      <c r="B15" s="124" t="s">
        <v>161</v>
      </c>
      <c r="C15" s="118">
        <f>SUMIF(Aventri_2024IC[Detailed Description],Table1622[[#This Row],[Detailed Description]],Aventri_2024IC[Total Cost])</f>
        <v>0</v>
      </c>
      <c r="D15" s="118">
        <f>SUMIF(Aventri_2023IC[Detailed Description],Table1622[[#This Row],[Detailed Description]],Aventri_2023IC[Total Cost])</f>
        <v>0</v>
      </c>
      <c r="E15" s="118">
        <f>SUMIF(Aventri_2022IC[Detailed Description],Table1622[[#This Row],[Detailed Description]],Aventri_2022IC[Total Cost])</f>
        <v>0</v>
      </c>
      <c r="F15" s="118">
        <f>SUMIF(Aventri_2021_2023IA[Detailed Description],Table1622[[#This Row],[Detailed Description]],Aventri_2021_2023IA[Total Cost (2022)])</f>
        <v>0</v>
      </c>
      <c r="G15" s="118">
        <f>SUMIF(Aventri_2021_2023IA[Detailed Description],Table1622[[#This Row],[Detailed Description]],Aventri_2021_2023IA[Total Cost (2023)])</f>
        <v>0</v>
      </c>
      <c r="H15" s="118">
        <f>SUMIF(Aventri_2021_2023IA[Detailed Description],Table1622[[#This Row],[Detailed Description]],Aventri_2021_2023IA[Total Cost (2024)])</f>
        <v>0</v>
      </c>
      <c r="I15" s="118">
        <f>SUMIF(Aventri_2022COL[Detailed Description],Table1622[[#This Row],[Detailed Description]],Aventri_2022COL[Total Cost])</f>
        <v>0</v>
      </c>
      <c r="J15" s="118">
        <f>SUM(Table1622[[#This Row],[Aventri_2024IC]:[Aventri_2022COL]])</f>
        <v>0</v>
      </c>
      <c r="L15" s="124" t="s">
        <v>161</v>
      </c>
      <c r="M15" s="118">
        <f>SUMIF(CompuSystems_2025IC[Detailed Description],Table162223[[#This Row],[Detailed Description]],CompuSystems_2025IC[Total Cost])</f>
        <v>0</v>
      </c>
      <c r="N15" s="118">
        <f>SUMIF(CompuSystems_2024IC[Detailed Description],Table162223[[#This Row],[Detailed Description]],CompuSystems_2024IC[Total Cost])</f>
        <v>0</v>
      </c>
      <c r="O15" s="118">
        <f>SUMIF(CompuSystems_2023IC[Detailed Description],Table162223[[#This Row],[Detailed Description]],CompuSystems_2023IC[Total Cost])</f>
        <v>0</v>
      </c>
      <c r="P15" s="118">
        <f>SUMIF(CompuSystems_2023_2025IA[Detailed Description],Table162223[[#This Row],[Detailed Description]],CompuSystems_2023_2025IA[Total Cost (2023)])</f>
        <v>0</v>
      </c>
      <c r="Q15" s="118">
        <f>SUMIF(CompuSystems_2023_2025IA[Detailed Description],Table162223[[#This Row],[Detailed Description]],CompuSystems_2023_2025IA[Total Cost (2025)])</f>
        <v>0</v>
      </c>
      <c r="R15" s="118">
        <f>SUMIF(CompuSystems_2023_2025IA[Detailed Description],Table162223[[#This Row],[Detailed Description]],CompuSystems_2023_2025IA[Total Cost (2025)])</f>
        <v>0</v>
      </c>
      <c r="S15" s="118">
        <f>SUMIF(CompuSystems_2025COL[Detailed Description],Table162223[[#This Row],[Detailed Description]],CompuSystems_2025COL[Total Cost])</f>
        <v>0</v>
      </c>
      <c r="T15" s="118">
        <f>SUM(Table162223[[#This Row],[CompuSystems2024IC]:[CompuSystems2022COL]])</f>
        <v>0</v>
      </c>
      <c r="V15" s="124" t="s">
        <v>161</v>
      </c>
      <c r="W15" s="118">
        <f>SUMIF(MCI_2025IC[Detailed Description],Table16222324[[#This Row],[Detailed Description]],MCI_2025IC[Total Cost])</f>
        <v>0</v>
      </c>
      <c r="X15" s="118">
        <f>SUMIF(MCI_2024IC[Detailed Description],Table16222324[[#This Row],[Detailed Description]],MCI_2024IC[Total Cost])</f>
        <v>0</v>
      </c>
      <c r="Y15" s="118">
        <f>SUMIF(MCI_2023IC[Detailed Description],Table16222324[[#This Row],[Detailed Description]],MCI_2023IC[Total Cost])</f>
        <v>0</v>
      </c>
      <c r="Z15" s="118">
        <f>SUMIF(MCI_2023_2025IA[Detailed Description],Table16222324[[#This Row],[Detailed Description]],MCI_2023_2025IA[Total Cost (2023)])</f>
        <v>0</v>
      </c>
      <c r="AA15" s="118">
        <f>SUMIF(MCI_2023_2025IA[Detailed Description],Table16222324[[#This Row],[Detailed Description]],MCI_2023_2025IA[Total Cost (2025)])</f>
        <v>0</v>
      </c>
      <c r="AB15" s="118">
        <f>SUMIF(MCI_2023_2025IA[Detailed Description],Table16222324[[#This Row],[Detailed Description]],MCI_2023_2025IA[Total Cost (2025)])</f>
        <v>0</v>
      </c>
      <c r="AC15" s="118">
        <f>SUMIF(MCI_2025COL[Detailed Description],Table16222324[[#This Row],[Detailed Description]],MCI_2025COL[Total Cost])</f>
        <v>0</v>
      </c>
      <c r="AD15" s="118">
        <f>SUM(Table16222324[[#This Row],[MCI2024IC]:[MCI2022COL]])</f>
        <v>0</v>
      </c>
    </row>
    <row r="16" spans="2:30" x14ac:dyDescent="0.35">
      <c r="B16" s="124" t="s">
        <v>168</v>
      </c>
      <c r="C16" s="118">
        <f>SUMIF(Aventri_2024IC[Detailed Description],Table1622[[#This Row],[Detailed Description]],Aventri_2024IC[Total Cost])</f>
        <v>20000</v>
      </c>
      <c r="D16" s="118">
        <f>SUMIF(Aventri_2023IC[Detailed Description],Table1622[[#This Row],[Detailed Description]],Aventri_2023IC[Total Cost])</f>
        <v>20000</v>
      </c>
      <c r="E16" s="118">
        <f>SUMIF(Aventri_2022IC[Detailed Description],Table1622[[#This Row],[Detailed Description]],Aventri_2022IC[Total Cost])</f>
        <v>20000</v>
      </c>
      <c r="F16" s="118">
        <f>SUMIF(Aventri_2021_2023IA[Detailed Description],Table1622[[#This Row],[Detailed Description]],Aventri_2021_2023IA[Total Cost (2022)])</f>
        <v>0</v>
      </c>
      <c r="G16" s="118">
        <f>SUMIF(Aventri_2021_2023IA[Detailed Description],Table1622[[#This Row],[Detailed Description]],Aventri_2021_2023IA[Total Cost (2023)])</f>
        <v>0</v>
      </c>
      <c r="H16" s="118">
        <f>SUMIF(Aventri_2021_2023IA[Detailed Description],Table1622[[#This Row],[Detailed Description]],Aventri_2021_2023IA[Total Cost (2024)])</f>
        <v>0</v>
      </c>
      <c r="I16" s="118">
        <f>SUMIF(Aventri_2022COL[Detailed Description],Table1622[[#This Row],[Detailed Description]],Aventri_2022COL[Total Cost])</f>
        <v>0</v>
      </c>
      <c r="J16" s="118">
        <f>SUM(Table1622[[#This Row],[Aventri_2024IC]:[Aventri_2022COL]])</f>
        <v>60000</v>
      </c>
      <c r="L16" s="124" t="s">
        <v>168</v>
      </c>
      <c r="M16" s="118">
        <f>SUMIF(CompuSystems_2025IC[Detailed Description],Table162223[[#This Row],[Detailed Description]],CompuSystems_2025IC[Total Cost])</f>
        <v>0</v>
      </c>
      <c r="N16" s="118">
        <f>SUMIF(CompuSystems_2024IC[Detailed Description],Table162223[[#This Row],[Detailed Description]],CompuSystems_2024IC[Total Cost])</f>
        <v>0</v>
      </c>
      <c r="O16" s="118">
        <f>SUMIF(CompuSystems_2023IC[Detailed Description],Table162223[[#This Row],[Detailed Description]],CompuSystems_2023IC[Total Cost])</f>
        <v>0</v>
      </c>
      <c r="P16" s="118">
        <f>SUMIF(CompuSystems_2023_2025IA[Detailed Description],Table162223[[#This Row],[Detailed Description]],CompuSystems_2023_2025IA[Total Cost (2023)])</f>
        <v>0</v>
      </c>
      <c r="Q16" s="118">
        <f>SUMIF(CompuSystems_2023_2025IA[Detailed Description],Table162223[[#This Row],[Detailed Description]],CompuSystems_2023_2025IA[Total Cost (2025)])</f>
        <v>0</v>
      </c>
      <c r="R16" s="118">
        <f>SUMIF(CompuSystems_2023_2025IA[Detailed Description],Table162223[[#This Row],[Detailed Description]],CompuSystems_2023_2025IA[Total Cost (2025)])</f>
        <v>0</v>
      </c>
      <c r="S16" s="118">
        <f>SUMIF(CompuSystems_2025COL[Detailed Description],Table162223[[#This Row],[Detailed Description]],CompuSystems_2025COL[Total Cost])</f>
        <v>0</v>
      </c>
      <c r="T16" s="118">
        <f>SUM(Table162223[[#This Row],[CompuSystems2024IC]:[CompuSystems2022COL]])</f>
        <v>0</v>
      </c>
      <c r="V16" s="124" t="s">
        <v>168</v>
      </c>
      <c r="W16" s="118">
        <f>SUMIF(MCI_2025IC[Detailed Description],Table16222324[[#This Row],[Detailed Description]],MCI_2025IC[Total Cost])</f>
        <v>0</v>
      </c>
      <c r="X16" s="118">
        <f>SUMIF(MCI_2024IC[Detailed Description],Table16222324[[#This Row],[Detailed Description]],MCI_2024IC[Total Cost])</f>
        <v>0</v>
      </c>
      <c r="Y16" s="118">
        <f>SUMIF(MCI_2023IC[Detailed Description],Table16222324[[#This Row],[Detailed Description]],MCI_2023IC[Total Cost])</f>
        <v>0</v>
      </c>
      <c r="Z16" s="118">
        <f>SUMIF(MCI_2023_2025IA[Detailed Description],Table16222324[[#This Row],[Detailed Description]],MCI_2023_2025IA[Total Cost (2023)])</f>
        <v>0</v>
      </c>
      <c r="AA16" s="118">
        <f>SUMIF(MCI_2023_2025IA[Detailed Description],Table16222324[[#This Row],[Detailed Description]],MCI_2023_2025IA[Total Cost (2025)])</f>
        <v>0</v>
      </c>
      <c r="AB16" s="118">
        <f>SUMIF(MCI_2023_2025IA[Detailed Description],Table16222324[[#This Row],[Detailed Description]],MCI_2023_2025IA[Total Cost (2025)])</f>
        <v>0</v>
      </c>
      <c r="AC16" s="118">
        <f>SUMIF(MCI_2025COL[Detailed Description],Table16222324[[#This Row],[Detailed Description]],MCI_2025COL[Total Cost])</f>
        <v>0</v>
      </c>
      <c r="AD16" s="118">
        <f>SUM(Table16222324[[#This Row],[MCI2024IC]:[MCI2022COL]])</f>
        <v>0</v>
      </c>
    </row>
    <row r="17" spans="2:30" x14ac:dyDescent="0.35">
      <c r="B17" s="122" t="s">
        <v>202</v>
      </c>
      <c r="C17" s="118">
        <f>SUMIF(Aventri_2024IC[Detailed Description],Table1622[[#This Row],[Detailed Description]],Aventri_2024IC[Total Cost])</f>
        <v>3400</v>
      </c>
      <c r="D17" s="118">
        <f>SUMIF(Aventri_2023IC[Detailed Description],Table1622[[#This Row],[Detailed Description]],Aventri_2023IC[Total Cost])</f>
        <v>3400</v>
      </c>
      <c r="E17" s="118">
        <f>SUMIF(Aventri_2022IC[Detailed Description],Table1622[[#This Row],[Detailed Description]],Aventri_2022IC[Total Cost])</f>
        <v>5648</v>
      </c>
      <c r="F17" s="118">
        <f>SUMIF(Aventri_2021_2023IA[Detailed Description],Table1622[[#This Row],[Detailed Description]],Aventri_2021_2023IA[Total Cost (2022)])</f>
        <v>2800</v>
      </c>
      <c r="G17" s="118">
        <f>SUMIF(Aventri_2021_2023IA[Detailed Description],Table1622[[#This Row],[Detailed Description]],Aventri_2021_2023IA[Total Cost (2023)])</f>
        <v>2800</v>
      </c>
      <c r="H17" s="118">
        <f>SUMIF(Aventri_2021_2023IA[Detailed Description],Table1622[[#This Row],[Detailed Description]],Aventri_2021_2023IA[Total Cost (2024)])</f>
        <v>2800</v>
      </c>
      <c r="I17" s="118">
        <f>SUMIF(Aventri_2022COL[Detailed Description],Table1622[[#This Row],[Detailed Description]],Aventri_2022COL[Total Cost])</f>
        <v>2800</v>
      </c>
      <c r="J17" s="118">
        <f>SUM(Table1622[[#This Row],[Aventri_2024IC]:[Aventri_2022COL]])</f>
        <v>23648</v>
      </c>
      <c r="L17" s="122" t="s">
        <v>202</v>
      </c>
      <c r="M17" s="118">
        <f>SUMIF(CompuSystems_2025IC[Detailed Description],Table162223[[#This Row],[Detailed Description]],CompuSystems_2025IC[Total Cost])</f>
        <v>18000</v>
      </c>
      <c r="N17" s="118">
        <f>SUMIF(CompuSystems_2024IC[Detailed Description],Table162223[[#This Row],[Detailed Description]],CompuSystems_2024IC[Total Cost])</f>
        <v>15000</v>
      </c>
      <c r="O17" s="118">
        <f>SUMIF(CompuSystems_2023IC[Detailed Description],Table162223[[#This Row],[Detailed Description]],CompuSystems_2023IC[Total Cost])</f>
        <v>4000</v>
      </c>
      <c r="P17" s="118">
        <f>SUMIF(CompuSystems_2023_2025IA[Detailed Description],Table162223[[#This Row],[Detailed Description]],CompuSystems_2023_2025IA[Total Cost (2023)])</f>
        <v>4500</v>
      </c>
      <c r="Q17" s="118">
        <f>SUMIF(CompuSystems_2023_2025IA[Detailed Description],Table162223[[#This Row],[Detailed Description]],CompuSystems_2023_2025IA[Total Cost (2025)])</f>
        <v>4500</v>
      </c>
      <c r="R17" s="118">
        <f>SUMIF(CompuSystems_2023_2025IA[Detailed Description],Table162223[[#This Row],[Detailed Description]],CompuSystems_2023_2025IA[Total Cost (2025)])</f>
        <v>4500</v>
      </c>
      <c r="S17" s="118">
        <f>SUMIF(CompuSystems_2025COL[Detailed Description],Table162223[[#This Row],[Detailed Description]],CompuSystems_2025COL[Total Cost])</f>
        <v>500</v>
      </c>
      <c r="T17" s="118">
        <f>SUM(Table162223[[#This Row],[CompuSystems2024IC]:[CompuSystems2022COL]])</f>
        <v>51000</v>
      </c>
      <c r="V17" s="122" t="s">
        <v>202</v>
      </c>
      <c r="W17" s="118">
        <f>SUMIF(MCI_2025IC[Detailed Description],Table16222324[[#This Row],[Detailed Description]],MCI_2025IC[Total Cost])</f>
        <v>1700</v>
      </c>
      <c r="X17" s="118">
        <f>SUMIF(MCI_2024IC[Detailed Description],Table16222324[[#This Row],[Detailed Description]],MCI_2024IC[Total Cost])</f>
        <v>1700</v>
      </c>
      <c r="Y17" s="118">
        <f>SUMIF(MCI_2023IC[Detailed Description],Table16222324[[#This Row],[Detailed Description]],MCI_2023IC[Total Cost])</f>
        <v>2824</v>
      </c>
      <c r="Z17" s="118">
        <f>SUMIF(MCI_2023_2025IA[Detailed Description],Table16222324[[#This Row],[Detailed Description]],MCI_2023_2025IA[Total Cost (2023)])</f>
        <v>2800</v>
      </c>
      <c r="AA17" s="118">
        <f>SUMIF(MCI_2023_2025IA[Detailed Description],Table16222324[[#This Row],[Detailed Description]],MCI_2023_2025IA[Total Cost (2025)])</f>
        <v>2800</v>
      </c>
      <c r="AB17" s="118">
        <f>SUMIF(MCI_2023_2025IA[Detailed Description],Table16222324[[#This Row],[Detailed Description]],MCI_2023_2025IA[Total Cost (2025)])</f>
        <v>2800</v>
      </c>
      <c r="AC17" s="118">
        <f>SUMIF(MCI_2025COL[Detailed Description],Table16222324[[#This Row],[Detailed Description]],MCI_2025COL[Total Cost])</f>
        <v>2800</v>
      </c>
      <c r="AD17" s="118">
        <f>SUM(Table16222324[[#This Row],[MCI2024IC]:[MCI2022COL]])</f>
        <v>17424</v>
      </c>
    </row>
    <row r="18" spans="2:30" x14ac:dyDescent="0.35">
      <c r="B18" s="122" t="s">
        <v>205</v>
      </c>
      <c r="C18" s="118">
        <f>SUMIF(Aventri_2024IC[Detailed Description],Table1622[[#This Row],[Detailed Description]],Aventri_2024IC[Total Cost])</f>
        <v>3000</v>
      </c>
      <c r="D18" s="118">
        <f>SUMIF(Aventri_2023IC[Detailed Description],Table1622[[#This Row],[Detailed Description]],Aventri_2023IC[Total Cost])</f>
        <v>3000</v>
      </c>
      <c r="E18" s="118">
        <f>SUMIF(Aventri_2022IC[Detailed Description],Table1622[[#This Row],[Detailed Description]],Aventri_2022IC[Total Cost])</f>
        <v>3000</v>
      </c>
      <c r="F18" s="118">
        <f>SUMIF(Aventri_2021_2023IA[Detailed Description],Table1622[[#This Row],[Detailed Description]],Aventri_2021_2023IA[Total Cost (2022)])</f>
        <v>3000</v>
      </c>
      <c r="G18" s="118">
        <f>SUMIF(Aventri_2021_2023IA[Detailed Description],Table1622[[#This Row],[Detailed Description]],Aventri_2021_2023IA[Total Cost (2023)])</f>
        <v>3000</v>
      </c>
      <c r="H18" s="118">
        <f>SUMIF(Aventri_2021_2023IA[Detailed Description],Table1622[[#This Row],[Detailed Description]],Aventri_2021_2023IA[Total Cost (2024)])</f>
        <v>3000</v>
      </c>
      <c r="I18" s="118">
        <f>SUMIF(Aventri_2022COL[Detailed Description],Table1622[[#This Row],[Detailed Description]],Aventri_2022COL[Total Cost])</f>
        <v>3000</v>
      </c>
      <c r="J18" s="118">
        <f>SUM(Table1622[[#This Row],[Aventri_2024IC]:[Aventri_2022COL]])</f>
        <v>21000</v>
      </c>
      <c r="L18" s="122" t="s">
        <v>205</v>
      </c>
      <c r="M18" s="118">
        <f>SUMIF(CompuSystems_2025IC[Detailed Description],Table162223[[#This Row],[Detailed Description]],CompuSystems_2025IC[Total Cost])</f>
        <v>33750</v>
      </c>
      <c r="N18" s="118">
        <f>SUMIF(CompuSystems_2024IC[Detailed Description],Table162223[[#This Row],[Detailed Description]],CompuSystems_2024IC[Total Cost])</f>
        <v>33750</v>
      </c>
      <c r="O18" s="118">
        <f>SUMIF(CompuSystems_2023IC[Detailed Description],Table162223[[#This Row],[Detailed Description]],CompuSystems_2023IC[Total Cost])</f>
        <v>33750</v>
      </c>
      <c r="P18" s="118">
        <f>SUMIF(CompuSystems_2023_2025IA[Detailed Description],Table162223[[#This Row],[Detailed Description]],CompuSystems_2023_2025IA[Total Cost (2023)])</f>
        <v>9750</v>
      </c>
      <c r="Q18" s="118">
        <f>SUMIF(CompuSystems_2023_2025IA[Detailed Description],Table162223[[#This Row],[Detailed Description]],CompuSystems_2023_2025IA[Total Cost (2025)])</f>
        <v>9750</v>
      </c>
      <c r="R18" s="118">
        <f>SUMIF(CompuSystems_2023_2025IA[Detailed Description],Table162223[[#This Row],[Detailed Description]],CompuSystems_2023_2025IA[Total Cost (2025)])</f>
        <v>9750</v>
      </c>
      <c r="S18" s="118">
        <f>SUMIF(CompuSystems_2025COL[Detailed Description],Table162223[[#This Row],[Detailed Description]],CompuSystems_2025COL[Total Cost])</f>
        <v>7500</v>
      </c>
      <c r="T18" s="118">
        <f>SUM(Table162223[[#This Row],[CompuSystems2024IC]:[CompuSystems2022COL]])</f>
        <v>138000</v>
      </c>
      <c r="V18" s="122" t="s">
        <v>205</v>
      </c>
      <c r="W18" s="118">
        <f>SUMIF(MCI_2025IC[Detailed Description],Table16222324[[#This Row],[Detailed Description]],MCI_2025IC[Total Cost])</f>
        <v>25000</v>
      </c>
      <c r="X18" s="118">
        <f>SUMIF(MCI_2024IC[Detailed Description],Table16222324[[#This Row],[Detailed Description]],MCI_2024IC[Total Cost])</f>
        <v>25000</v>
      </c>
      <c r="Y18" s="118">
        <f>SUMIF(MCI_2023IC[Detailed Description],Table16222324[[#This Row],[Detailed Description]],MCI_2023IC[Total Cost])</f>
        <v>25000</v>
      </c>
      <c r="Z18" s="118">
        <f>SUMIF(MCI_2023_2025IA[Detailed Description],Table16222324[[#This Row],[Detailed Description]],MCI_2023_2025IA[Total Cost (2023)])</f>
        <v>1875</v>
      </c>
      <c r="AA18" s="118">
        <f>SUMIF(MCI_2023_2025IA[Detailed Description],Table16222324[[#This Row],[Detailed Description]],MCI_2023_2025IA[Total Cost (2025)])</f>
        <v>1875</v>
      </c>
      <c r="AB18" s="118">
        <f>SUMIF(MCI_2023_2025IA[Detailed Description],Table16222324[[#This Row],[Detailed Description]],MCI_2023_2025IA[Total Cost (2025)])</f>
        <v>1875</v>
      </c>
      <c r="AC18" s="118">
        <f>SUMIF(MCI_2025COL[Detailed Description],Table16222324[[#This Row],[Detailed Description]],MCI_2025COL[Total Cost])</f>
        <v>1500</v>
      </c>
      <c r="AD18" s="118">
        <f>SUM(Table16222324[[#This Row],[MCI2024IC]:[MCI2022COL]])</f>
        <v>82125</v>
      </c>
    </row>
    <row r="19" spans="2:30" x14ac:dyDescent="0.35">
      <c r="B19" s="122" t="s">
        <v>267</v>
      </c>
      <c r="C19" s="118">
        <f>SUMIF(Aventri_2024IC[Detailed Description],Table1622[[#This Row],[Detailed Description]],Aventri_2024IC[Total Cost])</f>
        <v>0</v>
      </c>
      <c r="D19" s="118">
        <f>SUMIF(Aventri_2023IC[Detailed Description],Table1622[[#This Row],[Detailed Description]],Aventri_2023IC[Total Cost])</f>
        <v>0</v>
      </c>
      <c r="E19" s="118">
        <f>SUMIF(Aventri_2022IC[Detailed Description],Table1622[[#This Row],[Detailed Description]],Aventri_2022IC[Total Cost])</f>
        <v>0</v>
      </c>
      <c r="F19" s="118">
        <f>SUMIF(Aventri_2021_2023IA[Detailed Description],Table1622[[#This Row],[Detailed Description]],Aventri_2021_2023IA[Total Cost (2022)])</f>
        <v>0</v>
      </c>
      <c r="G19" s="118">
        <f>SUMIF(Aventri_2021_2023IA[Detailed Description],Table1622[[#This Row],[Detailed Description]],Aventri_2021_2023IA[Total Cost (2023)])</f>
        <v>0</v>
      </c>
      <c r="H19" s="118">
        <f>SUMIF(Aventri_2021_2023IA[Detailed Description],Table1622[[#This Row],[Detailed Description]],Aventri_2021_2023IA[Total Cost (2024)])</f>
        <v>0</v>
      </c>
      <c r="I19" s="118">
        <f>SUMIF(Aventri_2022COL[Detailed Description],Table1622[[#This Row],[Detailed Description]],Aventri_2022COL[Total Cost])</f>
        <v>0</v>
      </c>
      <c r="J19" s="118">
        <f>SUM(Table1622[[#This Row],[Aventri_2024IC]:[Aventri_2022COL]])</f>
        <v>0</v>
      </c>
      <c r="L19" s="122" t="s">
        <v>267</v>
      </c>
      <c r="M19" s="118">
        <f>SUMIF(CompuSystems_2025IC[Detailed Description],Table162223[[#This Row],[Detailed Description]],CompuSystems_2025IC[Total Cost])</f>
        <v>0</v>
      </c>
      <c r="N19" s="118">
        <f>SUMIF(CompuSystems_2024IC[Detailed Description],Table162223[[#This Row],[Detailed Description]],CompuSystems_2024IC[Total Cost])</f>
        <v>0</v>
      </c>
      <c r="O19" s="118">
        <f>SUMIF(CompuSystems_2023IC[Detailed Description],Table162223[[#This Row],[Detailed Description]],CompuSystems_2023IC[Total Cost])</f>
        <v>0</v>
      </c>
      <c r="P19" s="118">
        <f>SUMIF(CompuSystems_2023_2025IA[Detailed Description],Table162223[[#This Row],[Detailed Description]],CompuSystems_2023_2025IA[Total Cost (2023)])</f>
        <v>0</v>
      </c>
      <c r="Q19" s="118">
        <f>SUMIF(CompuSystems_2023_2025IA[Detailed Description],Table162223[[#This Row],[Detailed Description]],CompuSystems_2023_2025IA[Total Cost (2025)])</f>
        <v>0</v>
      </c>
      <c r="R19" s="118">
        <f>SUMIF(CompuSystems_2023_2025IA[Detailed Description],Table162223[[#This Row],[Detailed Description]],CompuSystems_2023_2025IA[Total Cost (2025)])</f>
        <v>0</v>
      </c>
      <c r="S19" s="118">
        <f>SUMIF(CompuSystems_2025COL[Detailed Description],Table162223[[#This Row],[Detailed Description]],CompuSystems_2025COL[Total Cost])</f>
        <v>10000</v>
      </c>
      <c r="T19" s="118">
        <f>SUM(Table162223[[#This Row],[CompuSystems2024IC]:[CompuSystems2022COL]])</f>
        <v>10000</v>
      </c>
      <c r="V19" s="122" t="s">
        <v>267</v>
      </c>
      <c r="W19" s="118">
        <f>SUMIF(MCI_2025IC[Detailed Description],Table16222324[[#This Row],[Detailed Description]],MCI_2025IC[Total Cost])</f>
        <v>0</v>
      </c>
      <c r="X19" s="118">
        <f>SUMIF(MCI_2024IC[Detailed Description],Table16222324[[#This Row],[Detailed Description]],MCI_2024IC[Total Cost])</f>
        <v>0</v>
      </c>
      <c r="Y19" s="118">
        <f>SUMIF(MCI_2023IC[Detailed Description],Table16222324[[#This Row],[Detailed Description]],MCI_2023IC[Total Cost])</f>
        <v>0</v>
      </c>
      <c r="Z19" s="118">
        <f>SUMIF(MCI_2023_2025IA[Detailed Description],Table16222324[[#This Row],[Detailed Description]],MCI_2023_2025IA[Total Cost (2023)])</f>
        <v>0</v>
      </c>
      <c r="AA19" s="118">
        <f>SUMIF(MCI_2023_2025IA[Detailed Description],Table16222324[[#This Row],[Detailed Description]],MCI_2023_2025IA[Total Cost (2025)])</f>
        <v>0</v>
      </c>
      <c r="AB19" s="118">
        <f>SUMIF(MCI_2023_2025IA[Detailed Description],Table16222324[[#This Row],[Detailed Description]],MCI_2023_2025IA[Total Cost (2025)])</f>
        <v>0</v>
      </c>
      <c r="AC19" s="118">
        <f>SUMIF(MCI_2025COL[Detailed Description],Table16222324[[#This Row],[Detailed Description]],MCI_2025COL[Total Cost])</f>
        <v>0</v>
      </c>
      <c r="AD19" s="118">
        <f>SUM(Table16222324[[#This Row],[MCI2024IC]:[MCI2022COL]])</f>
        <v>0</v>
      </c>
    </row>
    <row r="20" spans="2:30" x14ac:dyDescent="0.35">
      <c r="B20" s="123" t="s">
        <v>322</v>
      </c>
      <c r="C20" s="118">
        <f>SUMIF(Aventri_2024IC[Detailed Description],Table1622[[#This Row],[Detailed Description]],Aventri_2024IC[Total Cost])</f>
        <v>0</v>
      </c>
      <c r="D20" s="118">
        <f>SUMIF(Aventri_2023IC[Detailed Description],Table1622[[#This Row],[Detailed Description]],Aventri_2023IC[Total Cost])</f>
        <v>0</v>
      </c>
      <c r="E20" s="118">
        <f>SUMIF(Aventri_2022IC[Detailed Description],Table1622[[#This Row],[Detailed Description]],Aventri_2022IC[Total Cost])</f>
        <v>0</v>
      </c>
      <c r="F20" s="118">
        <f>SUMIF(Aventri_2021_2023IA[Detailed Description],Table1622[[#This Row],[Detailed Description]],Aventri_2021_2023IA[Total Cost (2022)])</f>
        <v>0</v>
      </c>
      <c r="G20" s="118">
        <f>SUMIF(Aventri_2021_2023IA[Detailed Description],Table1622[[#This Row],[Detailed Description]],Aventri_2021_2023IA[Total Cost (2023)])</f>
        <v>0</v>
      </c>
      <c r="H20" s="118">
        <f>SUMIF(Aventri_2021_2023IA[Detailed Description],Table1622[[#This Row],[Detailed Description]],Aventri_2021_2023IA[Total Cost (2024)])</f>
        <v>0</v>
      </c>
      <c r="I20" s="118">
        <f>SUMIF(Aventri_2022COL[Detailed Description],Table1622[[#This Row],[Detailed Description]],Aventri_2022COL[Total Cost])</f>
        <v>0</v>
      </c>
      <c r="J20" s="118">
        <f>SUM(Table1622[[#This Row],[Aventri_2024IC]:[Aventri_2022COL]])</f>
        <v>0</v>
      </c>
      <c r="L20" s="123" t="s">
        <v>322</v>
      </c>
      <c r="M20" s="118">
        <f>SUMIF(CompuSystems_2025IC[Detailed Description],Table162223[[#This Row],[Detailed Description]],CompuSystems_2025IC[Total Cost])</f>
        <v>1200</v>
      </c>
      <c r="N20" s="118">
        <f>SUMIF(CompuSystems_2024IC[Detailed Description],Table162223[[#This Row],[Detailed Description]],CompuSystems_2024IC[Total Cost])</f>
        <v>700</v>
      </c>
      <c r="O20" s="118">
        <f>SUMIF(CompuSystems_2023IC[Detailed Description],Table162223[[#This Row],[Detailed Description]],CompuSystems_2023IC[Total Cost])</f>
        <v>700</v>
      </c>
      <c r="P20" s="118">
        <f>SUMIF(CompuSystems_2023_2025IA[Detailed Description],Table162223[[#This Row],[Detailed Description]],CompuSystems_2023_2025IA[Total Cost (2023)])</f>
        <v>50</v>
      </c>
      <c r="Q20" s="118">
        <f>SUMIF(CompuSystems_2023_2025IA[Detailed Description],Table162223[[#This Row],[Detailed Description]],CompuSystems_2023_2025IA[Total Cost (2025)])</f>
        <v>50</v>
      </c>
      <c r="R20" s="118">
        <f>SUMIF(CompuSystems_2023_2025IA[Detailed Description],Table162223[[#This Row],[Detailed Description]],CompuSystems_2023_2025IA[Total Cost (2025)])</f>
        <v>50</v>
      </c>
      <c r="S20" s="118">
        <f>SUMIF(CompuSystems_2025COL[Detailed Description],Table162223[[#This Row],[Detailed Description]],CompuSystems_2025COL[Total Cost])</f>
        <v>0</v>
      </c>
      <c r="T20" s="118">
        <f>SUM(Table162223[[#This Row],[CompuSystems2024IC]:[CompuSystems2022COL]])</f>
        <v>2750</v>
      </c>
      <c r="V20" s="123" t="s">
        <v>322</v>
      </c>
      <c r="W20" s="118">
        <f>SUMIF(MCI_2025IC[Detailed Description],Table16222324[[#This Row],[Detailed Description]],MCI_2025IC[Total Cost])</f>
        <v>0</v>
      </c>
      <c r="X20" s="118">
        <f>SUMIF(MCI_2024IC[Detailed Description],Table16222324[[#This Row],[Detailed Description]],MCI_2024IC[Total Cost])</f>
        <v>0</v>
      </c>
      <c r="Y20" s="118">
        <f>SUMIF(MCI_2023IC[Detailed Description],Table16222324[[#This Row],[Detailed Description]],MCI_2023IC[Total Cost])</f>
        <v>0</v>
      </c>
      <c r="Z20" s="118">
        <f>SUMIF(MCI_2023_2025IA[Detailed Description],Table16222324[[#This Row],[Detailed Description]],MCI_2023_2025IA[Total Cost (2023)])</f>
        <v>0</v>
      </c>
      <c r="AA20" s="118">
        <f>SUMIF(MCI_2023_2025IA[Detailed Description],Table16222324[[#This Row],[Detailed Description]],MCI_2023_2025IA[Total Cost (2025)])</f>
        <v>0</v>
      </c>
      <c r="AB20" s="118">
        <f>SUMIF(MCI_2023_2025IA[Detailed Description],Table16222324[[#This Row],[Detailed Description]],MCI_2023_2025IA[Total Cost (2025)])</f>
        <v>0</v>
      </c>
      <c r="AC20" s="118">
        <f>SUMIF(MCI_2025COL[Detailed Description],Table16222324[[#This Row],[Detailed Description]],MCI_2025COL[Total Cost])</f>
        <v>0</v>
      </c>
      <c r="AD20" s="118">
        <f>SUM(Table16222324[[#This Row],[MCI2024IC]:[MCI2022COL]])</f>
        <v>0</v>
      </c>
    </row>
    <row r="21" spans="2:30" x14ac:dyDescent="0.35">
      <c r="B21" s="123" t="s">
        <v>240</v>
      </c>
      <c r="C21" s="118">
        <f>SUMIF(Aventri_2024IC[Detailed Description],Table1622[[#This Row],[Detailed Description]],Aventri_2024IC[Total Cost])</f>
        <v>0</v>
      </c>
      <c r="D21" s="118">
        <f>SUMIF(Aventri_2023IC[Detailed Description],Table1622[[#This Row],[Detailed Description]],Aventri_2023IC[Total Cost])</f>
        <v>0</v>
      </c>
      <c r="E21" s="118">
        <f>SUMIF(Aventri_2022IC[Detailed Description],Table1622[[#This Row],[Detailed Description]],Aventri_2022IC[Total Cost])</f>
        <v>0</v>
      </c>
      <c r="F21" s="118">
        <f>SUMIF(Aventri_2021_2023IA[Detailed Description],Table1622[[#This Row],[Detailed Description]],Aventri_2021_2023IA[Total Cost (2022)])</f>
        <v>0</v>
      </c>
      <c r="G21" s="118">
        <f>SUMIF(Aventri_2021_2023IA[Detailed Description],Table1622[[#This Row],[Detailed Description]],Aventri_2021_2023IA[Total Cost (2023)])</f>
        <v>0</v>
      </c>
      <c r="H21" s="118">
        <f>SUMIF(Aventri_2021_2023IA[Detailed Description],Table1622[[#This Row],[Detailed Description]],Aventri_2021_2023IA[Total Cost (2024)])</f>
        <v>0</v>
      </c>
      <c r="I21" s="118">
        <f>SUMIF(Aventri_2022COL[Detailed Description],Table1622[[#This Row],[Detailed Description]],Aventri_2022COL[Total Cost])</f>
        <v>0</v>
      </c>
      <c r="J21" s="118">
        <f>SUM(Table1622[[#This Row],[Aventri_2024IC]:[Aventri_2022COL]])</f>
        <v>0</v>
      </c>
      <c r="L21" s="125" t="s">
        <v>240</v>
      </c>
      <c r="M21" s="118">
        <f>SUMIF(CompuSystems_2025IC[Detailed Description],Table162223[[#This Row],[Detailed Description]],CompuSystems_2025IC[Total Cost])</f>
        <v>0</v>
      </c>
      <c r="N21" s="118">
        <f>SUMIF(CompuSystems_2024IC[Detailed Description],Table162223[[#This Row],[Detailed Description]],CompuSystems_2024IC[Total Cost])</f>
        <v>0</v>
      </c>
      <c r="O21" s="118">
        <f>SUMIF(CompuSystems_2023IC[Detailed Description],Table162223[[#This Row],[Detailed Description]],CompuSystems_2023IC[Total Cost])</f>
        <v>0</v>
      </c>
      <c r="P21" s="118">
        <f>SUMIF(CompuSystems_2023_2025IA[Detailed Description],Table162223[[#This Row],[Detailed Description]],CompuSystems_2023_2025IA[Total Cost (2023)])</f>
        <v>0</v>
      </c>
      <c r="Q21" s="118">
        <f>SUMIF(CompuSystems_2023_2025IA[Detailed Description],Table162223[[#This Row],[Detailed Description]],CompuSystems_2023_2025IA[Total Cost (2025)])</f>
        <v>0</v>
      </c>
      <c r="R21" s="118">
        <f>SUMIF(CompuSystems_2023_2025IA[Detailed Description],Table162223[[#This Row],[Detailed Description]],CompuSystems_2023_2025IA[Total Cost (2025)])</f>
        <v>0</v>
      </c>
      <c r="S21" s="118">
        <f>SUMIF(CompuSystems_2025COL[Detailed Description],Table162223[[#This Row],[Detailed Description]],CompuSystems_2025COL[Total Cost])</f>
        <v>0</v>
      </c>
      <c r="T21" s="118">
        <f>SUM(Table162223[[#This Row],[CompuSystems2024IC]:[CompuSystems2022COL]])</f>
        <v>0</v>
      </c>
      <c r="V21" s="123" t="s">
        <v>240</v>
      </c>
      <c r="W21" s="118">
        <f>SUMIF(MCI_2025IC[Detailed Description],Table16222324[[#This Row],[Detailed Description]],MCI_2025IC[Total Cost])</f>
        <v>0</v>
      </c>
      <c r="X21" s="118">
        <f>SUMIF(MCI_2024IC[Detailed Description],Table16222324[[#This Row],[Detailed Description]],MCI_2024IC[Total Cost])</f>
        <v>0</v>
      </c>
      <c r="Y21" s="118">
        <f>SUMIF(MCI_2023IC[Detailed Description],Table16222324[[#This Row],[Detailed Description]],MCI_2023IC[Total Cost])</f>
        <v>0</v>
      </c>
      <c r="Z21" s="118">
        <f>SUMIF(MCI_2023_2025IA[Detailed Description],Table16222324[[#This Row],[Detailed Description]],MCI_2023_2025IA[Total Cost (2023)])</f>
        <v>0</v>
      </c>
      <c r="AA21" s="118">
        <f>SUMIF(MCI_2023_2025IA[Detailed Description],Table16222324[[#This Row],[Detailed Description]],MCI_2023_2025IA[Total Cost (2025)])</f>
        <v>0</v>
      </c>
      <c r="AB21" s="118">
        <f>SUMIF(MCI_2023_2025IA[Detailed Description],Table16222324[[#This Row],[Detailed Description]],MCI_2023_2025IA[Total Cost (2025)])</f>
        <v>0</v>
      </c>
      <c r="AC21" s="118">
        <f>SUMIF(MCI_2025COL[Detailed Description],Table16222324[[#This Row],[Detailed Description]],MCI_2025COL[Total Cost])</f>
        <v>0</v>
      </c>
      <c r="AD21" s="118">
        <f>SUM(Table16222324[[#This Row],[MCI2024IC]:[MCI2022COL]])</f>
        <v>0</v>
      </c>
    </row>
    <row r="22" spans="2:30" x14ac:dyDescent="0.35">
      <c r="B22" s="124" t="s">
        <v>164</v>
      </c>
      <c r="C22" s="118">
        <f>SUMIF(Aventri_2024IC[Detailed Description],Table1622[[#This Row],[Detailed Description]],Aventri_2024IC[Total Cost])</f>
        <v>0</v>
      </c>
      <c r="D22" s="118">
        <f>SUMIF(Aventri_2023IC[Detailed Description],Table1622[[#This Row],[Detailed Description]],Aventri_2023IC[Total Cost])</f>
        <v>0</v>
      </c>
      <c r="E22" s="118">
        <f>SUMIF(Aventri_2022IC[Detailed Description],Table1622[[#This Row],[Detailed Description]],Aventri_2022IC[Total Cost])</f>
        <v>0</v>
      </c>
      <c r="F22" s="118">
        <f>SUMIF(Aventri_2021_2023IA[Detailed Description],Table1622[[#This Row],[Detailed Description]],Aventri_2021_2023IA[Total Cost (2022)])</f>
        <v>0</v>
      </c>
      <c r="G22" s="118">
        <f>SUMIF(Aventri_2021_2023IA[Detailed Description],Table1622[[#This Row],[Detailed Description]],Aventri_2021_2023IA[Total Cost (2023)])</f>
        <v>0</v>
      </c>
      <c r="H22" s="118">
        <f>SUMIF(Aventri_2021_2023IA[Detailed Description],Table1622[[#This Row],[Detailed Description]],Aventri_2021_2023IA[Total Cost (2024)])</f>
        <v>0</v>
      </c>
      <c r="I22" s="118">
        <f>SUMIF(Aventri_2022COL[Detailed Description],Table1622[[#This Row],[Detailed Description]],Aventri_2022COL[Total Cost])</f>
        <v>0</v>
      </c>
      <c r="J22" s="118">
        <f>SUM(Table1622[[#This Row],[Aventri_2024IC]:[Aventri_2022COL]])</f>
        <v>0</v>
      </c>
      <c r="L22" s="124" t="s">
        <v>164</v>
      </c>
      <c r="M22" s="118">
        <f>SUMIF(CompuSystems_2025IC[Detailed Description],Table162223[[#This Row],[Detailed Description]],CompuSystems_2025IC[Total Cost])</f>
        <v>0</v>
      </c>
      <c r="N22" s="118">
        <f>SUMIF(CompuSystems_2024IC[Detailed Description],Table162223[[#This Row],[Detailed Description]],CompuSystems_2024IC[Total Cost])</f>
        <v>0</v>
      </c>
      <c r="O22" s="118">
        <f>SUMIF(CompuSystems_2023IC[Detailed Description],Table162223[[#This Row],[Detailed Description]],CompuSystems_2023IC[Total Cost])</f>
        <v>0</v>
      </c>
      <c r="P22" s="118">
        <f>SUMIF(CompuSystems_2023_2025IA[Detailed Description],Table162223[[#This Row],[Detailed Description]],CompuSystems_2023_2025IA[Total Cost (2023)])</f>
        <v>0</v>
      </c>
      <c r="Q22" s="118">
        <f>SUMIF(CompuSystems_2023_2025IA[Detailed Description],Table162223[[#This Row],[Detailed Description]],CompuSystems_2023_2025IA[Total Cost (2025)])</f>
        <v>0</v>
      </c>
      <c r="R22" s="118">
        <f>SUMIF(CompuSystems_2023_2025IA[Detailed Description],Table162223[[#This Row],[Detailed Description]],CompuSystems_2023_2025IA[Total Cost (2025)])</f>
        <v>0</v>
      </c>
      <c r="S22" s="118">
        <f>SUMIF(CompuSystems_2025COL[Detailed Description],Table162223[[#This Row],[Detailed Description]],CompuSystems_2025COL[Total Cost])</f>
        <v>0</v>
      </c>
      <c r="T22" s="118">
        <f>SUM(Table162223[[#This Row],[CompuSystems2024IC]:[CompuSystems2022COL]])</f>
        <v>0</v>
      </c>
      <c r="V22" s="124" t="s">
        <v>164</v>
      </c>
      <c r="W22" s="118">
        <f>SUMIF(MCI_2025IC[Detailed Description],Table16222324[[#This Row],[Detailed Description]],MCI_2025IC[Total Cost])</f>
        <v>3750</v>
      </c>
      <c r="X22" s="118">
        <f>SUMIF(MCI_2024IC[Detailed Description],Table16222324[[#This Row],[Detailed Description]],MCI_2024IC[Total Cost])</f>
        <v>3750</v>
      </c>
      <c r="Y22" s="118">
        <f>SUMIF(MCI_2023IC[Detailed Description],Table16222324[[#This Row],[Detailed Description]],MCI_2023IC[Total Cost])</f>
        <v>3750</v>
      </c>
      <c r="Z22" s="118">
        <f>SUMIF(MCI_2023_2025IA[Detailed Description],Table16222324[[#This Row],[Detailed Description]],MCI_2023_2025IA[Total Cost (2023)])</f>
        <v>0</v>
      </c>
      <c r="AA22" s="118">
        <f>SUMIF(MCI_2023_2025IA[Detailed Description],Table16222324[[#This Row],[Detailed Description]],MCI_2023_2025IA[Total Cost (2025)])</f>
        <v>0</v>
      </c>
      <c r="AB22" s="118">
        <f>SUMIF(MCI_2023_2025IA[Detailed Description],Table16222324[[#This Row],[Detailed Description]],MCI_2023_2025IA[Total Cost (2025)])</f>
        <v>0</v>
      </c>
      <c r="AC22" s="118">
        <f>SUMIF(MCI_2025COL[Detailed Description],Table16222324[[#This Row],[Detailed Description]],MCI_2025COL[Total Cost])</f>
        <v>3750</v>
      </c>
      <c r="AD22" s="118">
        <f>SUM(Table16222324[[#This Row],[MCI2024IC]:[MCI2022COL]])</f>
        <v>15000</v>
      </c>
    </row>
    <row r="23" spans="2:30" x14ac:dyDescent="0.35">
      <c r="B23" s="123" t="s">
        <v>215</v>
      </c>
      <c r="C23" s="118">
        <f>SUMIF(Aventri_2024IC[Detailed Description],Table1622[[#This Row],[Detailed Description]],Aventri_2024IC[Total Cost])</f>
        <v>0</v>
      </c>
      <c r="D23" s="118">
        <f>SUMIF(Aventri_2023IC[Detailed Description],Table1622[[#This Row],[Detailed Description]],Aventri_2023IC[Total Cost])</f>
        <v>0</v>
      </c>
      <c r="E23" s="118">
        <f>SUMIF(Aventri_2022IC[Detailed Description],Table1622[[#This Row],[Detailed Description]],Aventri_2022IC[Total Cost])</f>
        <v>0</v>
      </c>
      <c r="F23" s="118">
        <f>SUMIF(Aventri_2021_2023IA[Detailed Description],Table1622[[#This Row],[Detailed Description]],Aventri_2021_2023IA[Total Cost (2022)])</f>
        <v>0</v>
      </c>
      <c r="G23" s="118">
        <f>SUMIF(Aventri_2021_2023IA[Detailed Description],Table1622[[#This Row],[Detailed Description]],Aventri_2021_2023IA[Total Cost (2023)])</f>
        <v>0</v>
      </c>
      <c r="H23" s="118">
        <f>SUMIF(Aventri_2021_2023IA[Detailed Description],Table1622[[#This Row],[Detailed Description]],Aventri_2021_2023IA[Total Cost (2024)])</f>
        <v>0</v>
      </c>
      <c r="I23" s="118">
        <f>SUMIF(Aventri_2022COL[Detailed Description],Table1622[[#This Row],[Detailed Description]],Aventri_2022COL[Total Cost])</f>
        <v>0</v>
      </c>
      <c r="J23" s="118">
        <f>SUM(Table1622[[#This Row],[Aventri_2024IC]:[Aventri_2022COL]])</f>
        <v>0</v>
      </c>
      <c r="L23" s="123" t="s">
        <v>215</v>
      </c>
      <c r="M23" s="118">
        <f>SUMIF(CompuSystems_2025IC[Detailed Description],Table162223[[#This Row],[Detailed Description]],CompuSystems_2025IC[Total Cost])</f>
        <v>705</v>
      </c>
      <c r="N23" s="118">
        <f>SUMIF(CompuSystems_2024IC[Detailed Description],Table162223[[#This Row],[Detailed Description]],CompuSystems_2024IC[Total Cost])</f>
        <v>705</v>
      </c>
      <c r="O23" s="118">
        <f>SUMIF(CompuSystems_2023IC[Detailed Description],Table162223[[#This Row],[Detailed Description]],CompuSystems_2023IC[Total Cost])</f>
        <v>705</v>
      </c>
      <c r="P23" s="118">
        <f>SUMIF(CompuSystems_2023_2025IA[Detailed Description],Table162223[[#This Row],[Detailed Description]],CompuSystems_2023_2025IA[Total Cost (2023)])</f>
        <v>470</v>
      </c>
      <c r="Q23" s="118">
        <f>SUMIF(CompuSystems_2023_2025IA[Detailed Description],Table162223[[#This Row],[Detailed Description]],CompuSystems_2023_2025IA[Total Cost (2025)])</f>
        <v>470</v>
      </c>
      <c r="R23" s="118">
        <f>SUMIF(CompuSystems_2023_2025IA[Detailed Description],Table162223[[#This Row],[Detailed Description]],CompuSystems_2023_2025IA[Total Cost (2025)])</f>
        <v>470</v>
      </c>
      <c r="S23" s="118">
        <f>SUMIF(CompuSystems_2025COL[Detailed Description],Table162223[[#This Row],[Detailed Description]],CompuSystems_2025COL[Total Cost])</f>
        <v>0</v>
      </c>
      <c r="T23" s="118">
        <f>SUM(Table162223[[#This Row],[CompuSystems2024IC]:[CompuSystems2022COL]])</f>
        <v>3525</v>
      </c>
      <c r="V23" s="123" t="s">
        <v>215</v>
      </c>
      <c r="W23" s="118">
        <f>SUMIF(MCI_2025IC[Detailed Description],Table16222324[[#This Row],[Detailed Description]],MCI_2025IC[Total Cost])</f>
        <v>0</v>
      </c>
      <c r="X23" s="118">
        <f>SUMIF(MCI_2024IC[Detailed Description],Table16222324[[#This Row],[Detailed Description]],MCI_2024IC[Total Cost])</f>
        <v>0</v>
      </c>
      <c r="Y23" s="118">
        <f>SUMIF(MCI_2023IC[Detailed Description],Table16222324[[#This Row],[Detailed Description]],MCI_2023IC[Total Cost])</f>
        <v>0</v>
      </c>
      <c r="Z23" s="118">
        <f>SUMIF(MCI_2023_2025IA[Detailed Description],Table16222324[[#This Row],[Detailed Description]],MCI_2023_2025IA[Total Cost (2023)])</f>
        <v>0</v>
      </c>
      <c r="AA23" s="118">
        <f>SUMIF(MCI_2023_2025IA[Detailed Description],Table16222324[[#This Row],[Detailed Description]],MCI_2023_2025IA[Total Cost (2025)])</f>
        <v>0</v>
      </c>
      <c r="AB23" s="118">
        <f>SUMIF(MCI_2023_2025IA[Detailed Description],Table16222324[[#This Row],[Detailed Description]],MCI_2023_2025IA[Total Cost (2025)])</f>
        <v>0</v>
      </c>
      <c r="AC23" s="118">
        <f>SUMIF(MCI_2025COL[Detailed Description],Table16222324[[#This Row],[Detailed Description]],MCI_2025COL[Total Cost])</f>
        <v>0</v>
      </c>
      <c r="AD23" s="118">
        <f>SUM(Table16222324[[#This Row],[MCI2024IC]:[MCI2022COL]])</f>
        <v>0</v>
      </c>
    </row>
    <row r="24" spans="2:30" x14ac:dyDescent="0.35">
      <c r="B24" s="123" t="s">
        <v>216</v>
      </c>
      <c r="C24" s="118">
        <f>SUMIF(Aventri_2024IC[Detailed Description],Table1622[[#This Row],[Detailed Description]],Aventri_2024IC[Total Cost])</f>
        <v>3780</v>
      </c>
      <c r="D24" s="118">
        <f>SUMIF(Aventri_2023IC[Detailed Description],Table1622[[#This Row],[Detailed Description]],Aventri_2023IC[Total Cost])</f>
        <v>4320</v>
      </c>
      <c r="E24" s="118">
        <f>SUMIF(Aventri_2022IC[Detailed Description],Table1622[[#This Row],[Detailed Description]],Aventri_2022IC[Total Cost])</f>
        <v>4389</v>
      </c>
      <c r="F24" s="118">
        <f>SUMIF(Aventri_2021_2023IA[Detailed Description],Table1622[[#This Row],[Detailed Description]],Aventri_2021_2023IA[Total Cost (2022)])</f>
        <v>4122.08</v>
      </c>
      <c r="G24" s="118">
        <f>SUMIF(Aventri_2021_2023IA[Detailed Description],Table1622[[#This Row],[Detailed Description]],Aventri_2021_2023IA[Total Cost (2023)])</f>
        <v>4302.08</v>
      </c>
      <c r="H24" s="118">
        <f>SUMIF(Aventri_2021_2023IA[Detailed Description],Table1622[[#This Row],[Detailed Description]],Aventri_2021_2023IA[Total Cost (2024)])</f>
        <v>4302.08</v>
      </c>
      <c r="I24" s="118">
        <f>SUMIF(Aventri_2022COL[Detailed Description],Table1622[[#This Row],[Detailed Description]],Aventri_2022COL[Total Cost])</f>
        <v>444.16</v>
      </c>
      <c r="J24" s="118">
        <f>SUM(Table1622[[#This Row],[Aventri_2024IC]:[Aventri_2022COL]])</f>
        <v>25659.400000000005</v>
      </c>
      <c r="L24" s="123" t="s">
        <v>216</v>
      </c>
      <c r="M24" s="118">
        <f>SUMIF(CompuSystems_2025IC[Detailed Description],Table162223[[#This Row],[Detailed Description]],CompuSystems_2025IC[Total Cost])</f>
        <v>3780</v>
      </c>
      <c r="N24" s="118">
        <f>SUMIF(CompuSystems_2024IC[Detailed Description],Table162223[[#This Row],[Detailed Description]],CompuSystems_2024IC[Total Cost])</f>
        <v>4320</v>
      </c>
      <c r="O24" s="118">
        <f>SUMIF(CompuSystems_2023IC[Detailed Description],Table162223[[#This Row],[Detailed Description]],CompuSystems_2023IC[Total Cost])</f>
        <v>4389</v>
      </c>
      <c r="P24" s="118">
        <f>SUMIF(CompuSystems_2023_2025IA[Detailed Description],Table162223[[#This Row],[Detailed Description]],CompuSystems_2023_2025IA[Total Cost (2023)])</f>
        <v>4122.08</v>
      </c>
      <c r="Q24" s="118">
        <f>SUMIF(CompuSystems_2023_2025IA[Detailed Description],Table162223[[#This Row],[Detailed Description]],CompuSystems_2023_2025IA[Total Cost (2025)])</f>
        <v>4302.08</v>
      </c>
      <c r="R24" s="118">
        <f>SUMIF(CompuSystems_2023_2025IA[Detailed Description],Table162223[[#This Row],[Detailed Description]],CompuSystems_2023_2025IA[Total Cost (2025)])</f>
        <v>4302.08</v>
      </c>
      <c r="S24" s="118">
        <f>SUMIF(CompuSystems_2025COL[Detailed Description],Table162223[[#This Row],[Detailed Description]],CompuSystems_2025COL[Total Cost])</f>
        <v>444.16</v>
      </c>
      <c r="T24" s="118">
        <f>SUM(Table162223[[#This Row],[CompuSystems2024IC]:[CompuSystems2022COL]])</f>
        <v>25659.400000000005</v>
      </c>
      <c r="V24" s="123" t="s">
        <v>216</v>
      </c>
      <c r="W24" s="118">
        <f>SUMIF(MCI_2025IC[Detailed Description],Table16222324[[#This Row],[Detailed Description]],MCI_2025IC[Total Cost])</f>
        <v>3780</v>
      </c>
      <c r="X24" s="118">
        <f>SUMIF(MCI_2024IC[Detailed Description],Table16222324[[#This Row],[Detailed Description]],MCI_2024IC[Total Cost])</f>
        <v>4320</v>
      </c>
      <c r="Y24" s="118">
        <f>SUMIF(MCI_2023IC[Detailed Description],Table16222324[[#This Row],[Detailed Description]],MCI_2023IC[Total Cost])</f>
        <v>4389</v>
      </c>
      <c r="Z24" s="118">
        <f>SUMIF(MCI_2023_2025IA[Detailed Description],Table16222324[[#This Row],[Detailed Description]],MCI_2023_2025IA[Total Cost (2023)])</f>
        <v>4122.08</v>
      </c>
      <c r="AA24" s="118">
        <f>SUMIF(MCI_2023_2025IA[Detailed Description],Table16222324[[#This Row],[Detailed Description]],MCI_2023_2025IA[Total Cost (2025)])</f>
        <v>4302.08</v>
      </c>
      <c r="AB24" s="118">
        <f>SUMIF(MCI_2023_2025IA[Detailed Description],Table16222324[[#This Row],[Detailed Description]],MCI_2023_2025IA[Total Cost (2025)])</f>
        <v>4302.08</v>
      </c>
      <c r="AC24" s="118">
        <f>SUMIF(MCI_2025COL[Detailed Description],Table16222324[[#This Row],[Detailed Description]],MCI_2025COL[Total Cost])</f>
        <v>444.16</v>
      </c>
      <c r="AD24" s="118">
        <f>SUM(Table16222324[[#This Row],[MCI2024IC]:[MCI2022COL]])</f>
        <v>25659.400000000005</v>
      </c>
    </row>
    <row r="25" spans="2:30" x14ac:dyDescent="0.35">
      <c r="B25" s="122" t="s">
        <v>171</v>
      </c>
      <c r="C25" s="118">
        <f>SUMIF(Aventri_2024IC[Detailed Description],Table1622[[#This Row],[Detailed Description]],Aventri_2024IC[Total Cost])</f>
        <v>5250</v>
      </c>
      <c r="D25" s="118">
        <f>SUMIF(Aventri_2023IC[Detailed Description],Table1622[[#This Row],[Detailed Description]],Aventri_2023IC[Total Cost])</f>
        <v>5250</v>
      </c>
      <c r="E25" s="118">
        <f>SUMIF(Aventri_2022IC[Detailed Description],Table1622[[#This Row],[Detailed Description]],Aventri_2022IC[Total Cost])</f>
        <v>5250</v>
      </c>
      <c r="F25" s="118">
        <f>SUMIF(Aventri_2021_2023IA[Detailed Description],Table1622[[#This Row],[Detailed Description]],Aventri_2021_2023IA[Total Cost (2022)])</f>
        <v>375</v>
      </c>
      <c r="G25" s="118">
        <f>SUMIF(Aventri_2021_2023IA[Detailed Description],Table1622[[#This Row],[Detailed Description]],Aventri_2021_2023IA[Total Cost (2023)])</f>
        <v>375</v>
      </c>
      <c r="H25" s="118">
        <f>SUMIF(Aventri_2021_2023IA[Detailed Description],Table1622[[#This Row],[Detailed Description]],Aventri_2021_2023IA[Total Cost (2024)])</f>
        <v>375</v>
      </c>
      <c r="I25" s="118">
        <f>SUMIF(Aventri_2022COL[Detailed Description],Table1622[[#This Row],[Detailed Description]],Aventri_2022COL[Total Cost])</f>
        <v>375</v>
      </c>
      <c r="J25" s="118">
        <f>SUM(Table1622[[#This Row],[Aventri_2024IC]:[Aventri_2022COL]])</f>
        <v>17250</v>
      </c>
      <c r="L25" s="122" t="s">
        <v>171</v>
      </c>
      <c r="M25" s="118">
        <f>SUMIF(CompuSystems_2025IC[Detailed Description],Table162223[[#This Row],[Detailed Description]],CompuSystems_2025IC[Total Cost])</f>
        <v>18000</v>
      </c>
      <c r="N25" s="118">
        <f>SUMIF(CompuSystems_2024IC[Detailed Description],Table162223[[#This Row],[Detailed Description]],CompuSystems_2024IC[Total Cost])</f>
        <v>10500</v>
      </c>
      <c r="O25" s="118">
        <f>SUMIF(CompuSystems_2023IC[Detailed Description],Table162223[[#This Row],[Detailed Description]],CompuSystems_2023IC[Total Cost])</f>
        <v>10500</v>
      </c>
      <c r="P25" s="118">
        <f>SUMIF(CompuSystems_2023_2025IA[Detailed Description],Table162223[[#This Row],[Detailed Description]],CompuSystems_2023_2025IA[Total Cost (2023)])</f>
        <v>750</v>
      </c>
      <c r="Q25" s="118">
        <f>SUMIF(CompuSystems_2023_2025IA[Detailed Description],Table162223[[#This Row],[Detailed Description]],CompuSystems_2023_2025IA[Total Cost (2025)])</f>
        <v>750</v>
      </c>
      <c r="R25" s="118">
        <f>SUMIF(CompuSystems_2023_2025IA[Detailed Description],Table162223[[#This Row],[Detailed Description]],CompuSystems_2023_2025IA[Total Cost (2025)])</f>
        <v>750</v>
      </c>
      <c r="S25" s="118">
        <f>SUMIF(CompuSystems_2025COL[Detailed Description],Table162223[[#This Row],[Detailed Description]],CompuSystems_2025COL[Total Cost])</f>
        <v>750</v>
      </c>
      <c r="T25" s="118">
        <f>SUM(Table162223[[#This Row],[CompuSystems2024IC]:[CompuSystems2022COL]])</f>
        <v>42000</v>
      </c>
      <c r="V25" s="122" t="s">
        <v>171</v>
      </c>
      <c r="W25" s="118">
        <f>SUMIF(MCI_2025IC[Detailed Description],Table16222324[[#This Row],[Detailed Description]],MCI_2025IC[Total Cost])</f>
        <v>8000</v>
      </c>
      <c r="X25" s="118">
        <f>SUMIF(MCI_2024IC[Detailed Description],Table16222324[[#This Row],[Detailed Description]],MCI_2024IC[Total Cost])</f>
        <v>9000</v>
      </c>
      <c r="Y25" s="118">
        <f>SUMIF(MCI_2023IC[Detailed Description],Table16222324[[#This Row],[Detailed Description]],MCI_2023IC[Total Cost])</f>
        <v>7000</v>
      </c>
      <c r="Z25" s="118">
        <f>SUMIF(MCI_2023_2025IA[Detailed Description],Table16222324[[#This Row],[Detailed Description]],MCI_2023_2025IA[Total Cost (2023)])</f>
        <v>600</v>
      </c>
      <c r="AA25" s="118">
        <f>SUMIF(MCI_2023_2025IA[Detailed Description],Table16222324[[#This Row],[Detailed Description]],MCI_2023_2025IA[Total Cost (2025)])</f>
        <v>600</v>
      </c>
      <c r="AB25" s="118">
        <f>SUMIF(MCI_2023_2025IA[Detailed Description],Table16222324[[#This Row],[Detailed Description]],MCI_2023_2025IA[Total Cost (2025)])</f>
        <v>600</v>
      </c>
      <c r="AC25" s="118">
        <f>SUMIF(MCI_2025COL[Detailed Description],Table16222324[[#This Row],[Detailed Description]],MCI_2025COL[Total Cost])</f>
        <v>500</v>
      </c>
      <c r="AD25" s="118">
        <f>SUM(Table16222324[[#This Row],[MCI2024IC]:[MCI2022COL]])</f>
        <v>26300</v>
      </c>
    </row>
    <row r="26" spans="2:30" x14ac:dyDescent="0.35">
      <c r="B26" s="122" t="s">
        <v>320</v>
      </c>
      <c r="C26" s="118">
        <f>SUMIF(Aventri_2024IC[Detailed Description],Table1622[[#This Row],[Detailed Description]],Aventri_2024IC[Total Cost])</f>
        <v>75</v>
      </c>
      <c r="D26" s="118">
        <f>SUMIF(Aventri_2023IC[Detailed Description],Table1622[[#This Row],[Detailed Description]],Aventri_2023IC[Total Cost])</f>
        <v>75</v>
      </c>
      <c r="E26" s="118">
        <f>SUMIF(Aventri_2022IC[Detailed Description],Table1622[[#This Row],[Detailed Description]],Aventri_2022IC[Total Cost])</f>
        <v>75</v>
      </c>
      <c r="F26" s="118">
        <f>SUMIF(Aventri_2021_2023IA[Detailed Description],Table1622[[#This Row],[Detailed Description]],Aventri_2021_2023IA[Total Cost (2022)])</f>
        <v>75</v>
      </c>
      <c r="G26" s="118">
        <f>SUMIF(Aventri_2021_2023IA[Detailed Description],Table1622[[#This Row],[Detailed Description]],Aventri_2021_2023IA[Total Cost (2023)])</f>
        <v>75</v>
      </c>
      <c r="H26" s="118">
        <f>SUMIF(Aventri_2021_2023IA[Detailed Description],Table1622[[#This Row],[Detailed Description]],Aventri_2021_2023IA[Total Cost (2024)])</f>
        <v>75</v>
      </c>
      <c r="I26" s="118">
        <f>SUMIF(Aventri_2022COL[Detailed Description],Table1622[[#This Row],[Detailed Description]],Aventri_2022COL[Total Cost])</f>
        <v>75</v>
      </c>
      <c r="J26" s="118">
        <f>SUM(Table1622[[#This Row],[Aventri_2024IC]:[Aventri_2022COL]])</f>
        <v>525</v>
      </c>
      <c r="L26" s="122" t="s">
        <v>320</v>
      </c>
      <c r="M26" s="118">
        <f>SUMIF(CompuSystems_2025IC[Detailed Description],Table162223[[#This Row],[Detailed Description]],CompuSystems_2025IC[Total Cost])</f>
        <v>0</v>
      </c>
      <c r="N26" s="118">
        <f>SUMIF(CompuSystems_2024IC[Detailed Description],Table162223[[#This Row],[Detailed Description]],CompuSystems_2024IC[Total Cost])</f>
        <v>0</v>
      </c>
      <c r="O26" s="118">
        <f>SUMIF(CompuSystems_2023IC[Detailed Description],Table162223[[#This Row],[Detailed Description]],CompuSystems_2023IC[Total Cost])</f>
        <v>0</v>
      </c>
      <c r="P26" s="118">
        <f>SUMIF(CompuSystems_2023_2025IA[Detailed Description],Table162223[[#This Row],[Detailed Description]],CompuSystems_2023_2025IA[Total Cost (2023)])</f>
        <v>0</v>
      </c>
      <c r="Q26" s="118">
        <f>SUMIF(CompuSystems_2023_2025IA[Detailed Description],Table162223[[#This Row],[Detailed Description]],CompuSystems_2023_2025IA[Total Cost (2025)])</f>
        <v>0</v>
      </c>
      <c r="R26" s="118">
        <f>SUMIF(CompuSystems_2023_2025IA[Detailed Description],Table162223[[#This Row],[Detailed Description]],CompuSystems_2023_2025IA[Total Cost (2025)])</f>
        <v>0</v>
      </c>
      <c r="S26" s="118">
        <f>SUMIF(CompuSystems_2025COL[Detailed Description],Table162223[[#This Row],[Detailed Description]],CompuSystems_2025COL[Total Cost])</f>
        <v>0</v>
      </c>
      <c r="T26" s="118">
        <f>SUM(Table162223[[#This Row],[CompuSystems2024IC]:[CompuSystems2022COL]])</f>
        <v>0</v>
      </c>
      <c r="V26" s="122" t="s">
        <v>320</v>
      </c>
      <c r="W26" s="118">
        <f>SUMIF(MCI_2025IC[Detailed Description],Table16222324[[#This Row],[Detailed Description]],MCI_2025IC[Total Cost])</f>
        <v>0</v>
      </c>
      <c r="X26" s="118">
        <f>SUMIF(MCI_2024IC[Detailed Description],Table16222324[[#This Row],[Detailed Description]],MCI_2024IC[Total Cost])</f>
        <v>0</v>
      </c>
      <c r="Y26" s="118">
        <f>SUMIF(MCI_2023IC[Detailed Description],Table16222324[[#This Row],[Detailed Description]],MCI_2023IC[Total Cost])</f>
        <v>0</v>
      </c>
      <c r="Z26" s="118">
        <f>SUMIF(MCI_2023_2025IA[Detailed Description],Table16222324[[#This Row],[Detailed Description]],MCI_2023_2025IA[Total Cost (2023)])</f>
        <v>0</v>
      </c>
      <c r="AA26" s="118">
        <f>SUMIF(MCI_2023_2025IA[Detailed Description],Table16222324[[#This Row],[Detailed Description]],MCI_2023_2025IA[Total Cost (2025)])</f>
        <v>0</v>
      </c>
      <c r="AB26" s="118">
        <f>SUMIF(MCI_2023_2025IA[Detailed Description],Table16222324[[#This Row],[Detailed Description]],MCI_2023_2025IA[Total Cost (2025)])</f>
        <v>0</v>
      </c>
      <c r="AC26" s="118">
        <f>SUMIF(MCI_2025COL[Detailed Description],Table16222324[[#This Row],[Detailed Description]],MCI_2025COL[Total Cost])</f>
        <v>0</v>
      </c>
      <c r="AD26" s="118">
        <f>SUM(Table16222324[[#This Row],[MCI2024IC]:[MCI2022COL]])</f>
        <v>0</v>
      </c>
    </row>
    <row r="27" spans="2:30" x14ac:dyDescent="0.35">
      <c r="B27" s="123" t="s">
        <v>179</v>
      </c>
      <c r="C27" s="118">
        <f>SUMIF(Aventri_2024IC[Detailed Description],Table1622[[#This Row],[Detailed Description]],Aventri_2024IC[Total Cost])</f>
        <v>0</v>
      </c>
      <c r="D27" s="118">
        <f>SUMIF(Aventri_2023IC[Detailed Description],Table1622[[#This Row],[Detailed Description]],Aventri_2023IC[Total Cost])</f>
        <v>0</v>
      </c>
      <c r="E27" s="118">
        <f>SUMIF(Aventri_2022IC[Detailed Description],Table1622[[#This Row],[Detailed Description]],Aventri_2022IC[Total Cost])</f>
        <v>0</v>
      </c>
      <c r="F27" s="118">
        <f>SUMIF(Aventri_2021_2023IA[Detailed Description],Table1622[[#This Row],[Detailed Description]],Aventri_2021_2023IA[Total Cost (2022)])</f>
        <v>0</v>
      </c>
      <c r="G27" s="118">
        <f>SUMIF(Aventri_2021_2023IA[Detailed Description],Table1622[[#This Row],[Detailed Description]],Aventri_2021_2023IA[Total Cost (2023)])</f>
        <v>0</v>
      </c>
      <c r="H27" s="118">
        <f>SUMIF(Aventri_2021_2023IA[Detailed Description],Table1622[[#This Row],[Detailed Description]],Aventri_2021_2023IA[Total Cost (2024)])</f>
        <v>0</v>
      </c>
      <c r="I27" s="118">
        <f>SUMIF(Aventri_2022COL[Detailed Description],Table1622[[#This Row],[Detailed Description]],Aventri_2022COL[Total Cost])</f>
        <v>0</v>
      </c>
      <c r="J27" s="118">
        <f>SUM(Table1622[[#This Row],[Aventri_2024IC]:[Aventri_2022COL]])</f>
        <v>0</v>
      </c>
      <c r="L27" s="123" t="s">
        <v>179</v>
      </c>
      <c r="M27" s="118">
        <f>SUMIF(CompuSystems_2025IC[Detailed Description],Table162223[[#This Row],[Detailed Description]],CompuSystems_2025IC[Total Cost])</f>
        <v>0</v>
      </c>
      <c r="N27" s="118">
        <f>SUMIF(CompuSystems_2024IC[Detailed Description],Table162223[[#This Row],[Detailed Description]],CompuSystems_2024IC[Total Cost])</f>
        <v>0</v>
      </c>
      <c r="O27" s="118">
        <f>SUMIF(CompuSystems_2023IC[Detailed Description],Table162223[[#This Row],[Detailed Description]],CompuSystems_2023IC[Total Cost])</f>
        <v>0</v>
      </c>
      <c r="P27" s="118">
        <f>SUMIF(CompuSystems_2023_2025IA[Detailed Description],Table162223[[#This Row],[Detailed Description]],CompuSystems_2023_2025IA[Total Cost (2023)])</f>
        <v>0</v>
      </c>
      <c r="Q27" s="118">
        <f>SUMIF(CompuSystems_2023_2025IA[Detailed Description],Table162223[[#This Row],[Detailed Description]],CompuSystems_2023_2025IA[Total Cost (2025)])</f>
        <v>0</v>
      </c>
      <c r="R27" s="118">
        <f>SUMIF(CompuSystems_2023_2025IA[Detailed Description],Table162223[[#This Row],[Detailed Description]],CompuSystems_2023_2025IA[Total Cost (2025)])</f>
        <v>0</v>
      </c>
      <c r="S27" s="118">
        <f>SUMIF(CompuSystems_2025COL[Detailed Description],Table162223[[#This Row],[Detailed Description]],CompuSystems_2025COL[Total Cost])</f>
        <v>0</v>
      </c>
      <c r="T27" s="118">
        <f>SUM(Table162223[[#This Row],[CompuSystems2024IC]:[CompuSystems2022COL]])</f>
        <v>0</v>
      </c>
      <c r="V27" s="123" t="s">
        <v>179</v>
      </c>
      <c r="W27" s="118">
        <f>SUMIF(MCI_2025IC[Detailed Description],Table16222324[[#This Row],[Detailed Description]],MCI_2025IC[Total Cost])</f>
        <v>0</v>
      </c>
      <c r="X27" s="118">
        <f>SUMIF(MCI_2024IC[Detailed Description],Table16222324[[#This Row],[Detailed Description]],MCI_2024IC[Total Cost])</f>
        <v>0</v>
      </c>
      <c r="Y27" s="118">
        <f>SUMIF(MCI_2023IC[Detailed Description],Table16222324[[#This Row],[Detailed Description]],MCI_2023IC[Total Cost])</f>
        <v>0</v>
      </c>
      <c r="Z27" s="118">
        <f>SUMIF(MCI_2023_2025IA[Detailed Description],Table16222324[[#This Row],[Detailed Description]],MCI_2023_2025IA[Total Cost (2023)])</f>
        <v>0</v>
      </c>
      <c r="AA27" s="118">
        <f>SUMIF(MCI_2023_2025IA[Detailed Description],Table16222324[[#This Row],[Detailed Description]],MCI_2023_2025IA[Total Cost (2025)])</f>
        <v>0</v>
      </c>
      <c r="AB27" s="118">
        <f>SUMIF(MCI_2023_2025IA[Detailed Description],Table16222324[[#This Row],[Detailed Description]],MCI_2023_2025IA[Total Cost (2025)])</f>
        <v>0</v>
      </c>
      <c r="AC27" s="118">
        <f>SUMIF(MCI_2025COL[Detailed Description],Table16222324[[#This Row],[Detailed Description]],MCI_2025COL[Total Cost])</f>
        <v>0</v>
      </c>
      <c r="AD27" s="118">
        <f>SUM(Table16222324[[#This Row],[MCI2024IC]:[MCI2022COL]])</f>
        <v>0</v>
      </c>
    </row>
    <row r="28" spans="2:30" x14ac:dyDescent="0.35">
      <c r="B28" s="123" t="s">
        <v>181</v>
      </c>
      <c r="C28" s="118">
        <f>SUMIF(Aventri_2024IC[Detailed Description],Table1622[[#This Row],[Detailed Description]],Aventri_2024IC[Total Cost])</f>
        <v>0</v>
      </c>
      <c r="D28" s="118">
        <f>SUMIF(Aventri_2023IC[Detailed Description],Table1622[[#This Row],[Detailed Description]],Aventri_2023IC[Total Cost])</f>
        <v>0</v>
      </c>
      <c r="E28" s="118">
        <f>SUMIF(Aventri_2022IC[Detailed Description],Table1622[[#This Row],[Detailed Description]],Aventri_2022IC[Total Cost])</f>
        <v>0</v>
      </c>
      <c r="F28" s="118">
        <f>SUMIF(Aventri_2021_2023IA[Detailed Description],Table1622[[#This Row],[Detailed Description]],Aventri_2021_2023IA[Total Cost (2022)])</f>
        <v>0</v>
      </c>
      <c r="G28" s="118">
        <f>SUMIF(Aventri_2021_2023IA[Detailed Description],Table1622[[#This Row],[Detailed Description]],Aventri_2021_2023IA[Total Cost (2023)])</f>
        <v>0</v>
      </c>
      <c r="H28" s="118">
        <f>SUMIF(Aventri_2021_2023IA[Detailed Description],Table1622[[#This Row],[Detailed Description]],Aventri_2021_2023IA[Total Cost (2024)])</f>
        <v>0</v>
      </c>
      <c r="I28" s="118">
        <f>SUMIF(Aventri_2022COL[Detailed Description],Table1622[[#This Row],[Detailed Description]],Aventri_2022COL[Total Cost])</f>
        <v>0</v>
      </c>
      <c r="J28" s="118">
        <f>SUM(Table1622[[#This Row],[Aventri_2024IC]:[Aventri_2022COL]])</f>
        <v>0</v>
      </c>
      <c r="L28" s="123" t="s">
        <v>181</v>
      </c>
      <c r="M28" s="118">
        <f>SUMIF(CompuSystems_2025IC[Detailed Description],Table162223[[#This Row],[Detailed Description]],CompuSystems_2025IC[Total Cost])</f>
        <v>10000</v>
      </c>
      <c r="N28" s="118">
        <f>SUMIF(CompuSystems_2024IC[Detailed Description],Table162223[[#This Row],[Detailed Description]],CompuSystems_2024IC[Total Cost])</f>
        <v>10000</v>
      </c>
      <c r="O28" s="118">
        <f>SUMIF(CompuSystems_2023IC[Detailed Description],Table162223[[#This Row],[Detailed Description]],CompuSystems_2023IC[Total Cost])</f>
        <v>10000</v>
      </c>
      <c r="P28" s="118">
        <f>SUMIF(CompuSystems_2023_2025IA[Detailed Description],Table162223[[#This Row],[Detailed Description]],CompuSystems_2023_2025IA[Total Cost (2023)])</f>
        <v>0</v>
      </c>
      <c r="Q28" s="118">
        <f>SUMIF(CompuSystems_2023_2025IA[Detailed Description],Table162223[[#This Row],[Detailed Description]],CompuSystems_2023_2025IA[Total Cost (2025)])</f>
        <v>0</v>
      </c>
      <c r="R28" s="118">
        <f>SUMIF(CompuSystems_2023_2025IA[Detailed Description],Table162223[[#This Row],[Detailed Description]],CompuSystems_2023_2025IA[Total Cost (2025)])</f>
        <v>0</v>
      </c>
      <c r="S28" s="118">
        <f>SUMIF(CompuSystems_2025COL[Detailed Description],Table162223[[#This Row],[Detailed Description]],CompuSystems_2025COL[Total Cost])</f>
        <v>0</v>
      </c>
      <c r="T28" s="118">
        <f>SUM(Table162223[[#This Row],[CompuSystems2024IC]:[CompuSystems2022COL]])</f>
        <v>30000</v>
      </c>
      <c r="V28" s="123" t="s">
        <v>181</v>
      </c>
      <c r="W28" s="118">
        <f>SUMIF(MCI_2025IC[Detailed Description],Table16222324[[#This Row],[Detailed Description]],MCI_2025IC[Total Cost])</f>
        <v>0</v>
      </c>
      <c r="X28" s="118">
        <f>SUMIF(MCI_2024IC[Detailed Description],Table16222324[[#This Row],[Detailed Description]],MCI_2024IC[Total Cost])</f>
        <v>0</v>
      </c>
      <c r="Y28" s="118">
        <f>SUMIF(MCI_2023IC[Detailed Description],Table16222324[[#This Row],[Detailed Description]],MCI_2023IC[Total Cost])</f>
        <v>0</v>
      </c>
      <c r="Z28" s="118">
        <f>SUMIF(MCI_2023_2025IA[Detailed Description],Table16222324[[#This Row],[Detailed Description]],MCI_2023_2025IA[Total Cost (2023)])</f>
        <v>0</v>
      </c>
      <c r="AA28" s="118">
        <f>SUMIF(MCI_2023_2025IA[Detailed Description],Table16222324[[#This Row],[Detailed Description]],MCI_2023_2025IA[Total Cost (2025)])</f>
        <v>0</v>
      </c>
      <c r="AB28" s="118">
        <f>SUMIF(MCI_2023_2025IA[Detailed Description],Table16222324[[#This Row],[Detailed Description]],MCI_2023_2025IA[Total Cost (2025)])</f>
        <v>0</v>
      </c>
      <c r="AC28" s="118">
        <f>SUMIF(MCI_2025COL[Detailed Description],Table16222324[[#This Row],[Detailed Description]],MCI_2025COL[Total Cost])</f>
        <v>0</v>
      </c>
      <c r="AD28" s="118">
        <f>SUM(Table16222324[[#This Row],[MCI2024IC]:[MCI2022COL]])</f>
        <v>0</v>
      </c>
    </row>
    <row r="29" spans="2:30" x14ac:dyDescent="0.35">
      <c r="B29" s="124" t="s">
        <v>166</v>
      </c>
      <c r="C29" s="118">
        <f>SUMIF(Aventri_2024IC[Detailed Description],Table1622[[#This Row],[Detailed Description]],Aventri_2024IC[Total Cost])</f>
        <v>0</v>
      </c>
      <c r="D29" s="118">
        <f>SUMIF(Aventri_2023IC[Detailed Description],Table1622[[#This Row],[Detailed Description]],Aventri_2023IC[Total Cost])</f>
        <v>0</v>
      </c>
      <c r="E29" s="118">
        <f>SUMIF(Aventri_2022IC[Detailed Description],Table1622[[#This Row],[Detailed Description]],Aventri_2022IC[Total Cost])</f>
        <v>0</v>
      </c>
      <c r="F29" s="118">
        <f>SUMIF(Aventri_2021_2023IA[Detailed Description],Table1622[[#This Row],[Detailed Description]],Aventri_2021_2023IA[Total Cost (2022)])</f>
        <v>0</v>
      </c>
      <c r="G29" s="118">
        <f>SUMIF(Aventri_2021_2023IA[Detailed Description],Table1622[[#This Row],[Detailed Description]],Aventri_2021_2023IA[Total Cost (2023)])</f>
        <v>0</v>
      </c>
      <c r="H29" s="118">
        <f>SUMIF(Aventri_2021_2023IA[Detailed Description],Table1622[[#This Row],[Detailed Description]],Aventri_2021_2023IA[Total Cost (2024)])</f>
        <v>0</v>
      </c>
      <c r="I29" s="118">
        <f>SUMIF(Aventri_2022COL[Detailed Description],Table1622[[#This Row],[Detailed Description]],Aventri_2022COL[Total Cost])</f>
        <v>0</v>
      </c>
      <c r="J29" s="118">
        <f>SUM(Table1622[[#This Row],[Aventri_2024IC]:[Aventri_2022COL]])</f>
        <v>0</v>
      </c>
      <c r="L29" s="124" t="s">
        <v>166</v>
      </c>
      <c r="M29" s="118">
        <f>SUMIF(CompuSystems_2025IC[Detailed Description],Table162223[[#This Row],[Detailed Description]],CompuSystems_2025IC[Total Cost])</f>
        <v>0</v>
      </c>
      <c r="N29" s="118">
        <f>SUMIF(CompuSystems_2024IC[Detailed Description],Table162223[[#This Row],[Detailed Description]],CompuSystems_2024IC[Total Cost])</f>
        <v>0</v>
      </c>
      <c r="O29" s="118">
        <f>SUMIF(CompuSystems_2023IC[Detailed Description],Table162223[[#This Row],[Detailed Description]],CompuSystems_2023IC[Total Cost])</f>
        <v>0</v>
      </c>
      <c r="P29" s="118">
        <f>SUMIF(CompuSystems_2023_2025IA[Detailed Description],Table162223[[#This Row],[Detailed Description]],CompuSystems_2023_2025IA[Total Cost (2023)])</f>
        <v>0</v>
      </c>
      <c r="Q29" s="118">
        <f>SUMIF(CompuSystems_2023_2025IA[Detailed Description],Table162223[[#This Row],[Detailed Description]],CompuSystems_2023_2025IA[Total Cost (2025)])</f>
        <v>0</v>
      </c>
      <c r="R29" s="118">
        <f>SUMIF(CompuSystems_2023_2025IA[Detailed Description],Table162223[[#This Row],[Detailed Description]],CompuSystems_2023_2025IA[Total Cost (2025)])</f>
        <v>0</v>
      </c>
      <c r="S29" s="118">
        <f>SUMIF(CompuSystems_2025COL[Detailed Description],Table162223[[#This Row],[Detailed Description]],CompuSystems_2025COL[Total Cost])</f>
        <v>0</v>
      </c>
      <c r="T29" s="118">
        <f>SUM(Table162223[[#This Row],[CompuSystems2024IC]:[CompuSystems2022COL]])</f>
        <v>0</v>
      </c>
      <c r="V29" s="124" t="s">
        <v>166</v>
      </c>
      <c r="W29" s="118">
        <f>SUMIF(MCI_2025IC[Detailed Description],Table16222324[[#This Row],[Detailed Description]],MCI_2025IC[Total Cost])</f>
        <v>6000</v>
      </c>
      <c r="X29" s="118">
        <f>SUMIF(MCI_2024IC[Detailed Description],Table16222324[[#This Row],[Detailed Description]],MCI_2024IC[Total Cost])</f>
        <v>6000</v>
      </c>
      <c r="Y29" s="118">
        <f>SUMIF(MCI_2023IC[Detailed Description],Table16222324[[#This Row],[Detailed Description]],MCI_2023IC[Total Cost])</f>
        <v>6000</v>
      </c>
      <c r="Z29" s="118">
        <f>SUMIF(MCI_2023_2025IA[Detailed Description],Table16222324[[#This Row],[Detailed Description]],MCI_2023_2025IA[Total Cost (2023)])</f>
        <v>0</v>
      </c>
      <c r="AA29" s="118">
        <f>SUMIF(MCI_2023_2025IA[Detailed Description],Table16222324[[#This Row],[Detailed Description]],MCI_2023_2025IA[Total Cost (2025)])</f>
        <v>0</v>
      </c>
      <c r="AB29" s="118">
        <f>SUMIF(MCI_2023_2025IA[Detailed Description],Table16222324[[#This Row],[Detailed Description]],MCI_2023_2025IA[Total Cost (2025)])</f>
        <v>0</v>
      </c>
      <c r="AC29" s="118">
        <f>SUMIF(MCI_2025COL[Detailed Description],Table16222324[[#This Row],[Detailed Description]],MCI_2025COL[Total Cost])</f>
        <v>6000</v>
      </c>
      <c r="AD29" s="118">
        <f>SUM(Table16222324[[#This Row],[MCI2024IC]:[MCI2022COL]])</f>
        <v>24000</v>
      </c>
    </row>
    <row r="30" spans="2:30" x14ac:dyDescent="0.35">
      <c r="B30" s="125" t="s">
        <v>243</v>
      </c>
      <c r="C30" s="118">
        <f>SUMIF(Aventri_2024IC[Detailed Description],Table1622[[#This Row],[Detailed Description]],Aventri_2024IC[Total Cost])</f>
        <v>0</v>
      </c>
      <c r="D30" s="118">
        <f>SUMIF(Aventri_2023IC[Detailed Description],Table1622[[#This Row],[Detailed Description]],Aventri_2023IC[Total Cost])</f>
        <v>0</v>
      </c>
      <c r="E30" s="118">
        <f>SUMIF(Aventri_2022IC[Detailed Description],Table1622[[#This Row],[Detailed Description]],Aventri_2022IC[Total Cost])</f>
        <v>0</v>
      </c>
      <c r="F30" s="118">
        <f>SUMIF(Aventri_2021_2023IA[Detailed Description],Table1622[[#This Row],[Detailed Description]],Aventri_2021_2023IA[Total Cost (2022)])</f>
        <v>0</v>
      </c>
      <c r="G30" s="118">
        <f>SUMIF(Aventri_2021_2023IA[Detailed Description],Table1622[[#This Row],[Detailed Description]],Aventri_2021_2023IA[Total Cost (2023)])</f>
        <v>0</v>
      </c>
      <c r="H30" s="118">
        <f>SUMIF(Aventri_2021_2023IA[Detailed Description],Table1622[[#This Row],[Detailed Description]],Aventri_2021_2023IA[Total Cost (2024)])</f>
        <v>0</v>
      </c>
      <c r="I30" s="118">
        <f>SUMIF(Aventri_2022COL[Detailed Description],Table1622[[#This Row],[Detailed Description]],Aventri_2022COL[Total Cost])</f>
        <v>0</v>
      </c>
      <c r="J30" s="118">
        <f>SUM(Table1622[[#This Row],[Aventri_2024IC]:[Aventri_2022COL]])</f>
        <v>0</v>
      </c>
      <c r="L30" s="125" t="s">
        <v>243</v>
      </c>
      <c r="M30" s="118">
        <f>SUMIF(CompuSystems_2025IC[Detailed Description],Table162223[[#This Row],[Detailed Description]],CompuSystems_2025IC[Total Cost])</f>
        <v>0</v>
      </c>
      <c r="N30" s="118">
        <f>SUMIF(CompuSystems_2024IC[Detailed Description],Table162223[[#This Row],[Detailed Description]],CompuSystems_2024IC[Total Cost])</f>
        <v>0</v>
      </c>
      <c r="O30" s="118">
        <f>SUMIF(CompuSystems_2023IC[Detailed Description],Table162223[[#This Row],[Detailed Description]],CompuSystems_2023IC[Total Cost])</f>
        <v>0</v>
      </c>
      <c r="P30" s="118">
        <f>SUMIF(CompuSystems_2023_2025IA[Detailed Description],Table162223[[#This Row],[Detailed Description]],CompuSystems_2023_2025IA[Total Cost (2023)])</f>
        <v>0</v>
      </c>
      <c r="Q30" s="118">
        <f>SUMIF(CompuSystems_2023_2025IA[Detailed Description],Table162223[[#This Row],[Detailed Description]],CompuSystems_2023_2025IA[Total Cost (2025)])</f>
        <v>0</v>
      </c>
      <c r="R30" s="118">
        <f>SUMIF(CompuSystems_2023_2025IA[Detailed Description],Table162223[[#This Row],[Detailed Description]],CompuSystems_2023_2025IA[Total Cost (2025)])</f>
        <v>0</v>
      </c>
      <c r="S30" s="118">
        <f>SUMIF(CompuSystems_2025COL[Detailed Description],Table162223[[#This Row],[Detailed Description]],CompuSystems_2025COL[Total Cost])</f>
        <v>0</v>
      </c>
      <c r="T30" s="118">
        <f>SUM(Table162223[[#This Row],[CompuSystems2024IC]:[CompuSystems2022COL]])</f>
        <v>0</v>
      </c>
      <c r="V30" s="125" t="s">
        <v>243</v>
      </c>
      <c r="W30" s="118">
        <f>SUMIF(MCI_2025IC[Detailed Description],Table16222324[[#This Row],[Detailed Description]],MCI_2025IC[Total Cost])</f>
        <v>0</v>
      </c>
      <c r="X30" s="118">
        <f>SUMIF(MCI_2024IC[Detailed Description],Table16222324[[#This Row],[Detailed Description]],MCI_2024IC[Total Cost])</f>
        <v>0</v>
      </c>
      <c r="Y30" s="118">
        <f>SUMIF(MCI_2023IC[Detailed Description],Table16222324[[#This Row],[Detailed Description]],MCI_2023IC[Total Cost])</f>
        <v>0</v>
      </c>
      <c r="Z30" s="118">
        <f>SUMIF(MCI_2023_2025IA[Detailed Description],Table16222324[[#This Row],[Detailed Description]],MCI_2023_2025IA[Total Cost (2023)])</f>
        <v>0</v>
      </c>
      <c r="AA30" s="118">
        <f>SUMIF(MCI_2023_2025IA[Detailed Description],Table16222324[[#This Row],[Detailed Description]],MCI_2023_2025IA[Total Cost (2025)])</f>
        <v>0</v>
      </c>
      <c r="AB30" s="118">
        <f>SUMIF(MCI_2023_2025IA[Detailed Description],Table16222324[[#This Row],[Detailed Description]],MCI_2023_2025IA[Total Cost (2025)])</f>
        <v>0</v>
      </c>
      <c r="AC30" s="118">
        <f>SUMIF(MCI_2025COL[Detailed Description],Table16222324[[#This Row],[Detailed Description]],MCI_2025COL[Total Cost])</f>
        <v>0</v>
      </c>
      <c r="AD30" s="118">
        <f>SUM(Table16222324[[#This Row],[MCI2024IC]:[MCI2022COL]])</f>
        <v>0</v>
      </c>
    </row>
    <row r="31" spans="2:30" x14ac:dyDescent="0.35">
      <c r="B31" s="125" t="s">
        <v>244</v>
      </c>
      <c r="C31" s="118">
        <f>SUMIF(Aventri_2024IC[Detailed Description],Table1622[[#This Row],[Detailed Description]],Aventri_2024IC[Total Cost])</f>
        <v>0</v>
      </c>
      <c r="D31" s="118">
        <f>SUMIF(Aventri_2023IC[Detailed Description],Table1622[[#This Row],[Detailed Description]],Aventri_2023IC[Total Cost])</f>
        <v>0</v>
      </c>
      <c r="E31" s="118">
        <f>SUMIF(Aventri_2022IC[Detailed Description],Table1622[[#This Row],[Detailed Description]],Aventri_2022IC[Total Cost])</f>
        <v>0</v>
      </c>
      <c r="F31" s="118">
        <f>SUMIF(Aventri_2021_2023IA[Detailed Description],Table1622[[#This Row],[Detailed Description]],Aventri_2021_2023IA[Total Cost (2022)])</f>
        <v>0</v>
      </c>
      <c r="G31" s="118">
        <f>SUMIF(Aventri_2021_2023IA[Detailed Description],Table1622[[#This Row],[Detailed Description]],Aventri_2021_2023IA[Total Cost (2023)])</f>
        <v>0</v>
      </c>
      <c r="H31" s="118">
        <f>SUMIF(Aventri_2021_2023IA[Detailed Description],Table1622[[#This Row],[Detailed Description]],Aventri_2021_2023IA[Total Cost (2024)])</f>
        <v>0</v>
      </c>
      <c r="I31" s="118">
        <f>SUMIF(Aventri_2022COL[Detailed Description],Table1622[[#This Row],[Detailed Description]],Aventri_2022COL[Total Cost])</f>
        <v>0</v>
      </c>
      <c r="J31" s="118">
        <f>SUM(Table1622[[#This Row],[Aventri_2024IC]:[Aventri_2022COL]])</f>
        <v>0</v>
      </c>
      <c r="L31" s="125" t="s">
        <v>244</v>
      </c>
      <c r="M31" s="118">
        <f>SUMIF(CompuSystems_2025IC[Detailed Description],Table162223[[#This Row],[Detailed Description]],CompuSystems_2025IC[Total Cost])</f>
        <v>0</v>
      </c>
      <c r="N31" s="118">
        <f>SUMIF(CompuSystems_2024IC[Detailed Description],Table162223[[#This Row],[Detailed Description]],CompuSystems_2024IC[Total Cost])</f>
        <v>0</v>
      </c>
      <c r="O31" s="118">
        <f>SUMIF(CompuSystems_2023IC[Detailed Description],Table162223[[#This Row],[Detailed Description]],CompuSystems_2023IC[Total Cost])</f>
        <v>0</v>
      </c>
      <c r="P31" s="118">
        <f>SUMIF(CompuSystems_2023_2025IA[Detailed Description],Table162223[[#This Row],[Detailed Description]],CompuSystems_2023_2025IA[Total Cost (2023)])</f>
        <v>0</v>
      </c>
      <c r="Q31" s="118">
        <f>SUMIF(CompuSystems_2023_2025IA[Detailed Description],Table162223[[#This Row],[Detailed Description]],CompuSystems_2023_2025IA[Total Cost (2025)])</f>
        <v>0</v>
      </c>
      <c r="R31" s="118">
        <f>SUMIF(CompuSystems_2023_2025IA[Detailed Description],Table162223[[#This Row],[Detailed Description]],CompuSystems_2023_2025IA[Total Cost (2025)])</f>
        <v>0</v>
      </c>
      <c r="S31" s="118">
        <f>SUMIF(CompuSystems_2025COL[Detailed Description],Table162223[[#This Row],[Detailed Description]],CompuSystems_2025COL[Total Cost])</f>
        <v>0</v>
      </c>
      <c r="T31" s="118">
        <f>SUM(Table162223[[#This Row],[CompuSystems2024IC]:[CompuSystems2022COL]])</f>
        <v>0</v>
      </c>
      <c r="V31" s="125" t="s">
        <v>244</v>
      </c>
      <c r="W31" s="118">
        <f>SUMIF(MCI_2025IC[Detailed Description],Table16222324[[#This Row],[Detailed Description]],MCI_2025IC[Total Cost])</f>
        <v>0</v>
      </c>
      <c r="X31" s="118">
        <f>SUMIF(MCI_2024IC[Detailed Description],Table16222324[[#This Row],[Detailed Description]],MCI_2024IC[Total Cost])</f>
        <v>0</v>
      </c>
      <c r="Y31" s="118">
        <f>SUMIF(MCI_2023IC[Detailed Description],Table16222324[[#This Row],[Detailed Description]],MCI_2023IC[Total Cost])</f>
        <v>0</v>
      </c>
      <c r="Z31" s="118">
        <f>SUMIF(MCI_2023_2025IA[Detailed Description],Table16222324[[#This Row],[Detailed Description]],MCI_2023_2025IA[Total Cost (2023)])</f>
        <v>0</v>
      </c>
      <c r="AA31" s="118">
        <f>SUMIF(MCI_2023_2025IA[Detailed Description],Table16222324[[#This Row],[Detailed Description]],MCI_2023_2025IA[Total Cost (2025)])</f>
        <v>0</v>
      </c>
      <c r="AB31" s="118">
        <f>SUMIF(MCI_2023_2025IA[Detailed Description],Table16222324[[#This Row],[Detailed Description]],MCI_2023_2025IA[Total Cost (2025)])</f>
        <v>0</v>
      </c>
      <c r="AC31" s="118">
        <f>SUMIF(MCI_2025COL[Detailed Description],Table16222324[[#This Row],[Detailed Description]],MCI_2025COL[Total Cost])</f>
        <v>0</v>
      </c>
      <c r="AD31" s="118">
        <f>SUM(Table16222324[[#This Row],[MCI2024IC]:[MCI2022COL]])</f>
        <v>0</v>
      </c>
    </row>
    <row r="32" spans="2:30" x14ac:dyDescent="0.35">
      <c r="B32" s="123" t="s">
        <v>172</v>
      </c>
      <c r="C32" s="118">
        <f>SUMIF(Aventri_2024IC[Detailed Description],Table1622[[#This Row],[Detailed Description]],Aventri_2024IC[Total Cost])</f>
        <v>0</v>
      </c>
      <c r="D32" s="118">
        <f>SUMIF(Aventri_2023IC[Detailed Description],Table1622[[#This Row],[Detailed Description]],Aventri_2023IC[Total Cost])</f>
        <v>0</v>
      </c>
      <c r="E32" s="118">
        <f>SUMIF(Aventri_2022IC[Detailed Description],Table1622[[#This Row],[Detailed Description]],Aventri_2022IC[Total Cost])</f>
        <v>0</v>
      </c>
      <c r="F32" s="118">
        <f>SUMIF(Aventri_2021_2023IA[Detailed Description],Table1622[[#This Row],[Detailed Description]],Aventri_2021_2023IA[Total Cost (2022)])</f>
        <v>0</v>
      </c>
      <c r="G32" s="118">
        <f>SUMIF(Aventri_2021_2023IA[Detailed Description],Table1622[[#This Row],[Detailed Description]],Aventri_2021_2023IA[Total Cost (2023)])</f>
        <v>0</v>
      </c>
      <c r="H32" s="118">
        <f>SUMIF(Aventri_2021_2023IA[Detailed Description],Table1622[[#This Row],[Detailed Description]],Aventri_2021_2023IA[Total Cost (2024)])</f>
        <v>0</v>
      </c>
      <c r="I32" s="118">
        <f>SUMIF(Aventri_2022COL[Detailed Description],Table1622[[#This Row],[Detailed Description]],Aventri_2022COL[Total Cost])</f>
        <v>0</v>
      </c>
      <c r="J32" s="118">
        <f>SUM(Table1622[[#This Row],[Aventri_2024IC]:[Aventri_2022COL]])</f>
        <v>0</v>
      </c>
      <c r="L32" s="123" t="s">
        <v>172</v>
      </c>
      <c r="M32" s="118">
        <f>SUMIF(CompuSystems_2025IC[Detailed Description],Table162223[[#This Row],[Detailed Description]],CompuSystems_2025IC[Total Cost])</f>
        <v>0</v>
      </c>
      <c r="N32" s="118">
        <f>SUMIF(CompuSystems_2024IC[Detailed Description],Table162223[[#This Row],[Detailed Description]],CompuSystems_2024IC[Total Cost])</f>
        <v>0</v>
      </c>
      <c r="O32" s="118">
        <f>SUMIF(CompuSystems_2023IC[Detailed Description],Table162223[[#This Row],[Detailed Description]],CompuSystems_2023IC[Total Cost])</f>
        <v>0</v>
      </c>
      <c r="P32" s="118">
        <f>SUMIF(CompuSystems_2023_2025IA[Detailed Description],Table162223[[#This Row],[Detailed Description]],CompuSystems_2023_2025IA[Total Cost (2023)])</f>
        <v>0</v>
      </c>
      <c r="Q32" s="118">
        <f>SUMIF(CompuSystems_2023_2025IA[Detailed Description],Table162223[[#This Row],[Detailed Description]],CompuSystems_2023_2025IA[Total Cost (2025)])</f>
        <v>0</v>
      </c>
      <c r="R32" s="118">
        <f>SUMIF(CompuSystems_2023_2025IA[Detailed Description],Table162223[[#This Row],[Detailed Description]],CompuSystems_2023_2025IA[Total Cost (2025)])</f>
        <v>0</v>
      </c>
      <c r="S32" s="118">
        <f>SUMIF(CompuSystems_2025COL[Detailed Description],Table162223[[#This Row],[Detailed Description]],CompuSystems_2025COL[Total Cost])</f>
        <v>0</v>
      </c>
      <c r="T32" s="118">
        <f>SUM(Table162223[[#This Row],[CompuSystems2024IC]:[CompuSystems2022COL]])</f>
        <v>0</v>
      </c>
      <c r="V32" s="123" t="s">
        <v>172</v>
      </c>
      <c r="W32" s="118">
        <f>SUMIF(MCI_2025IC[Detailed Description],Table16222324[[#This Row],[Detailed Description]],MCI_2025IC[Total Cost])</f>
        <v>0</v>
      </c>
      <c r="X32" s="118">
        <f>SUMIF(MCI_2024IC[Detailed Description],Table16222324[[#This Row],[Detailed Description]],MCI_2024IC[Total Cost])</f>
        <v>0</v>
      </c>
      <c r="Y32" s="118">
        <f>SUMIF(MCI_2023IC[Detailed Description],Table16222324[[#This Row],[Detailed Description]],MCI_2023IC[Total Cost])</f>
        <v>0</v>
      </c>
      <c r="Z32" s="118">
        <f>SUMIF(MCI_2023_2025IA[Detailed Description],Table16222324[[#This Row],[Detailed Description]],MCI_2023_2025IA[Total Cost (2023)])</f>
        <v>0</v>
      </c>
      <c r="AA32" s="118">
        <f>SUMIF(MCI_2023_2025IA[Detailed Description],Table16222324[[#This Row],[Detailed Description]],MCI_2023_2025IA[Total Cost (2025)])</f>
        <v>0</v>
      </c>
      <c r="AB32" s="118">
        <f>SUMIF(MCI_2023_2025IA[Detailed Description],Table16222324[[#This Row],[Detailed Description]],MCI_2023_2025IA[Total Cost (2025)])</f>
        <v>0</v>
      </c>
      <c r="AC32" s="118">
        <f>SUMIF(MCI_2025COL[Detailed Description],Table16222324[[#This Row],[Detailed Description]],MCI_2025COL[Total Cost])</f>
        <v>0</v>
      </c>
      <c r="AD32" s="118">
        <f>SUM(Table16222324[[#This Row],[MCI2024IC]:[MCI2022COL]])</f>
        <v>0</v>
      </c>
    </row>
    <row r="33" spans="2:30" x14ac:dyDescent="0.35">
      <c r="B33" s="122" t="s">
        <v>266</v>
      </c>
      <c r="C33" s="118">
        <f>SUMIF(Aventri_2024IC[Detailed Description],Table1622[[#This Row],[Detailed Description]],Aventri_2024IC[Total Cost])</f>
        <v>0</v>
      </c>
      <c r="D33" s="118">
        <f>SUMIF(Aventri_2023IC[Detailed Description],Table1622[[#This Row],[Detailed Description]],Aventri_2023IC[Total Cost])</f>
        <v>0</v>
      </c>
      <c r="E33" s="118">
        <f>SUMIF(Aventri_2022IC[Detailed Description],Table1622[[#This Row],[Detailed Description]],Aventri_2022IC[Total Cost])</f>
        <v>0</v>
      </c>
      <c r="F33" s="118">
        <f>SUMIF(Aventri_2021_2023IA[Detailed Description],Table1622[[#This Row],[Detailed Description]],Aventri_2021_2023IA[Total Cost (2022)])</f>
        <v>0</v>
      </c>
      <c r="G33" s="118">
        <f>SUMIF(Aventri_2021_2023IA[Detailed Description],Table1622[[#This Row],[Detailed Description]],Aventri_2021_2023IA[Total Cost (2023)])</f>
        <v>0</v>
      </c>
      <c r="H33" s="118">
        <f>SUMIF(Aventri_2021_2023IA[Detailed Description],Table1622[[#This Row],[Detailed Description]],Aventri_2021_2023IA[Total Cost (2024)])</f>
        <v>0</v>
      </c>
      <c r="I33" s="118">
        <f>SUMIF(Aventri_2022COL[Detailed Description],Table1622[[#This Row],[Detailed Description]],Aventri_2022COL[Total Cost])</f>
        <v>0</v>
      </c>
      <c r="J33" s="118">
        <f>SUM(Table1622[[#This Row],[Aventri_2024IC]:[Aventri_2022COL]])</f>
        <v>0</v>
      </c>
      <c r="L33" s="122" t="s">
        <v>266</v>
      </c>
      <c r="M33" s="118">
        <f>SUMIF(CompuSystems_2025IC[Detailed Description],Table162223[[#This Row],[Detailed Description]],CompuSystems_2025IC[Total Cost])</f>
        <v>0</v>
      </c>
      <c r="N33" s="118">
        <f>SUMIF(CompuSystems_2024IC[Detailed Description],Table162223[[#This Row],[Detailed Description]],CompuSystems_2024IC[Total Cost])</f>
        <v>0</v>
      </c>
      <c r="O33" s="118">
        <f>SUMIF(CompuSystems_2023IC[Detailed Description],Table162223[[#This Row],[Detailed Description]],CompuSystems_2023IC[Total Cost])</f>
        <v>0</v>
      </c>
      <c r="P33" s="118">
        <f>SUMIF(CompuSystems_2023_2025IA[Detailed Description],Table162223[[#This Row],[Detailed Description]],CompuSystems_2023_2025IA[Total Cost (2023)])</f>
        <v>0</v>
      </c>
      <c r="Q33" s="118">
        <f>SUMIF(CompuSystems_2023_2025IA[Detailed Description],Table162223[[#This Row],[Detailed Description]],CompuSystems_2023_2025IA[Total Cost (2025)])</f>
        <v>0</v>
      </c>
      <c r="R33" s="118">
        <f>SUMIF(CompuSystems_2023_2025IA[Detailed Description],Table162223[[#This Row],[Detailed Description]],CompuSystems_2023_2025IA[Total Cost (2025)])</f>
        <v>0</v>
      </c>
      <c r="S33" s="118">
        <f>SUMIF(CompuSystems_2025COL[Detailed Description],Table162223[[#This Row],[Detailed Description]],CompuSystems_2025COL[Total Cost])</f>
        <v>500</v>
      </c>
      <c r="T33" s="118">
        <f>SUM(Table162223[[#This Row],[CompuSystems2024IC]:[CompuSystems2022COL]])</f>
        <v>500</v>
      </c>
      <c r="V33" s="122" t="s">
        <v>266</v>
      </c>
      <c r="W33" s="118">
        <f>SUMIF(MCI_2025IC[Detailed Description],Table16222324[[#This Row],[Detailed Description]],MCI_2025IC[Total Cost])</f>
        <v>0</v>
      </c>
      <c r="X33" s="118">
        <f>SUMIF(MCI_2024IC[Detailed Description],Table16222324[[#This Row],[Detailed Description]],MCI_2024IC[Total Cost])</f>
        <v>0</v>
      </c>
      <c r="Y33" s="118">
        <f>SUMIF(MCI_2023IC[Detailed Description],Table16222324[[#This Row],[Detailed Description]],MCI_2023IC[Total Cost])</f>
        <v>0</v>
      </c>
      <c r="Z33" s="118">
        <f>SUMIF(MCI_2023_2025IA[Detailed Description],Table16222324[[#This Row],[Detailed Description]],MCI_2023_2025IA[Total Cost (2023)])</f>
        <v>0</v>
      </c>
      <c r="AA33" s="118">
        <f>SUMIF(MCI_2023_2025IA[Detailed Description],Table16222324[[#This Row],[Detailed Description]],MCI_2023_2025IA[Total Cost (2025)])</f>
        <v>0</v>
      </c>
      <c r="AB33" s="118">
        <f>SUMIF(MCI_2023_2025IA[Detailed Description],Table16222324[[#This Row],[Detailed Description]],MCI_2023_2025IA[Total Cost (2025)])</f>
        <v>0</v>
      </c>
      <c r="AC33" s="118">
        <f>SUMIF(MCI_2025COL[Detailed Description],Table16222324[[#This Row],[Detailed Description]],MCI_2025COL[Total Cost])</f>
        <v>0</v>
      </c>
      <c r="AD33" s="118">
        <f>SUM(Table16222324[[#This Row],[MCI2024IC]:[MCI2022COL]])</f>
        <v>0</v>
      </c>
    </row>
    <row r="34" spans="2:30" x14ac:dyDescent="0.35">
      <c r="B34" s="123" t="s">
        <v>214</v>
      </c>
      <c r="C34" s="118">
        <f>SUMIF(Aventri_2024IC[Detailed Description],Table1622[[#This Row],[Detailed Description]],Aventri_2024IC[Total Cost])</f>
        <v>0</v>
      </c>
      <c r="D34" s="118">
        <f>SUMIF(Aventri_2023IC[Detailed Description],Table1622[[#This Row],[Detailed Description]],Aventri_2023IC[Total Cost])</f>
        <v>0</v>
      </c>
      <c r="E34" s="118">
        <f>SUMIF(Aventri_2022IC[Detailed Description],Table1622[[#This Row],[Detailed Description]],Aventri_2022IC[Total Cost])</f>
        <v>0</v>
      </c>
      <c r="F34" s="118">
        <f>SUMIF(Aventri_2021_2023IA[Detailed Description],Table1622[[#This Row],[Detailed Description]],Aventri_2021_2023IA[Total Cost (2022)])</f>
        <v>0</v>
      </c>
      <c r="G34" s="118">
        <f>SUMIF(Aventri_2021_2023IA[Detailed Description],Table1622[[#This Row],[Detailed Description]],Aventri_2021_2023IA[Total Cost (2023)])</f>
        <v>0</v>
      </c>
      <c r="H34" s="118">
        <f>SUMIF(Aventri_2021_2023IA[Detailed Description],Table1622[[#This Row],[Detailed Description]],Aventri_2021_2023IA[Total Cost (2024)])</f>
        <v>0</v>
      </c>
      <c r="I34" s="118">
        <f>SUMIF(Aventri_2022COL[Detailed Description],Table1622[[#This Row],[Detailed Description]],Aventri_2022COL[Total Cost])</f>
        <v>0</v>
      </c>
      <c r="J34" s="118">
        <f>SUM(Table1622[[#This Row],[Aventri_2024IC]:[Aventri_2022COL]])</f>
        <v>0</v>
      </c>
      <c r="L34" s="123" t="s">
        <v>214</v>
      </c>
      <c r="M34" s="118">
        <f>SUMIF(CompuSystems_2025IC[Detailed Description],Table162223[[#This Row],[Detailed Description]],CompuSystems_2025IC[Total Cost])</f>
        <v>1395</v>
      </c>
      <c r="N34" s="118">
        <f>SUMIF(CompuSystems_2024IC[Detailed Description],Table162223[[#This Row],[Detailed Description]],CompuSystems_2024IC[Total Cost])</f>
        <v>1395</v>
      </c>
      <c r="O34" s="118">
        <f>SUMIF(CompuSystems_2023IC[Detailed Description],Table162223[[#This Row],[Detailed Description]],CompuSystems_2023IC[Total Cost])</f>
        <v>1395</v>
      </c>
      <c r="P34" s="118">
        <f>SUMIF(CompuSystems_2023_2025IA[Detailed Description],Table162223[[#This Row],[Detailed Description]],CompuSystems_2023_2025IA[Total Cost (2023)])</f>
        <v>930</v>
      </c>
      <c r="Q34" s="118">
        <f>SUMIF(CompuSystems_2023_2025IA[Detailed Description],Table162223[[#This Row],[Detailed Description]],CompuSystems_2023_2025IA[Total Cost (2025)])</f>
        <v>930</v>
      </c>
      <c r="R34" s="118">
        <f>SUMIF(CompuSystems_2023_2025IA[Detailed Description],Table162223[[#This Row],[Detailed Description]],CompuSystems_2023_2025IA[Total Cost (2025)])</f>
        <v>930</v>
      </c>
      <c r="S34" s="118">
        <f>SUMIF(CompuSystems_2025COL[Detailed Description],Table162223[[#This Row],[Detailed Description]],CompuSystems_2025COL[Total Cost])</f>
        <v>0</v>
      </c>
      <c r="T34" s="118">
        <f>SUM(Table162223[[#This Row],[CompuSystems2024IC]:[CompuSystems2022COL]])</f>
        <v>6975</v>
      </c>
      <c r="V34" s="123" t="s">
        <v>214</v>
      </c>
      <c r="W34" s="118">
        <f>SUMIF(MCI_2025IC[Detailed Description],Table16222324[[#This Row],[Detailed Description]],MCI_2025IC[Total Cost])</f>
        <v>0</v>
      </c>
      <c r="X34" s="118">
        <f>SUMIF(MCI_2024IC[Detailed Description],Table16222324[[#This Row],[Detailed Description]],MCI_2024IC[Total Cost])</f>
        <v>0</v>
      </c>
      <c r="Y34" s="118">
        <f>SUMIF(MCI_2023IC[Detailed Description],Table16222324[[#This Row],[Detailed Description]],MCI_2023IC[Total Cost])</f>
        <v>0</v>
      </c>
      <c r="Z34" s="118">
        <f>SUMIF(MCI_2023_2025IA[Detailed Description],Table16222324[[#This Row],[Detailed Description]],MCI_2023_2025IA[Total Cost (2023)])</f>
        <v>0</v>
      </c>
      <c r="AA34" s="118">
        <f>SUMIF(MCI_2023_2025IA[Detailed Description],Table16222324[[#This Row],[Detailed Description]],MCI_2023_2025IA[Total Cost (2025)])</f>
        <v>0</v>
      </c>
      <c r="AB34" s="118">
        <f>SUMIF(MCI_2023_2025IA[Detailed Description],Table16222324[[#This Row],[Detailed Description]],MCI_2023_2025IA[Total Cost (2025)])</f>
        <v>0</v>
      </c>
      <c r="AC34" s="118">
        <f>SUMIF(MCI_2025COL[Detailed Description],Table16222324[[#This Row],[Detailed Description]],MCI_2025COL[Total Cost])</f>
        <v>0</v>
      </c>
      <c r="AD34" s="118">
        <f>SUM(Table16222324[[#This Row],[MCI2024IC]:[MCI2022COL]])</f>
        <v>0</v>
      </c>
    </row>
    <row r="35" spans="2:30" x14ac:dyDescent="0.35">
      <c r="B35" s="123" t="s">
        <v>214</v>
      </c>
      <c r="C35" s="118">
        <f>SUMIF(Aventri_2024IC[Detailed Description],Table1622[[#This Row],[Detailed Description]],Aventri_2024IC[Total Cost])</f>
        <v>0</v>
      </c>
      <c r="D35" s="118">
        <f>SUMIF(Aventri_2023IC[Detailed Description],Table1622[[#This Row],[Detailed Description]],Aventri_2023IC[Total Cost])</f>
        <v>0</v>
      </c>
      <c r="E35" s="118">
        <f>SUMIF(Aventri_2022IC[Detailed Description],Table1622[[#This Row],[Detailed Description]],Aventri_2022IC[Total Cost])</f>
        <v>0</v>
      </c>
      <c r="F35" s="118">
        <f>SUMIF(Aventri_2021_2023IA[Detailed Description],Table1622[[#This Row],[Detailed Description]],Aventri_2021_2023IA[Total Cost (2022)])</f>
        <v>0</v>
      </c>
      <c r="G35" s="118">
        <f>SUMIF(Aventri_2021_2023IA[Detailed Description],Table1622[[#This Row],[Detailed Description]],Aventri_2021_2023IA[Total Cost (2023)])</f>
        <v>0</v>
      </c>
      <c r="H35" s="118">
        <f>SUMIF(Aventri_2021_2023IA[Detailed Description],Table1622[[#This Row],[Detailed Description]],Aventri_2021_2023IA[Total Cost (2024)])</f>
        <v>0</v>
      </c>
      <c r="I35" s="118">
        <f>SUMIF(Aventri_2022COL[Detailed Description],Table1622[[#This Row],[Detailed Description]],Aventri_2022COL[Total Cost])</f>
        <v>0</v>
      </c>
      <c r="J35" s="118">
        <f>SUM(Table1622[[#This Row],[Aventri_2024IC]:[Aventri_2022COL]])</f>
        <v>0</v>
      </c>
      <c r="L35" s="123" t="s">
        <v>214</v>
      </c>
      <c r="M35" s="118">
        <f>SUMIF(CompuSystems_2025IC[Detailed Description],Table162223[[#This Row],[Detailed Description]],CompuSystems_2025IC[Total Cost])</f>
        <v>1395</v>
      </c>
      <c r="N35" s="118">
        <f>SUMIF(CompuSystems_2024IC[Detailed Description],Table162223[[#This Row],[Detailed Description]],CompuSystems_2024IC[Total Cost])</f>
        <v>1395</v>
      </c>
      <c r="O35" s="118">
        <f>SUMIF(CompuSystems_2023IC[Detailed Description],Table162223[[#This Row],[Detailed Description]],CompuSystems_2023IC[Total Cost])</f>
        <v>1395</v>
      </c>
      <c r="P35" s="118">
        <f>SUMIF(CompuSystems_2023_2025IA[Detailed Description],Table162223[[#This Row],[Detailed Description]],CompuSystems_2023_2025IA[Total Cost (2023)])</f>
        <v>930</v>
      </c>
      <c r="Q35" s="118">
        <f>SUMIF(CompuSystems_2023_2025IA[Detailed Description],Table162223[[#This Row],[Detailed Description]],CompuSystems_2023_2025IA[Total Cost (2025)])</f>
        <v>930</v>
      </c>
      <c r="R35" s="118">
        <f>SUMIF(CompuSystems_2023_2025IA[Detailed Description],Table162223[[#This Row],[Detailed Description]],CompuSystems_2023_2025IA[Total Cost (2025)])</f>
        <v>930</v>
      </c>
      <c r="S35" s="118">
        <f>SUMIF(CompuSystems_2025COL[Detailed Description],Table162223[[#This Row],[Detailed Description]],CompuSystems_2025COL[Total Cost])</f>
        <v>0</v>
      </c>
      <c r="T35" s="118">
        <f>SUM(Table162223[[#This Row],[CompuSystems2024IC]:[CompuSystems2022COL]])</f>
        <v>6975</v>
      </c>
      <c r="V35" s="123" t="s">
        <v>214</v>
      </c>
      <c r="W35" s="118">
        <f>SUMIF(MCI_2025IC[Detailed Description],Table16222324[[#This Row],[Detailed Description]],MCI_2025IC[Total Cost])</f>
        <v>0</v>
      </c>
      <c r="X35" s="118">
        <f>SUMIF(MCI_2024IC[Detailed Description],Table16222324[[#This Row],[Detailed Description]],MCI_2024IC[Total Cost])</f>
        <v>0</v>
      </c>
      <c r="Y35" s="118">
        <f>SUMIF(MCI_2023IC[Detailed Description],Table16222324[[#This Row],[Detailed Description]],MCI_2023IC[Total Cost])</f>
        <v>0</v>
      </c>
      <c r="Z35" s="118">
        <f>SUMIF(MCI_2023_2025IA[Detailed Description],Table16222324[[#This Row],[Detailed Description]],MCI_2023_2025IA[Total Cost (2023)])</f>
        <v>0</v>
      </c>
      <c r="AA35" s="118">
        <f>SUMIF(MCI_2023_2025IA[Detailed Description],Table16222324[[#This Row],[Detailed Description]],MCI_2023_2025IA[Total Cost (2025)])</f>
        <v>0</v>
      </c>
      <c r="AB35" s="118">
        <f>SUMIF(MCI_2023_2025IA[Detailed Description],Table16222324[[#This Row],[Detailed Description]],MCI_2023_2025IA[Total Cost (2025)])</f>
        <v>0</v>
      </c>
      <c r="AC35" s="118">
        <f>SUMIF(MCI_2025COL[Detailed Description],Table16222324[[#This Row],[Detailed Description]],MCI_2025COL[Total Cost])</f>
        <v>0</v>
      </c>
      <c r="AD35" s="118">
        <f>SUM(Table16222324[[#This Row],[MCI2024IC]:[MCI2022COL]])</f>
        <v>0</v>
      </c>
    </row>
    <row r="36" spans="2:30" x14ac:dyDescent="0.35">
      <c r="B36" s="122" t="s">
        <v>186</v>
      </c>
      <c r="C36" s="118">
        <f>SUMIF(Aventri_2024IC[Detailed Description],Table1622[[#This Row],[Detailed Description]],Aventri_2024IC[Total Cost])</f>
        <v>350</v>
      </c>
      <c r="D36" s="118">
        <f>SUMIF(Aventri_2023IC[Detailed Description],Table1622[[#This Row],[Detailed Description]],Aventri_2023IC[Total Cost])</f>
        <v>350</v>
      </c>
      <c r="E36" s="118">
        <f>SUMIF(Aventri_2022IC[Detailed Description],Table1622[[#This Row],[Detailed Description]],Aventri_2022IC[Total Cost])</f>
        <v>350</v>
      </c>
      <c r="F36" s="118">
        <f>SUMIF(Aventri_2021_2023IA[Detailed Description],Table1622[[#This Row],[Detailed Description]],Aventri_2021_2023IA[Total Cost (2022)])</f>
        <v>350</v>
      </c>
      <c r="G36" s="118">
        <f>SUMIF(Aventri_2021_2023IA[Detailed Description],Table1622[[#This Row],[Detailed Description]],Aventri_2021_2023IA[Total Cost (2023)])</f>
        <v>350</v>
      </c>
      <c r="H36" s="118">
        <f>SUMIF(Aventri_2021_2023IA[Detailed Description],Table1622[[#This Row],[Detailed Description]],Aventri_2021_2023IA[Total Cost (2024)])</f>
        <v>350</v>
      </c>
      <c r="I36" s="118">
        <f>SUMIF(Aventri_2022COL[Detailed Description],Table1622[[#This Row],[Detailed Description]],Aventri_2022COL[Total Cost])</f>
        <v>350</v>
      </c>
      <c r="J36" s="118">
        <f>SUM(Table1622[[#This Row],[Aventri_2024IC]:[Aventri_2022COL]])</f>
        <v>2450</v>
      </c>
      <c r="L36" s="122" t="s">
        <v>186</v>
      </c>
      <c r="M36" s="118">
        <f>SUMIF(CompuSystems_2025IC[Detailed Description],Table162223[[#This Row],[Detailed Description]],CompuSystems_2025IC[Total Cost])</f>
        <v>1500</v>
      </c>
      <c r="N36" s="118">
        <f>SUMIF(CompuSystems_2024IC[Detailed Description],Table162223[[#This Row],[Detailed Description]],CompuSystems_2024IC[Total Cost])</f>
        <v>1500</v>
      </c>
      <c r="O36" s="118">
        <f>SUMIF(CompuSystems_2023IC[Detailed Description],Table162223[[#This Row],[Detailed Description]],CompuSystems_2023IC[Total Cost])</f>
        <v>1500</v>
      </c>
      <c r="P36" s="118">
        <f>SUMIF(CompuSystems_2023_2025IA[Detailed Description],Table162223[[#This Row],[Detailed Description]],CompuSystems_2023_2025IA[Total Cost (2023)])</f>
        <v>0</v>
      </c>
      <c r="Q36" s="118">
        <f>SUMIF(CompuSystems_2023_2025IA[Detailed Description],Table162223[[#This Row],[Detailed Description]],CompuSystems_2023_2025IA[Total Cost (2025)])</f>
        <v>0</v>
      </c>
      <c r="R36" s="118">
        <f>SUMIF(CompuSystems_2023_2025IA[Detailed Description],Table162223[[#This Row],[Detailed Description]],CompuSystems_2023_2025IA[Total Cost (2025)])</f>
        <v>0</v>
      </c>
      <c r="S36" s="118">
        <f>SUMIF(CompuSystems_2025COL[Detailed Description],Table162223[[#This Row],[Detailed Description]],CompuSystems_2025COL[Total Cost])</f>
        <v>0</v>
      </c>
      <c r="T36" s="118">
        <f>SUM(Table162223[[#This Row],[CompuSystems2024IC]:[CompuSystems2022COL]])</f>
        <v>4500</v>
      </c>
      <c r="V36" s="122" t="s">
        <v>186</v>
      </c>
      <c r="W36" s="118">
        <f>SUMIF(MCI_2025IC[Detailed Description],Table16222324[[#This Row],[Detailed Description]],MCI_2025IC[Total Cost])</f>
        <v>0</v>
      </c>
      <c r="X36" s="118">
        <f>SUMIF(MCI_2024IC[Detailed Description],Table16222324[[#This Row],[Detailed Description]],MCI_2024IC[Total Cost])</f>
        <v>0</v>
      </c>
      <c r="Y36" s="118">
        <f>SUMIF(MCI_2023IC[Detailed Description],Table16222324[[#This Row],[Detailed Description]],MCI_2023IC[Total Cost])</f>
        <v>0</v>
      </c>
      <c r="Z36" s="118">
        <f>SUMIF(MCI_2023_2025IA[Detailed Description],Table16222324[[#This Row],[Detailed Description]],MCI_2023_2025IA[Total Cost (2023)])</f>
        <v>0</v>
      </c>
      <c r="AA36" s="118">
        <f>SUMIF(MCI_2023_2025IA[Detailed Description],Table16222324[[#This Row],[Detailed Description]],MCI_2023_2025IA[Total Cost (2025)])</f>
        <v>0</v>
      </c>
      <c r="AB36" s="118">
        <f>SUMIF(MCI_2023_2025IA[Detailed Description],Table16222324[[#This Row],[Detailed Description]],MCI_2023_2025IA[Total Cost (2025)])</f>
        <v>0</v>
      </c>
      <c r="AC36" s="118">
        <f>SUMIF(MCI_2025COL[Detailed Description],Table16222324[[#This Row],[Detailed Description]],MCI_2025COL[Total Cost])</f>
        <v>0</v>
      </c>
      <c r="AD36" s="118">
        <f>SUM(Table16222324[[#This Row],[MCI2024IC]:[MCI2022COL]])</f>
        <v>0</v>
      </c>
    </row>
    <row r="37" spans="2:30" x14ac:dyDescent="0.35">
      <c r="B37" s="122" t="s">
        <v>188</v>
      </c>
      <c r="C37" s="118">
        <f>SUMIF(Aventri_2024IC[Detailed Description],Table1622[[#This Row],[Detailed Description]],Aventri_2024IC[Total Cost])</f>
        <v>0.87</v>
      </c>
      <c r="D37" s="118">
        <f>SUMIF(Aventri_2023IC[Detailed Description],Table1622[[#This Row],[Detailed Description]],Aventri_2023IC[Total Cost])</f>
        <v>0.87</v>
      </c>
      <c r="E37" s="118">
        <f>SUMIF(Aventri_2022IC[Detailed Description],Table1622[[#This Row],[Detailed Description]],Aventri_2022IC[Total Cost])</f>
        <v>0.87</v>
      </c>
      <c r="F37" s="118">
        <f>SUMIF(Aventri_2021_2023IA[Detailed Description],Table1622[[#This Row],[Detailed Description]],Aventri_2021_2023IA[Total Cost (2022)])</f>
        <v>0.87</v>
      </c>
      <c r="G37" s="118">
        <f>SUMIF(Aventri_2021_2023IA[Detailed Description],Table1622[[#This Row],[Detailed Description]],Aventri_2021_2023IA[Total Cost (2023)])</f>
        <v>0.87</v>
      </c>
      <c r="H37" s="118">
        <f>SUMIF(Aventri_2021_2023IA[Detailed Description],Table1622[[#This Row],[Detailed Description]],Aventri_2021_2023IA[Total Cost (2024)])</f>
        <v>0.87</v>
      </c>
      <c r="I37" s="118">
        <f>SUMIF(Aventri_2022COL[Detailed Description],Table1622[[#This Row],[Detailed Description]],Aventri_2022COL[Total Cost])</f>
        <v>0.87</v>
      </c>
      <c r="J37" s="118">
        <f>SUM(Table1622[[#This Row],[Aventri_2024IC]:[Aventri_2022COL]])</f>
        <v>6.09</v>
      </c>
      <c r="L37" s="122" t="s">
        <v>188</v>
      </c>
      <c r="M37" s="118">
        <f>SUMIF(CompuSystems_2025IC[Detailed Description],Table162223[[#This Row],[Detailed Description]],CompuSystems_2025IC[Total Cost])</f>
        <v>0</v>
      </c>
      <c r="N37" s="118">
        <f>SUMIF(CompuSystems_2024IC[Detailed Description],Table162223[[#This Row],[Detailed Description]],CompuSystems_2024IC[Total Cost])</f>
        <v>0</v>
      </c>
      <c r="O37" s="118">
        <f>SUMIF(CompuSystems_2023IC[Detailed Description],Table162223[[#This Row],[Detailed Description]],CompuSystems_2023IC[Total Cost])</f>
        <v>0</v>
      </c>
      <c r="P37" s="118">
        <f>SUMIF(CompuSystems_2023_2025IA[Detailed Description],Table162223[[#This Row],[Detailed Description]],CompuSystems_2023_2025IA[Total Cost (2023)])</f>
        <v>0</v>
      </c>
      <c r="Q37" s="118">
        <f>SUMIF(CompuSystems_2023_2025IA[Detailed Description],Table162223[[#This Row],[Detailed Description]],CompuSystems_2023_2025IA[Total Cost (2025)])</f>
        <v>0</v>
      </c>
      <c r="R37" s="118">
        <f>SUMIF(CompuSystems_2023_2025IA[Detailed Description],Table162223[[#This Row],[Detailed Description]],CompuSystems_2023_2025IA[Total Cost (2025)])</f>
        <v>0</v>
      </c>
      <c r="S37" s="118">
        <f>SUMIF(CompuSystems_2025COL[Detailed Description],Table162223[[#This Row],[Detailed Description]],CompuSystems_2025COL[Total Cost])</f>
        <v>0</v>
      </c>
      <c r="T37" s="118">
        <f>SUM(Table162223[[#This Row],[CompuSystems2024IC]:[CompuSystems2022COL]])</f>
        <v>0</v>
      </c>
      <c r="V37" s="122" t="s">
        <v>188</v>
      </c>
      <c r="W37" s="118">
        <f>SUMIF(MCI_2025IC[Detailed Description],Table16222324[[#This Row],[Detailed Description]],MCI_2025IC[Total Cost])</f>
        <v>0</v>
      </c>
      <c r="X37" s="118">
        <f>SUMIF(MCI_2024IC[Detailed Description],Table16222324[[#This Row],[Detailed Description]],MCI_2024IC[Total Cost])</f>
        <v>0</v>
      </c>
      <c r="Y37" s="118">
        <f>SUMIF(MCI_2023IC[Detailed Description],Table16222324[[#This Row],[Detailed Description]],MCI_2023IC[Total Cost])</f>
        <v>0</v>
      </c>
      <c r="Z37" s="118">
        <f>SUMIF(MCI_2023_2025IA[Detailed Description],Table16222324[[#This Row],[Detailed Description]],MCI_2023_2025IA[Total Cost (2023)])</f>
        <v>0</v>
      </c>
      <c r="AA37" s="118">
        <f>SUMIF(MCI_2023_2025IA[Detailed Description],Table16222324[[#This Row],[Detailed Description]],MCI_2023_2025IA[Total Cost (2025)])</f>
        <v>0</v>
      </c>
      <c r="AB37" s="118">
        <f>SUMIF(MCI_2023_2025IA[Detailed Description],Table16222324[[#This Row],[Detailed Description]],MCI_2023_2025IA[Total Cost (2025)])</f>
        <v>0</v>
      </c>
      <c r="AC37" s="118">
        <f>SUMIF(MCI_2025COL[Detailed Description],Table16222324[[#This Row],[Detailed Description]],MCI_2025COL[Total Cost])</f>
        <v>0</v>
      </c>
      <c r="AD37" s="118">
        <f>SUM(Table16222324[[#This Row],[MCI2024IC]:[MCI2022COL]])</f>
        <v>0</v>
      </c>
    </row>
    <row r="38" spans="2:30" x14ac:dyDescent="0.35">
      <c r="B38" s="125" t="s">
        <v>241</v>
      </c>
      <c r="C38" s="118">
        <f>SUMIF(Aventri_2024IC[Detailed Description],Table1622[[#This Row],[Detailed Description]],Aventri_2024IC[Total Cost])</f>
        <v>0</v>
      </c>
      <c r="D38" s="118">
        <f>SUMIF(Aventri_2023IC[Detailed Description],Table1622[[#This Row],[Detailed Description]],Aventri_2023IC[Total Cost])</f>
        <v>0</v>
      </c>
      <c r="E38" s="118">
        <f>SUMIF(Aventri_2022IC[Detailed Description],Table1622[[#This Row],[Detailed Description]],Aventri_2022IC[Total Cost])</f>
        <v>0</v>
      </c>
      <c r="F38" s="118">
        <f>SUMIF(Aventri_2021_2023IA[Detailed Description],Table1622[[#This Row],[Detailed Description]],Aventri_2021_2023IA[Total Cost (2022)])</f>
        <v>0</v>
      </c>
      <c r="G38" s="118">
        <f>SUMIF(Aventri_2021_2023IA[Detailed Description],Table1622[[#This Row],[Detailed Description]],Aventri_2021_2023IA[Total Cost (2023)])</f>
        <v>0</v>
      </c>
      <c r="H38" s="118">
        <f>SUMIF(Aventri_2021_2023IA[Detailed Description],Table1622[[#This Row],[Detailed Description]],Aventri_2021_2023IA[Total Cost (2024)])</f>
        <v>0</v>
      </c>
      <c r="I38" s="118">
        <f>SUMIF(Aventri_2022COL[Detailed Description],Table1622[[#This Row],[Detailed Description]],Aventri_2022COL[Total Cost])</f>
        <v>0</v>
      </c>
      <c r="J38" s="118">
        <f>SUM(Table1622[[#This Row],[Aventri_2024IC]:[Aventri_2022COL]])</f>
        <v>0</v>
      </c>
      <c r="L38" s="125" t="s">
        <v>241</v>
      </c>
      <c r="M38" s="118">
        <f>SUMIF(CompuSystems_2025IC[Detailed Description],Table162223[[#This Row],[Detailed Description]],CompuSystems_2025IC[Total Cost])</f>
        <v>0</v>
      </c>
      <c r="N38" s="118">
        <f>SUMIF(CompuSystems_2024IC[Detailed Description],Table162223[[#This Row],[Detailed Description]],CompuSystems_2024IC[Total Cost])</f>
        <v>0</v>
      </c>
      <c r="O38" s="118">
        <f>SUMIF(CompuSystems_2023IC[Detailed Description],Table162223[[#This Row],[Detailed Description]],CompuSystems_2023IC[Total Cost])</f>
        <v>0</v>
      </c>
      <c r="P38" s="118">
        <f>SUMIF(CompuSystems_2023_2025IA[Detailed Description],Table162223[[#This Row],[Detailed Description]],CompuSystems_2023_2025IA[Total Cost (2023)])</f>
        <v>0</v>
      </c>
      <c r="Q38" s="118">
        <f>SUMIF(CompuSystems_2023_2025IA[Detailed Description],Table162223[[#This Row],[Detailed Description]],CompuSystems_2023_2025IA[Total Cost (2025)])</f>
        <v>0</v>
      </c>
      <c r="R38" s="118">
        <f>SUMIF(CompuSystems_2023_2025IA[Detailed Description],Table162223[[#This Row],[Detailed Description]],CompuSystems_2023_2025IA[Total Cost (2025)])</f>
        <v>0</v>
      </c>
      <c r="S38" s="118">
        <f>SUMIF(CompuSystems_2025COL[Detailed Description],Table162223[[#This Row],[Detailed Description]],CompuSystems_2025COL[Total Cost])</f>
        <v>0</v>
      </c>
      <c r="T38" s="118">
        <f>SUM(Table162223[[#This Row],[CompuSystems2024IC]:[CompuSystems2022COL]])</f>
        <v>0</v>
      </c>
      <c r="V38" s="125" t="s">
        <v>241</v>
      </c>
      <c r="W38" s="118">
        <f>SUMIF(MCI_2025IC[Detailed Description],Table16222324[[#This Row],[Detailed Description]],MCI_2025IC[Total Cost])</f>
        <v>0</v>
      </c>
      <c r="X38" s="118">
        <f>SUMIF(MCI_2024IC[Detailed Description],Table16222324[[#This Row],[Detailed Description]],MCI_2024IC[Total Cost])</f>
        <v>0</v>
      </c>
      <c r="Y38" s="118">
        <f>SUMIF(MCI_2023IC[Detailed Description],Table16222324[[#This Row],[Detailed Description]],MCI_2023IC[Total Cost])</f>
        <v>0</v>
      </c>
      <c r="Z38" s="118">
        <f>SUMIF(MCI_2023_2025IA[Detailed Description],Table16222324[[#This Row],[Detailed Description]],MCI_2023_2025IA[Total Cost (2023)])</f>
        <v>0</v>
      </c>
      <c r="AA38" s="118">
        <f>SUMIF(MCI_2023_2025IA[Detailed Description],Table16222324[[#This Row],[Detailed Description]],MCI_2023_2025IA[Total Cost (2025)])</f>
        <v>0</v>
      </c>
      <c r="AB38" s="118">
        <f>SUMIF(MCI_2023_2025IA[Detailed Description],Table16222324[[#This Row],[Detailed Description]],MCI_2023_2025IA[Total Cost (2025)])</f>
        <v>0</v>
      </c>
      <c r="AC38" s="118">
        <f>SUMIF(MCI_2025COL[Detailed Description],Table16222324[[#This Row],[Detailed Description]],MCI_2025COL[Total Cost])</f>
        <v>0</v>
      </c>
      <c r="AD38" s="118">
        <f>SUM(Table16222324[[#This Row],[MCI2024IC]:[MCI2022COL]])</f>
        <v>0</v>
      </c>
    </row>
    <row r="39" spans="2:30" x14ac:dyDescent="0.35">
      <c r="B39" s="124" t="s">
        <v>159</v>
      </c>
      <c r="C39" s="118">
        <f>SUMIF(Aventri_2024IC[Detailed Description],Table1622[[#This Row],[Detailed Description]],Aventri_2024IC[Total Cost])</f>
        <v>79100</v>
      </c>
      <c r="D39" s="118">
        <f>SUMIF(Aventri_2023IC[Detailed Description],Table1622[[#This Row],[Detailed Description]],Aventri_2023IC[Total Cost])</f>
        <v>79100</v>
      </c>
      <c r="E39" s="118">
        <f>SUMIF(Aventri_2022IC[Detailed Description],Table1622[[#This Row],[Detailed Description]],Aventri_2022IC[Total Cost])</f>
        <v>79100</v>
      </c>
      <c r="F39" s="118">
        <f>SUMIF(Aventri_2021_2023IA[Detailed Description],Table1622[[#This Row],[Detailed Description]],Aventri_2021_2023IA[Total Cost (2022)])</f>
        <v>0</v>
      </c>
      <c r="G39" s="118">
        <f>SUMIF(Aventri_2021_2023IA[Detailed Description],Table1622[[#This Row],[Detailed Description]],Aventri_2021_2023IA[Total Cost (2023)])</f>
        <v>0</v>
      </c>
      <c r="H39" s="118">
        <f>SUMIF(Aventri_2021_2023IA[Detailed Description],Table1622[[#This Row],[Detailed Description]],Aventri_2021_2023IA[Total Cost (2024)])</f>
        <v>0</v>
      </c>
      <c r="I39" s="118">
        <f>SUMIF(Aventri_2022COL[Detailed Description],Table1622[[#This Row],[Detailed Description]],Aventri_2022COL[Total Cost])</f>
        <v>0</v>
      </c>
      <c r="J39" s="118">
        <f>SUM(Table1622[[#This Row],[Aventri_2024IC]:[Aventri_2022COL]])</f>
        <v>237300</v>
      </c>
      <c r="L39" s="124" t="s">
        <v>159</v>
      </c>
      <c r="M39" s="118">
        <f>SUMIF(CompuSystems_2025IC[Detailed Description],Table162223[[#This Row],[Detailed Description]],CompuSystems_2025IC[Total Cost])</f>
        <v>0</v>
      </c>
      <c r="N39" s="118">
        <f>SUMIF(CompuSystems_2024IC[Detailed Description],Table162223[[#This Row],[Detailed Description]],CompuSystems_2024IC[Total Cost])</f>
        <v>0</v>
      </c>
      <c r="O39" s="118">
        <f>SUMIF(CompuSystems_2023IC[Detailed Description],Table162223[[#This Row],[Detailed Description]],CompuSystems_2023IC[Total Cost])</f>
        <v>0</v>
      </c>
      <c r="P39" s="118">
        <f>SUMIF(CompuSystems_2023_2025IA[Detailed Description],Table162223[[#This Row],[Detailed Description]],CompuSystems_2023_2025IA[Total Cost (2023)])</f>
        <v>0</v>
      </c>
      <c r="Q39" s="118">
        <f>SUMIF(CompuSystems_2023_2025IA[Detailed Description],Table162223[[#This Row],[Detailed Description]],CompuSystems_2023_2025IA[Total Cost (2025)])</f>
        <v>0</v>
      </c>
      <c r="R39" s="118">
        <f>SUMIF(CompuSystems_2023_2025IA[Detailed Description],Table162223[[#This Row],[Detailed Description]],CompuSystems_2023_2025IA[Total Cost (2025)])</f>
        <v>0</v>
      </c>
      <c r="S39" s="118">
        <f>SUMIF(CompuSystems_2025COL[Detailed Description],Table162223[[#This Row],[Detailed Description]],CompuSystems_2025COL[Total Cost])</f>
        <v>0</v>
      </c>
      <c r="T39" s="118">
        <f>SUM(Table162223[[#This Row],[CompuSystems2024IC]:[CompuSystems2022COL]])</f>
        <v>0</v>
      </c>
      <c r="V39" s="124" t="s">
        <v>159</v>
      </c>
      <c r="W39" s="118">
        <f>SUMIF(MCI_2025IC[Detailed Description],Table16222324[[#This Row],[Detailed Description]],MCI_2025IC[Total Cost])</f>
        <v>60000</v>
      </c>
      <c r="X39" s="118">
        <f>SUMIF(MCI_2024IC[Detailed Description],Table16222324[[#This Row],[Detailed Description]],MCI_2024IC[Total Cost])</f>
        <v>60000</v>
      </c>
      <c r="Y39" s="118">
        <f>SUMIF(MCI_2023IC[Detailed Description],Table16222324[[#This Row],[Detailed Description]],MCI_2023IC[Total Cost])</f>
        <v>60000</v>
      </c>
      <c r="Z39" s="118">
        <f>SUMIF(MCI_2023_2025IA[Detailed Description],Table16222324[[#This Row],[Detailed Description]],MCI_2023_2025IA[Total Cost (2023)])</f>
        <v>4500</v>
      </c>
      <c r="AA39" s="118">
        <f>SUMIF(MCI_2023_2025IA[Detailed Description],Table16222324[[#This Row],[Detailed Description]],MCI_2023_2025IA[Total Cost (2025)])</f>
        <v>4500</v>
      </c>
      <c r="AB39" s="118">
        <f>SUMIF(MCI_2023_2025IA[Detailed Description],Table16222324[[#This Row],[Detailed Description]],MCI_2023_2025IA[Total Cost (2025)])</f>
        <v>4500</v>
      </c>
      <c r="AC39" s="118">
        <f>SUMIF(MCI_2025COL[Detailed Description],Table16222324[[#This Row],[Detailed Description]],MCI_2025COL[Total Cost])</f>
        <v>3600</v>
      </c>
      <c r="AD39" s="118">
        <f>SUM(Table16222324[[#This Row],[MCI2024IC]:[MCI2022COL]])</f>
        <v>197100</v>
      </c>
    </row>
    <row r="40" spans="2:30" x14ac:dyDescent="0.35">
      <c r="B40" s="122" t="s">
        <v>206</v>
      </c>
      <c r="C40" s="118">
        <f>SUMIF(Aventri_2024IC[Detailed Description],Table1622[[#This Row],[Detailed Description]],Aventri_2024IC[Total Cost])</f>
        <v>0</v>
      </c>
      <c r="D40" s="118">
        <f>SUMIF(Aventri_2023IC[Detailed Description],Table1622[[#This Row],[Detailed Description]],Aventri_2023IC[Total Cost])</f>
        <v>0</v>
      </c>
      <c r="E40" s="118">
        <f>SUMIF(Aventri_2022IC[Detailed Description],Table1622[[#This Row],[Detailed Description]],Aventri_2022IC[Total Cost])</f>
        <v>0</v>
      </c>
      <c r="F40" s="118">
        <f>SUMIF(Aventri_2021_2023IA[Detailed Description],Table1622[[#This Row],[Detailed Description]],Aventri_2021_2023IA[Total Cost (2022)])</f>
        <v>0</v>
      </c>
      <c r="G40" s="118">
        <f>SUMIF(Aventri_2021_2023IA[Detailed Description],Table1622[[#This Row],[Detailed Description]],Aventri_2021_2023IA[Total Cost (2023)])</f>
        <v>0</v>
      </c>
      <c r="H40" s="118">
        <f>SUMIF(Aventri_2021_2023IA[Detailed Description],Table1622[[#This Row],[Detailed Description]],Aventri_2021_2023IA[Total Cost (2024)])</f>
        <v>0</v>
      </c>
      <c r="I40" s="118">
        <f>SUMIF(Aventri_2022COL[Detailed Description],Table1622[[#This Row],[Detailed Description]],Aventri_2022COL[Total Cost])</f>
        <v>0</v>
      </c>
      <c r="J40" s="118">
        <f>SUM(Table1622[[#This Row],[Aventri_2024IC]:[Aventri_2022COL]])</f>
        <v>0</v>
      </c>
      <c r="L40" s="122" t="s">
        <v>206</v>
      </c>
      <c r="M40" s="118">
        <f>SUMIF(CompuSystems_2025IC[Detailed Description],Table162223[[#This Row],[Detailed Description]],CompuSystems_2025IC[Total Cost])</f>
        <v>800</v>
      </c>
      <c r="N40" s="118">
        <f>SUMIF(CompuSystems_2024IC[Detailed Description],Table162223[[#This Row],[Detailed Description]],CompuSystems_2024IC[Total Cost])</f>
        <v>800</v>
      </c>
      <c r="O40" s="118">
        <f>SUMIF(CompuSystems_2023IC[Detailed Description],Table162223[[#This Row],[Detailed Description]],CompuSystems_2023IC[Total Cost])</f>
        <v>800</v>
      </c>
      <c r="P40" s="118">
        <f>SUMIF(CompuSystems_2023_2025IA[Detailed Description],Table162223[[#This Row],[Detailed Description]],CompuSystems_2023_2025IA[Total Cost (2023)])</f>
        <v>0</v>
      </c>
      <c r="Q40" s="118">
        <f>SUMIF(CompuSystems_2023_2025IA[Detailed Description],Table162223[[#This Row],[Detailed Description]],CompuSystems_2023_2025IA[Total Cost (2025)])</f>
        <v>0</v>
      </c>
      <c r="R40" s="118">
        <f>SUMIF(CompuSystems_2023_2025IA[Detailed Description],Table162223[[#This Row],[Detailed Description]],CompuSystems_2023_2025IA[Total Cost (2025)])</f>
        <v>0</v>
      </c>
      <c r="S40" s="118">
        <f>SUMIF(CompuSystems_2025COL[Detailed Description],Table162223[[#This Row],[Detailed Description]],CompuSystems_2025COL[Total Cost])</f>
        <v>800</v>
      </c>
      <c r="T40" s="118">
        <f>SUM(Table162223[[#This Row],[CompuSystems2024IC]:[CompuSystems2022COL]])</f>
        <v>3200</v>
      </c>
      <c r="V40" s="122" t="s">
        <v>206</v>
      </c>
      <c r="W40" s="118">
        <f>SUMIF(MCI_2025IC[Detailed Description],Table16222324[[#This Row],[Detailed Description]],MCI_2025IC[Total Cost])</f>
        <v>2000</v>
      </c>
      <c r="X40" s="118">
        <f>SUMIF(MCI_2024IC[Detailed Description],Table16222324[[#This Row],[Detailed Description]],MCI_2024IC[Total Cost])</f>
        <v>2000</v>
      </c>
      <c r="Y40" s="118">
        <f>SUMIF(MCI_2023IC[Detailed Description],Table16222324[[#This Row],[Detailed Description]],MCI_2023IC[Total Cost])</f>
        <v>2000</v>
      </c>
      <c r="Z40" s="118">
        <f>SUMIF(MCI_2023_2025IA[Detailed Description],Table16222324[[#This Row],[Detailed Description]],MCI_2023_2025IA[Total Cost (2023)])</f>
        <v>2000</v>
      </c>
      <c r="AA40" s="118">
        <f>SUMIF(MCI_2023_2025IA[Detailed Description],Table16222324[[#This Row],[Detailed Description]],MCI_2023_2025IA[Total Cost (2025)])</f>
        <v>2000</v>
      </c>
      <c r="AB40" s="118">
        <f>SUMIF(MCI_2023_2025IA[Detailed Description],Table16222324[[#This Row],[Detailed Description]],MCI_2023_2025IA[Total Cost (2025)])</f>
        <v>2000</v>
      </c>
      <c r="AC40" s="118">
        <f>SUMIF(MCI_2025COL[Detailed Description],Table16222324[[#This Row],[Detailed Description]],MCI_2025COL[Total Cost])</f>
        <v>2000</v>
      </c>
      <c r="AD40" s="118">
        <f>SUM(Table16222324[[#This Row],[MCI2024IC]:[MCI2022COL]])</f>
        <v>14000</v>
      </c>
    </row>
    <row r="41" spans="2:30" x14ac:dyDescent="0.35">
      <c r="B41" s="123" t="s">
        <v>200</v>
      </c>
      <c r="C41" s="118">
        <f>SUMIF(Aventri_2024IC[Detailed Description],Table1622[[#This Row],[Detailed Description]],Aventri_2024IC[Total Cost])</f>
        <v>0</v>
      </c>
      <c r="D41" s="118">
        <f>SUMIF(Aventri_2023IC[Detailed Description],Table1622[[#This Row],[Detailed Description]],Aventri_2023IC[Total Cost])</f>
        <v>0</v>
      </c>
      <c r="E41" s="118">
        <f>SUMIF(Aventri_2022IC[Detailed Description],Table1622[[#This Row],[Detailed Description]],Aventri_2022IC[Total Cost])</f>
        <v>0</v>
      </c>
      <c r="F41" s="118">
        <f>SUMIF(Aventri_2021_2023IA[Detailed Description],Table1622[[#This Row],[Detailed Description]],Aventri_2021_2023IA[Total Cost (2022)])</f>
        <v>0</v>
      </c>
      <c r="G41" s="118">
        <f>SUMIF(Aventri_2021_2023IA[Detailed Description],Table1622[[#This Row],[Detailed Description]],Aventri_2021_2023IA[Total Cost (2023)])</f>
        <v>0</v>
      </c>
      <c r="H41" s="118">
        <f>SUMIF(Aventri_2021_2023IA[Detailed Description],Table1622[[#This Row],[Detailed Description]],Aventri_2021_2023IA[Total Cost (2024)])</f>
        <v>0</v>
      </c>
      <c r="I41" s="118">
        <f>SUMIF(Aventri_2022COL[Detailed Description],Table1622[[#This Row],[Detailed Description]],Aventri_2022COL[Total Cost])</f>
        <v>0</v>
      </c>
      <c r="J41" s="118">
        <f>SUM(Table1622[[#This Row],[Aventri_2024IC]:[Aventri_2022COL]])</f>
        <v>0</v>
      </c>
      <c r="L41" s="123" t="s">
        <v>200</v>
      </c>
      <c r="M41" s="118">
        <f>SUMIF(CompuSystems_2025IC[Detailed Description],Table162223[[#This Row],[Detailed Description]],CompuSystems_2025IC[Total Cost])</f>
        <v>0</v>
      </c>
      <c r="N41" s="118">
        <f>SUMIF(CompuSystems_2024IC[Detailed Description],Table162223[[#This Row],[Detailed Description]],CompuSystems_2024IC[Total Cost])</f>
        <v>0</v>
      </c>
      <c r="O41" s="118">
        <f>SUMIF(CompuSystems_2023IC[Detailed Description],Table162223[[#This Row],[Detailed Description]],CompuSystems_2023IC[Total Cost])</f>
        <v>0</v>
      </c>
      <c r="P41" s="118">
        <f>SUMIF(CompuSystems_2023_2025IA[Detailed Description],Table162223[[#This Row],[Detailed Description]],CompuSystems_2023_2025IA[Total Cost (2023)])</f>
        <v>0</v>
      </c>
      <c r="Q41" s="118">
        <f>SUMIF(CompuSystems_2023_2025IA[Detailed Description],Table162223[[#This Row],[Detailed Description]],CompuSystems_2023_2025IA[Total Cost (2025)])</f>
        <v>0</v>
      </c>
      <c r="R41" s="118">
        <f>SUMIF(CompuSystems_2023_2025IA[Detailed Description],Table162223[[#This Row],[Detailed Description]],CompuSystems_2023_2025IA[Total Cost (2025)])</f>
        <v>0</v>
      </c>
      <c r="S41" s="118">
        <f>SUMIF(CompuSystems_2025COL[Detailed Description],Table162223[[#This Row],[Detailed Description]],CompuSystems_2025COL[Total Cost])</f>
        <v>0</v>
      </c>
      <c r="T41" s="118">
        <f>SUM(Table162223[[#This Row],[CompuSystems2024IC]:[CompuSystems2022COL]])</f>
        <v>0</v>
      </c>
      <c r="V41" s="123" t="s">
        <v>200</v>
      </c>
      <c r="W41" s="118">
        <f>SUMIF(MCI_2025IC[Detailed Description],Table16222324[[#This Row],[Detailed Description]],MCI_2025IC[Total Cost])</f>
        <v>0</v>
      </c>
      <c r="X41" s="118">
        <f>SUMIF(MCI_2024IC[Detailed Description],Table16222324[[#This Row],[Detailed Description]],MCI_2024IC[Total Cost])</f>
        <v>0</v>
      </c>
      <c r="Y41" s="118">
        <f>SUMIF(MCI_2023IC[Detailed Description],Table16222324[[#This Row],[Detailed Description]],MCI_2023IC[Total Cost])</f>
        <v>0</v>
      </c>
      <c r="Z41" s="118">
        <f>SUMIF(MCI_2023_2025IA[Detailed Description],Table16222324[[#This Row],[Detailed Description]],MCI_2023_2025IA[Total Cost (2023)])</f>
        <v>0</v>
      </c>
      <c r="AA41" s="118">
        <f>SUMIF(MCI_2023_2025IA[Detailed Description],Table16222324[[#This Row],[Detailed Description]],MCI_2023_2025IA[Total Cost (2025)])</f>
        <v>0</v>
      </c>
      <c r="AB41" s="118">
        <f>SUMIF(MCI_2023_2025IA[Detailed Description],Table16222324[[#This Row],[Detailed Description]],MCI_2023_2025IA[Total Cost (2025)])</f>
        <v>0</v>
      </c>
      <c r="AC41" s="118">
        <f>SUMIF(MCI_2025COL[Detailed Description],Table16222324[[#This Row],[Detailed Description]],MCI_2025COL[Total Cost])</f>
        <v>0</v>
      </c>
      <c r="AD41" s="118">
        <f>SUM(Table16222324[[#This Row],[MCI2024IC]:[MCI2022COL]])</f>
        <v>0</v>
      </c>
    </row>
    <row r="42" spans="2:30" x14ac:dyDescent="0.35">
      <c r="B42" s="123" t="s">
        <v>191</v>
      </c>
      <c r="C42" s="118">
        <f>SUMIF(Aventri_2024IC[Detailed Description],Table1622[[#This Row],[Detailed Description]],Aventri_2024IC[Total Cost])</f>
        <v>23100</v>
      </c>
      <c r="D42" s="118">
        <f>SUMIF(Aventri_2023IC[Detailed Description],Table1622[[#This Row],[Detailed Description]],Aventri_2023IC[Total Cost])</f>
        <v>23100</v>
      </c>
      <c r="E42" s="118">
        <f>SUMIF(Aventri_2022IC[Detailed Description],Table1622[[#This Row],[Detailed Description]],Aventri_2022IC[Total Cost])</f>
        <v>23100</v>
      </c>
      <c r="F42" s="118">
        <f>SUMIF(Aventri_2021_2023IA[Detailed Description],Table1622[[#This Row],[Detailed Description]],Aventri_2021_2023IA[Total Cost (2022)])</f>
        <v>4620</v>
      </c>
      <c r="G42" s="118">
        <f>SUMIF(Aventri_2021_2023IA[Detailed Description],Table1622[[#This Row],[Detailed Description]],Aventri_2021_2023IA[Total Cost (2023)])</f>
        <v>4620</v>
      </c>
      <c r="H42" s="118">
        <f>SUMIF(Aventri_2021_2023IA[Detailed Description],Table1622[[#This Row],[Detailed Description]],Aventri_2021_2023IA[Total Cost (2024)])</f>
        <v>4620</v>
      </c>
      <c r="I42" s="118">
        <f>SUMIF(Aventri_2022COL[Detailed Description],Table1622[[#This Row],[Detailed Description]],Aventri_2022COL[Total Cost])</f>
        <v>0</v>
      </c>
      <c r="J42" s="118">
        <f>SUM(Table1622[[#This Row],[Aventri_2024IC]:[Aventri_2022COL]])</f>
        <v>83160</v>
      </c>
      <c r="L42" s="123" t="s">
        <v>191</v>
      </c>
      <c r="M42" s="118">
        <f>SUMIF(CompuSystems_2025IC[Detailed Description],Table162223[[#This Row],[Detailed Description]],CompuSystems_2025IC[Total Cost])</f>
        <v>45000</v>
      </c>
      <c r="N42" s="118">
        <f>SUMIF(CompuSystems_2024IC[Detailed Description],Table162223[[#This Row],[Detailed Description]],CompuSystems_2024IC[Total Cost])</f>
        <v>35000</v>
      </c>
      <c r="O42" s="118">
        <f>SUMIF(CompuSystems_2023IC[Detailed Description],Table162223[[#This Row],[Detailed Description]],CompuSystems_2023IC[Total Cost])</f>
        <v>35000</v>
      </c>
      <c r="P42" s="118">
        <f>SUMIF(CompuSystems_2023_2025IA[Detailed Description],Table162223[[#This Row],[Detailed Description]],CompuSystems_2023_2025IA[Total Cost (2023)])</f>
        <v>7000</v>
      </c>
      <c r="Q42" s="118">
        <f>SUMIF(CompuSystems_2023_2025IA[Detailed Description],Table162223[[#This Row],[Detailed Description]],CompuSystems_2023_2025IA[Total Cost (2025)])</f>
        <v>7000</v>
      </c>
      <c r="R42" s="118">
        <f>SUMIF(CompuSystems_2023_2025IA[Detailed Description],Table162223[[#This Row],[Detailed Description]],CompuSystems_2023_2025IA[Total Cost (2025)])</f>
        <v>7000</v>
      </c>
      <c r="S42" s="118">
        <f>SUMIF(CompuSystems_2025COL[Detailed Description],Table162223[[#This Row],[Detailed Description]],CompuSystems_2025COL[Total Cost])</f>
        <v>0</v>
      </c>
      <c r="T42" s="118">
        <f>SUM(Table162223[[#This Row],[CompuSystems2024IC]:[CompuSystems2022COL]])</f>
        <v>136000</v>
      </c>
      <c r="V42" s="123" t="s">
        <v>191</v>
      </c>
      <c r="W42" s="118">
        <f>SUMIF(MCI_2025IC[Detailed Description],Table16222324[[#This Row],[Detailed Description]],MCI_2025IC[Total Cost])</f>
        <v>21000</v>
      </c>
      <c r="X42" s="118">
        <f>SUMIF(MCI_2024IC[Detailed Description],Table16222324[[#This Row],[Detailed Description]],MCI_2024IC[Total Cost])</f>
        <v>24000</v>
      </c>
      <c r="Y42" s="118">
        <f>SUMIF(MCI_2023IC[Detailed Description],Table16222324[[#This Row],[Detailed Description]],MCI_2023IC[Total Cost])</f>
        <v>21000</v>
      </c>
      <c r="Z42" s="118">
        <f>SUMIF(MCI_2023_2025IA[Detailed Description],Table16222324[[#This Row],[Detailed Description]],MCI_2023_2025IA[Total Cost (2023)])</f>
        <v>4200</v>
      </c>
      <c r="AA42" s="118">
        <f>SUMIF(MCI_2023_2025IA[Detailed Description],Table16222324[[#This Row],[Detailed Description]],MCI_2023_2025IA[Total Cost (2025)])</f>
        <v>4200</v>
      </c>
      <c r="AB42" s="118">
        <f>SUMIF(MCI_2023_2025IA[Detailed Description],Table16222324[[#This Row],[Detailed Description]],MCI_2023_2025IA[Total Cost (2025)])</f>
        <v>4200</v>
      </c>
      <c r="AC42" s="118">
        <f>SUMIF(MCI_2025COL[Detailed Description],Table16222324[[#This Row],[Detailed Description]],MCI_2025COL[Total Cost])</f>
        <v>0</v>
      </c>
      <c r="AD42" s="118">
        <f>SUM(Table16222324[[#This Row],[MCI2024IC]:[MCI2022COL]])</f>
        <v>78600</v>
      </c>
    </row>
    <row r="43" spans="2:30" x14ac:dyDescent="0.35">
      <c r="B43" s="125" t="s">
        <v>199</v>
      </c>
      <c r="C43" s="118">
        <f>SUMIF(Aventri_2024IC[Detailed Description],Table1622[[#This Row],[Detailed Description]],Aventri_2024IC[Total Cost])</f>
        <v>3000</v>
      </c>
      <c r="D43" s="118">
        <f>SUMIF(Aventri_2023IC[Detailed Description],Table1622[[#This Row],[Detailed Description]],Aventri_2023IC[Total Cost])</f>
        <v>3000</v>
      </c>
      <c r="E43" s="118">
        <f>SUMIF(Aventri_2022IC[Detailed Description],Table1622[[#This Row],[Detailed Description]],Aventri_2022IC[Total Cost])</f>
        <v>3000</v>
      </c>
      <c r="F43" s="118">
        <f>SUMIF(Aventri_2021_2023IA[Detailed Description],Table1622[[#This Row],[Detailed Description]],Aventri_2021_2023IA[Total Cost (2022)])</f>
        <v>3000</v>
      </c>
      <c r="G43" s="118">
        <f>SUMIF(Aventri_2021_2023IA[Detailed Description],Table1622[[#This Row],[Detailed Description]],Aventri_2021_2023IA[Total Cost (2023)])</f>
        <v>3000</v>
      </c>
      <c r="H43" s="118">
        <f>SUMIF(Aventri_2021_2023IA[Detailed Description],Table1622[[#This Row],[Detailed Description]],Aventri_2021_2023IA[Total Cost (2024)])</f>
        <v>3000</v>
      </c>
      <c r="I43" s="118">
        <f>SUMIF(Aventri_2022COL[Detailed Description],Table1622[[#This Row],[Detailed Description]],Aventri_2022COL[Total Cost])</f>
        <v>0</v>
      </c>
      <c r="J43" s="118">
        <f>SUM(Table1622[[#This Row],[Aventri_2024IC]:[Aventri_2022COL]])</f>
        <v>18000</v>
      </c>
      <c r="L43" s="125" t="s">
        <v>199</v>
      </c>
      <c r="M43" s="118">
        <f>SUMIF(CompuSystems_2025IC[Detailed Description],Table162223[[#This Row],[Detailed Description]],CompuSystems_2025IC[Total Cost])</f>
        <v>28250</v>
      </c>
      <c r="N43" s="118">
        <f>SUMIF(CompuSystems_2024IC[Detailed Description],Table162223[[#This Row],[Detailed Description]],CompuSystems_2024IC[Total Cost])</f>
        <v>28250</v>
      </c>
      <c r="O43" s="118">
        <f>SUMIF(CompuSystems_2023IC[Detailed Description],Table162223[[#This Row],[Detailed Description]],CompuSystems_2023IC[Total Cost])</f>
        <v>28250</v>
      </c>
      <c r="P43" s="118">
        <f>SUMIF(CompuSystems_2023_2025IA[Detailed Description],Table162223[[#This Row],[Detailed Description]],CompuSystems_2023_2025IA[Total Cost (2023)])</f>
        <v>10000</v>
      </c>
      <c r="Q43" s="118">
        <f>SUMIF(CompuSystems_2023_2025IA[Detailed Description],Table162223[[#This Row],[Detailed Description]],CompuSystems_2023_2025IA[Total Cost (2025)])</f>
        <v>10000</v>
      </c>
      <c r="R43" s="118">
        <f>SUMIF(CompuSystems_2023_2025IA[Detailed Description],Table162223[[#This Row],[Detailed Description]],CompuSystems_2023_2025IA[Total Cost (2025)])</f>
        <v>10000</v>
      </c>
      <c r="S43" s="118">
        <f>SUMIF(CompuSystems_2025COL[Detailed Description],Table162223[[#This Row],[Detailed Description]],CompuSystems_2025COL[Total Cost])</f>
        <v>0</v>
      </c>
      <c r="T43" s="118">
        <f>SUM(Table162223[[#This Row],[CompuSystems2024IC]:[CompuSystems2022COL]])</f>
        <v>114750</v>
      </c>
      <c r="V43" s="125" t="s">
        <v>199</v>
      </c>
      <c r="W43" s="118">
        <f>SUMIF(MCI_2025IC[Detailed Description],Table16222324[[#This Row],[Detailed Description]],MCI_2025IC[Total Cost])</f>
        <v>0</v>
      </c>
      <c r="X43" s="118">
        <f>SUMIF(MCI_2024IC[Detailed Description],Table16222324[[#This Row],[Detailed Description]],MCI_2024IC[Total Cost])</f>
        <v>0</v>
      </c>
      <c r="Y43" s="118">
        <f>SUMIF(MCI_2023IC[Detailed Description],Table16222324[[#This Row],[Detailed Description]],MCI_2023IC[Total Cost])</f>
        <v>0</v>
      </c>
      <c r="Z43" s="118">
        <f>SUMIF(MCI_2023_2025IA[Detailed Description],Table16222324[[#This Row],[Detailed Description]],MCI_2023_2025IA[Total Cost (2023)])</f>
        <v>0</v>
      </c>
      <c r="AA43" s="118">
        <f>SUMIF(MCI_2023_2025IA[Detailed Description],Table16222324[[#This Row],[Detailed Description]],MCI_2023_2025IA[Total Cost (2025)])</f>
        <v>0</v>
      </c>
      <c r="AB43" s="118">
        <f>SUMIF(MCI_2023_2025IA[Detailed Description],Table16222324[[#This Row],[Detailed Description]],MCI_2023_2025IA[Total Cost (2025)])</f>
        <v>0</v>
      </c>
      <c r="AC43" s="118">
        <f>SUMIF(MCI_2025COL[Detailed Description],Table16222324[[#This Row],[Detailed Description]],MCI_2025COL[Total Cost])</f>
        <v>0</v>
      </c>
      <c r="AD43" s="118">
        <f>SUM(Table16222324[[#This Row],[MCI2024IC]:[MCI2022COL]])</f>
        <v>0</v>
      </c>
    </row>
    <row r="44" spans="2:30" x14ac:dyDescent="0.35">
      <c r="B44" s="125" t="s">
        <v>199</v>
      </c>
      <c r="C44" s="118">
        <f>SUMIF(Aventri_2024IC[Detailed Description],Table1622[[#This Row],[Detailed Description]],Aventri_2024IC[Total Cost])</f>
        <v>3000</v>
      </c>
      <c r="D44" s="118">
        <f>SUMIF(Aventri_2023IC[Detailed Description],Table1622[[#This Row],[Detailed Description]],Aventri_2023IC[Total Cost])</f>
        <v>3000</v>
      </c>
      <c r="E44" s="118">
        <f>SUMIF(Aventri_2022IC[Detailed Description],Table1622[[#This Row],[Detailed Description]],Aventri_2022IC[Total Cost])</f>
        <v>3000</v>
      </c>
      <c r="F44" s="118">
        <f>SUMIF(Aventri_2021_2023IA[Detailed Description],Table1622[[#This Row],[Detailed Description]],Aventri_2021_2023IA[Total Cost (2022)])</f>
        <v>3000</v>
      </c>
      <c r="G44" s="118">
        <f>SUMIF(Aventri_2021_2023IA[Detailed Description],Table1622[[#This Row],[Detailed Description]],Aventri_2021_2023IA[Total Cost (2023)])</f>
        <v>3000</v>
      </c>
      <c r="H44" s="118">
        <f>SUMIF(Aventri_2021_2023IA[Detailed Description],Table1622[[#This Row],[Detailed Description]],Aventri_2021_2023IA[Total Cost (2024)])</f>
        <v>3000</v>
      </c>
      <c r="I44" s="118">
        <f>SUMIF(Aventri_2022COL[Detailed Description],Table1622[[#This Row],[Detailed Description]],Aventri_2022COL[Total Cost])</f>
        <v>0</v>
      </c>
      <c r="J44" s="118">
        <f>SUM(Table1622[[#This Row],[Aventri_2024IC]:[Aventri_2022COL]])</f>
        <v>18000</v>
      </c>
      <c r="L44" s="125" t="s">
        <v>199</v>
      </c>
      <c r="M44" s="118">
        <f>SUMIF(CompuSystems_2025IC[Detailed Description],Table162223[[#This Row],[Detailed Description]],CompuSystems_2025IC[Total Cost])</f>
        <v>28250</v>
      </c>
      <c r="N44" s="118">
        <f>SUMIF(CompuSystems_2024IC[Detailed Description],Table162223[[#This Row],[Detailed Description]],CompuSystems_2024IC[Total Cost])</f>
        <v>28250</v>
      </c>
      <c r="O44" s="118">
        <f>SUMIF(CompuSystems_2023IC[Detailed Description],Table162223[[#This Row],[Detailed Description]],CompuSystems_2023IC[Total Cost])</f>
        <v>28250</v>
      </c>
      <c r="P44" s="118">
        <f>SUMIF(CompuSystems_2023_2025IA[Detailed Description],Table162223[[#This Row],[Detailed Description]],CompuSystems_2023_2025IA[Total Cost (2023)])</f>
        <v>10000</v>
      </c>
      <c r="Q44" s="118">
        <f>SUMIF(CompuSystems_2023_2025IA[Detailed Description],Table162223[[#This Row],[Detailed Description]],CompuSystems_2023_2025IA[Total Cost (2025)])</f>
        <v>10000</v>
      </c>
      <c r="R44" s="118">
        <f>SUMIF(CompuSystems_2023_2025IA[Detailed Description],Table162223[[#This Row],[Detailed Description]],CompuSystems_2023_2025IA[Total Cost (2025)])</f>
        <v>10000</v>
      </c>
      <c r="S44" s="118">
        <f>SUMIF(CompuSystems_2025COL[Detailed Description],Table162223[[#This Row],[Detailed Description]],CompuSystems_2025COL[Total Cost])</f>
        <v>0</v>
      </c>
      <c r="T44" s="118">
        <f>SUM(Table162223[[#This Row],[CompuSystems2024IC]:[CompuSystems2022COL]])</f>
        <v>114750</v>
      </c>
      <c r="V44" s="125" t="s">
        <v>199</v>
      </c>
      <c r="W44" s="118">
        <f>SUMIF(MCI_2025IC[Detailed Description],Table16222324[[#This Row],[Detailed Description]],MCI_2025IC[Total Cost])</f>
        <v>0</v>
      </c>
      <c r="X44" s="118">
        <f>SUMIF(MCI_2024IC[Detailed Description],Table16222324[[#This Row],[Detailed Description]],MCI_2024IC[Total Cost])</f>
        <v>0</v>
      </c>
      <c r="Y44" s="118">
        <f>SUMIF(MCI_2023IC[Detailed Description],Table16222324[[#This Row],[Detailed Description]],MCI_2023IC[Total Cost])</f>
        <v>0</v>
      </c>
      <c r="Z44" s="118">
        <f>SUMIF(MCI_2023_2025IA[Detailed Description],Table16222324[[#This Row],[Detailed Description]],MCI_2023_2025IA[Total Cost (2023)])</f>
        <v>0</v>
      </c>
      <c r="AA44" s="118">
        <f>SUMIF(MCI_2023_2025IA[Detailed Description],Table16222324[[#This Row],[Detailed Description]],MCI_2023_2025IA[Total Cost (2025)])</f>
        <v>0</v>
      </c>
      <c r="AB44" s="118">
        <f>SUMIF(MCI_2023_2025IA[Detailed Description],Table16222324[[#This Row],[Detailed Description]],MCI_2023_2025IA[Total Cost (2025)])</f>
        <v>0</v>
      </c>
      <c r="AC44" s="118">
        <f>SUMIF(MCI_2025COL[Detailed Description],Table16222324[[#This Row],[Detailed Description]],MCI_2025COL[Total Cost])</f>
        <v>0</v>
      </c>
      <c r="AD44" s="118">
        <f>SUM(Table16222324[[#This Row],[MCI2024IC]:[MCI2022COL]])</f>
        <v>0</v>
      </c>
    </row>
    <row r="45" spans="2:30" x14ac:dyDescent="0.35">
      <c r="B45" s="125" t="s">
        <v>199</v>
      </c>
      <c r="C45" s="118">
        <f>SUMIF(Aventri_2024IC[Detailed Description],Table1622[[#This Row],[Detailed Description]],Aventri_2024IC[Total Cost])</f>
        <v>3000</v>
      </c>
      <c r="D45" s="118">
        <f>SUMIF(Aventri_2023IC[Detailed Description],Table1622[[#This Row],[Detailed Description]],Aventri_2023IC[Total Cost])</f>
        <v>3000</v>
      </c>
      <c r="E45" s="118">
        <f>SUMIF(Aventri_2022IC[Detailed Description],Table1622[[#This Row],[Detailed Description]],Aventri_2022IC[Total Cost])</f>
        <v>3000</v>
      </c>
      <c r="F45" s="118">
        <f>SUMIF(Aventri_2021_2023IA[Detailed Description],Table1622[[#This Row],[Detailed Description]],Aventri_2021_2023IA[Total Cost (2022)])</f>
        <v>3000</v>
      </c>
      <c r="G45" s="118">
        <f>SUMIF(Aventri_2021_2023IA[Detailed Description],Table1622[[#This Row],[Detailed Description]],Aventri_2021_2023IA[Total Cost (2023)])</f>
        <v>3000</v>
      </c>
      <c r="H45" s="118">
        <f>SUMIF(Aventri_2021_2023IA[Detailed Description],Table1622[[#This Row],[Detailed Description]],Aventri_2021_2023IA[Total Cost (2024)])</f>
        <v>3000</v>
      </c>
      <c r="I45" s="118">
        <f>SUMIF(Aventri_2022COL[Detailed Description],Table1622[[#This Row],[Detailed Description]],Aventri_2022COL[Total Cost])</f>
        <v>0</v>
      </c>
      <c r="J45" s="118">
        <f>SUM(Table1622[[#This Row],[Aventri_2024IC]:[Aventri_2022COL]])</f>
        <v>18000</v>
      </c>
      <c r="L45" s="125" t="s">
        <v>199</v>
      </c>
      <c r="M45" s="118">
        <f>SUMIF(CompuSystems_2025IC[Detailed Description],Table162223[[#This Row],[Detailed Description]],CompuSystems_2025IC[Total Cost])</f>
        <v>28250</v>
      </c>
      <c r="N45" s="118">
        <f>SUMIF(CompuSystems_2024IC[Detailed Description],Table162223[[#This Row],[Detailed Description]],CompuSystems_2024IC[Total Cost])</f>
        <v>28250</v>
      </c>
      <c r="O45" s="118">
        <f>SUMIF(CompuSystems_2023IC[Detailed Description],Table162223[[#This Row],[Detailed Description]],CompuSystems_2023IC[Total Cost])</f>
        <v>28250</v>
      </c>
      <c r="P45" s="118">
        <f>SUMIF(CompuSystems_2023_2025IA[Detailed Description],Table162223[[#This Row],[Detailed Description]],CompuSystems_2023_2025IA[Total Cost (2023)])</f>
        <v>10000</v>
      </c>
      <c r="Q45" s="118">
        <f>SUMIF(CompuSystems_2023_2025IA[Detailed Description],Table162223[[#This Row],[Detailed Description]],CompuSystems_2023_2025IA[Total Cost (2025)])</f>
        <v>10000</v>
      </c>
      <c r="R45" s="118">
        <f>SUMIF(CompuSystems_2023_2025IA[Detailed Description],Table162223[[#This Row],[Detailed Description]],CompuSystems_2023_2025IA[Total Cost (2025)])</f>
        <v>10000</v>
      </c>
      <c r="S45" s="118">
        <f>SUMIF(CompuSystems_2025COL[Detailed Description],Table162223[[#This Row],[Detailed Description]],CompuSystems_2025COL[Total Cost])</f>
        <v>0</v>
      </c>
      <c r="T45" s="118">
        <f>SUM(Table162223[[#This Row],[CompuSystems2024IC]:[CompuSystems2022COL]])</f>
        <v>114750</v>
      </c>
      <c r="V45" s="125" t="s">
        <v>199</v>
      </c>
      <c r="W45" s="118">
        <f>SUMIF(MCI_2025IC[Detailed Description],Table16222324[[#This Row],[Detailed Description]],MCI_2025IC[Total Cost])</f>
        <v>0</v>
      </c>
      <c r="X45" s="118">
        <f>SUMIF(MCI_2024IC[Detailed Description],Table16222324[[#This Row],[Detailed Description]],MCI_2024IC[Total Cost])</f>
        <v>0</v>
      </c>
      <c r="Y45" s="118">
        <f>SUMIF(MCI_2023IC[Detailed Description],Table16222324[[#This Row],[Detailed Description]],MCI_2023IC[Total Cost])</f>
        <v>0</v>
      </c>
      <c r="Z45" s="118">
        <f>SUMIF(MCI_2023_2025IA[Detailed Description],Table16222324[[#This Row],[Detailed Description]],MCI_2023_2025IA[Total Cost (2023)])</f>
        <v>0</v>
      </c>
      <c r="AA45" s="118">
        <f>SUMIF(MCI_2023_2025IA[Detailed Description],Table16222324[[#This Row],[Detailed Description]],MCI_2023_2025IA[Total Cost (2025)])</f>
        <v>0</v>
      </c>
      <c r="AB45" s="118">
        <f>SUMIF(MCI_2023_2025IA[Detailed Description],Table16222324[[#This Row],[Detailed Description]],MCI_2023_2025IA[Total Cost (2025)])</f>
        <v>0</v>
      </c>
      <c r="AC45" s="118">
        <f>SUMIF(MCI_2025COL[Detailed Description],Table16222324[[#This Row],[Detailed Description]],MCI_2025COL[Total Cost])</f>
        <v>0</v>
      </c>
      <c r="AD45" s="118">
        <f>SUM(Table16222324[[#This Row],[MCI2024IC]:[MCI2022COL]])</f>
        <v>0</v>
      </c>
    </row>
    <row r="46" spans="2:30" x14ac:dyDescent="0.35">
      <c r="B46" s="122" t="s">
        <v>196</v>
      </c>
      <c r="C46" s="118">
        <f>SUMIF(Aventri_2024IC[Detailed Description],Table1622[[#This Row],[Detailed Description]],Aventri_2024IC[Total Cost])</f>
        <v>3000</v>
      </c>
      <c r="D46" s="118">
        <f>SUMIF(Aventri_2023IC[Detailed Description],Table1622[[#This Row],[Detailed Description]],Aventri_2023IC[Total Cost])</f>
        <v>3000</v>
      </c>
      <c r="E46" s="118">
        <f>SUMIF(Aventri_2022IC[Detailed Description],Table1622[[#This Row],[Detailed Description]],Aventri_2022IC[Total Cost])</f>
        <v>3000</v>
      </c>
      <c r="F46" s="118">
        <f>SUMIF(Aventri_2021_2023IA[Detailed Description],Table1622[[#This Row],[Detailed Description]],Aventri_2021_2023IA[Total Cost (2022)])</f>
        <v>3000</v>
      </c>
      <c r="G46" s="118">
        <f>SUMIF(Aventri_2021_2023IA[Detailed Description],Table1622[[#This Row],[Detailed Description]],Aventri_2021_2023IA[Total Cost (2023)])</f>
        <v>3000</v>
      </c>
      <c r="H46" s="118">
        <f>SUMIF(Aventri_2021_2023IA[Detailed Description],Table1622[[#This Row],[Detailed Description]],Aventri_2021_2023IA[Total Cost (2024)])</f>
        <v>3000</v>
      </c>
      <c r="I46" s="118">
        <f>SUMIF(Aventri_2022COL[Detailed Description],Table1622[[#This Row],[Detailed Description]],Aventri_2022COL[Total Cost])</f>
        <v>3000</v>
      </c>
      <c r="J46" s="118">
        <f>SUM(Table1622[[#This Row],[Aventri_2024IC]:[Aventri_2022COL]])</f>
        <v>21000</v>
      </c>
      <c r="L46" s="122" t="s">
        <v>196</v>
      </c>
      <c r="M46" s="118">
        <f>SUMIF(CompuSystems_2025IC[Detailed Description],Table162223[[#This Row],[Detailed Description]],CompuSystems_2025IC[Total Cost])</f>
        <v>8400</v>
      </c>
      <c r="N46" s="118">
        <f>SUMIF(CompuSystems_2024IC[Detailed Description],Table162223[[#This Row],[Detailed Description]],CompuSystems_2024IC[Total Cost])</f>
        <v>3500</v>
      </c>
      <c r="O46" s="118">
        <f>SUMIF(CompuSystems_2023IC[Detailed Description],Table162223[[#This Row],[Detailed Description]],CompuSystems_2023IC[Total Cost])</f>
        <v>8540</v>
      </c>
      <c r="P46" s="118">
        <f>SUMIF(CompuSystems_2023_2025IA[Detailed Description],Table162223[[#This Row],[Detailed Description]],CompuSystems_2023_2025IA[Total Cost (2023)])</f>
        <v>3500</v>
      </c>
      <c r="Q46" s="118">
        <f>SUMIF(CompuSystems_2023_2025IA[Detailed Description],Table162223[[#This Row],[Detailed Description]],CompuSystems_2023_2025IA[Total Cost (2025)])</f>
        <v>3500</v>
      </c>
      <c r="R46" s="118">
        <f>SUMIF(CompuSystems_2023_2025IA[Detailed Description],Table162223[[#This Row],[Detailed Description]],CompuSystems_2023_2025IA[Total Cost (2025)])</f>
        <v>3500</v>
      </c>
      <c r="S46" s="118">
        <f>SUMIF(CompuSystems_2025COL[Detailed Description],Table162223[[#This Row],[Detailed Description]],CompuSystems_2025COL[Total Cost])</f>
        <v>3500</v>
      </c>
      <c r="T46" s="118">
        <f>SUM(Table162223[[#This Row],[CompuSystems2024IC]:[CompuSystems2022COL]])</f>
        <v>34440</v>
      </c>
      <c r="V46" s="122" t="s">
        <v>196</v>
      </c>
      <c r="W46" s="118">
        <f>SUMIF(MCI_2025IC[Detailed Description],Table16222324[[#This Row],[Detailed Description]],MCI_2025IC[Total Cost])</f>
        <v>3000</v>
      </c>
      <c r="X46" s="118">
        <f>SUMIF(MCI_2024IC[Detailed Description],Table16222324[[#This Row],[Detailed Description]],MCI_2024IC[Total Cost])</f>
        <v>3000</v>
      </c>
      <c r="Y46" s="118">
        <f>SUMIF(MCI_2023IC[Detailed Description],Table16222324[[#This Row],[Detailed Description]],MCI_2023IC[Total Cost])</f>
        <v>3000</v>
      </c>
      <c r="Z46" s="118">
        <f>SUMIF(MCI_2023_2025IA[Detailed Description],Table16222324[[#This Row],[Detailed Description]],MCI_2023_2025IA[Total Cost (2023)])</f>
        <v>1000</v>
      </c>
      <c r="AA46" s="118">
        <f>SUMIF(MCI_2023_2025IA[Detailed Description],Table16222324[[#This Row],[Detailed Description]],MCI_2023_2025IA[Total Cost (2025)])</f>
        <v>1000</v>
      </c>
      <c r="AB46" s="118">
        <f>SUMIF(MCI_2023_2025IA[Detailed Description],Table16222324[[#This Row],[Detailed Description]],MCI_2023_2025IA[Total Cost (2025)])</f>
        <v>1000</v>
      </c>
      <c r="AC46" s="118">
        <f>SUMIF(MCI_2025COL[Detailed Description],Table16222324[[#This Row],[Detailed Description]],MCI_2025COL[Total Cost])</f>
        <v>1000</v>
      </c>
      <c r="AD46" s="118">
        <f>SUM(Table16222324[[#This Row],[MCI2024IC]:[MCI2022COL]])</f>
        <v>13000</v>
      </c>
    </row>
    <row r="47" spans="2:30" x14ac:dyDescent="0.35">
      <c r="B47" s="126" t="s">
        <v>193</v>
      </c>
      <c r="C47" s="119">
        <f>SUMIF(Aventri_2024IC[Detailed Description],Table1622[[#This Row],[Detailed Description]],Aventri_2024IC[Total Cost])</f>
        <v>5325</v>
      </c>
      <c r="D47" s="119">
        <f>SUMIF(Aventri_2023IC[Detailed Description],Table1622[[#This Row],[Detailed Description]],Aventri_2023IC[Total Cost])</f>
        <v>5325</v>
      </c>
      <c r="E47" s="119">
        <f>SUMIF(Aventri_2022IC[Detailed Description],Table1622[[#This Row],[Detailed Description]],Aventri_2022IC[Total Cost])</f>
        <v>5325</v>
      </c>
      <c r="F47" s="119">
        <f>SUMIF(Aventri_2021_2023IA[Detailed Description],Table1622[[#This Row],[Detailed Description]],Aventri_2021_2023IA[Total Cost (2022)])</f>
        <v>750</v>
      </c>
      <c r="G47" s="119">
        <f>SUMIF(Aventri_2021_2023IA[Detailed Description],Table1622[[#This Row],[Detailed Description]],Aventri_2021_2023IA[Total Cost (2023)])</f>
        <v>750</v>
      </c>
      <c r="H47" s="119">
        <f>SUMIF(Aventri_2021_2023IA[Detailed Description],Table1622[[#This Row],[Detailed Description]],Aventri_2021_2023IA[Total Cost (2024)])</f>
        <v>750</v>
      </c>
      <c r="I47" s="119">
        <f>SUMIF(Aventri_2022COL[Detailed Description],Table1622[[#This Row],[Detailed Description]],Aventri_2022COL[Total Cost])</f>
        <v>375</v>
      </c>
      <c r="J47" s="119">
        <f>SUM(Table1622[[#This Row],[Aventri_2024IC]:[Aventri_2022COL]])</f>
        <v>18600</v>
      </c>
      <c r="L47" s="126" t="s">
        <v>193</v>
      </c>
      <c r="M47" s="118">
        <f>SUMIF(CompuSystems_2025IC[Detailed Description],Table162223[[#This Row],[Detailed Description]],CompuSystems_2025IC[Total Cost])</f>
        <v>5475</v>
      </c>
      <c r="N47" s="118">
        <f>SUMIF(CompuSystems_2024IC[Detailed Description],Table162223[[#This Row],[Detailed Description]],CompuSystems_2024IC[Total Cost])</f>
        <v>7950</v>
      </c>
      <c r="O47" s="118">
        <f>SUMIF(CompuSystems_2023IC[Detailed Description],Table162223[[#This Row],[Detailed Description]],CompuSystems_2023IC[Total Cost])</f>
        <v>3750</v>
      </c>
      <c r="P47" s="118">
        <f>SUMIF(CompuSystems_2023_2025IA[Detailed Description],Table162223[[#This Row],[Detailed Description]],CompuSystems_2023_2025IA[Total Cost (2023)])</f>
        <v>750</v>
      </c>
      <c r="Q47" s="118">
        <f>SUMIF(CompuSystems_2023_2025IA[Detailed Description],Table162223[[#This Row],[Detailed Description]],CompuSystems_2023_2025IA[Total Cost (2025)])</f>
        <v>750</v>
      </c>
      <c r="R47" s="118">
        <f>SUMIF(CompuSystems_2023_2025IA[Detailed Description],Table162223[[#This Row],[Detailed Description]],CompuSystems_2023_2025IA[Total Cost (2025)])</f>
        <v>750</v>
      </c>
      <c r="S47" s="118">
        <f>SUMIF(CompuSystems_2025COL[Detailed Description],Table162223[[#This Row],[Detailed Description]],CompuSystems_2025COL[Total Cost])</f>
        <v>375</v>
      </c>
      <c r="T47" s="118">
        <f>SUM(Table162223[[#This Row],[CompuSystems2024IC]:[CompuSystems2022COL]])</f>
        <v>19800</v>
      </c>
      <c r="V47" s="126" t="s">
        <v>193</v>
      </c>
      <c r="W47" s="118">
        <f>SUMIF(MCI_2025IC[Detailed Description],Table16222324[[#This Row],[Detailed Description]],MCI_2025IC[Total Cost])</f>
        <v>5325</v>
      </c>
      <c r="X47" s="118">
        <f>SUMIF(MCI_2024IC[Detailed Description],Table16222324[[#This Row],[Detailed Description]],MCI_2024IC[Total Cost])</f>
        <v>5325</v>
      </c>
      <c r="Y47" s="118">
        <f>SUMIF(MCI_2023IC[Detailed Description],Table16222324[[#This Row],[Detailed Description]],MCI_2023IC[Total Cost])</f>
        <v>7950</v>
      </c>
      <c r="Z47" s="118">
        <f>SUMIF(MCI_2023_2025IA[Detailed Description],Table16222324[[#This Row],[Detailed Description]],MCI_2023_2025IA[Total Cost (2023)])</f>
        <v>750</v>
      </c>
      <c r="AA47" s="118">
        <f>SUMIF(MCI_2023_2025IA[Detailed Description],Table16222324[[#This Row],[Detailed Description]],MCI_2023_2025IA[Total Cost (2025)])</f>
        <v>750</v>
      </c>
      <c r="AB47" s="118">
        <f>SUMIF(MCI_2023_2025IA[Detailed Description],Table16222324[[#This Row],[Detailed Description]],MCI_2023_2025IA[Total Cost (2025)])</f>
        <v>750</v>
      </c>
      <c r="AC47" s="118">
        <f>SUMIF(MCI_2025COL[Detailed Description],Table16222324[[#This Row],[Detailed Description]],MCI_2025COL[Total Cost])</f>
        <v>375</v>
      </c>
      <c r="AD47" s="118">
        <f>SUM(Table16222324[[#This Row],[MCI2024IC]:[MCI2022COL]])</f>
        <v>21225</v>
      </c>
    </row>
    <row r="48" spans="2:30" x14ac:dyDescent="0.35">
      <c r="B48" s="120" t="s">
        <v>28</v>
      </c>
      <c r="C48" s="121">
        <f>SUBTOTAL(109,Table1622[Aventri_2024IC])</f>
        <v>197980.87</v>
      </c>
      <c r="D48" s="121">
        <f>SUBTOTAL(109,Table1622[Aventri_2023IC])</f>
        <v>198520.87</v>
      </c>
      <c r="E48" s="121">
        <f>SUBTOTAL(109,Table1622[Aventri_2022IC])</f>
        <v>185837.87</v>
      </c>
      <c r="F48" s="121">
        <f>SUBTOTAL(109,Table1622[Aventri_2022IA])</f>
        <v>33117.949999999997</v>
      </c>
      <c r="G48" s="121">
        <f>SUBTOTAL(109,Table1622[Aventri_2023IA])</f>
        <v>33297.949999999997</v>
      </c>
      <c r="H48" s="121">
        <f>SUBTOTAL(109,Table1622[Aventri_2024])</f>
        <v>33297.949999999997</v>
      </c>
      <c r="I48" s="121">
        <f>SUBTOTAL(109,Table1622[Aventri_2022COL])</f>
        <v>12390.03</v>
      </c>
      <c r="J48" s="121">
        <f>SUBTOTAL(109,Table1622[Aventri_Total Contract])</f>
        <v>694443.49</v>
      </c>
      <c r="L48" s="120" t="s">
        <v>28</v>
      </c>
      <c r="M48" s="121">
        <f>SUBTOTAL(109,Table162223[CompuSystems2024IC])</f>
        <v>258870</v>
      </c>
      <c r="N48" s="121">
        <f>SUBTOTAL(109,Table162223[CompuSystems2023IC])</f>
        <v>230235</v>
      </c>
      <c r="O48" s="121">
        <f>SUBTOTAL(109,Table162223[CompuSystems2022IC])</f>
        <v>222244</v>
      </c>
      <c r="P48" s="121">
        <f>SUBTOTAL(109,Table162223[CompuSystems2021IA])</f>
        <v>65637.08</v>
      </c>
      <c r="Q48" s="121">
        <f>SUBTOTAL(109,Table162223[CompuSystems2022IA2])</f>
        <v>65817.08</v>
      </c>
      <c r="R48" s="121">
        <f>SUBTOTAL(109,Table162223[CompuSystems2023IA])</f>
        <v>65817.08</v>
      </c>
      <c r="S48" s="121">
        <f>SUBTOTAL(109,Table162223[CompuSystems2022COL])</f>
        <v>24897.16</v>
      </c>
      <c r="T48" s="121">
        <f>SUBTOTAL(109,Table162223[CompuSystemsTotal Contract])</f>
        <v>933517.4</v>
      </c>
      <c r="V48" s="120" t="s">
        <v>28</v>
      </c>
      <c r="W48" s="121">
        <f>SUBTOTAL(109,Table16222324[MCI2024IC])</f>
        <v>177555</v>
      </c>
      <c r="X48" s="121">
        <f>SUBTOTAL(109,Table16222324[MCI2023IC])</f>
        <v>186095</v>
      </c>
      <c r="Y48" s="121">
        <f>SUBTOTAL(109,Table16222324[MCI2022IC])</f>
        <v>186913</v>
      </c>
      <c r="Z48" s="121">
        <f>SUBTOTAL(109,Table16222324[MCI2021IA])</f>
        <v>28312.080000000002</v>
      </c>
      <c r="AA48" s="121">
        <f>SUBTOTAL(109,Table16222324[MCI2022IA2])</f>
        <v>28492.080000000002</v>
      </c>
      <c r="AB48" s="121">
        <f>SUBTOTAL(109,Table16222324[MCI2023IA])</f>
        <v>28492.080000000002</v>
      </c>
      <c r="AC48" s="121">
        <f>SUBTOTAL(109,Table16222324[MCI2022COL])</f>
        <v>25834.16</v>
      </c>
      <c r="AD48" s="121">
        <f>SUBTOTAL(109,Table16222324[MCITotal Contract])</f>
        <v>661693.4</v>
      </c>
    </row>
  </sheetData>
  <mergeCells count="3">
    <mergeCell ref="V2:AD2"/>
    <mergeCell ref="L2:T2"/>
    <mergeCell ref="B2:J2"/>
  </mergeCells>
  <pageMargins left="0.7" right="0.7" top="0.75" bottom="0.75" header="0.3" footer="0.3"/>
  <pageSetup orientation="portrait" horizontalDpi="300" verticalDpi="300"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H22"/>
  <sheetViews>
    <sheetView topLeftCell="A10" workbookViewId="0">
      <selection activeCell="D12" sqref="D12"/>
    </sheetView>
  </sheetViews>
  <sheetFormatPr defaultRowHeight="14.5" x14ac:dyDescent="0.35"/>
  <cols>
    <col min="1" max="1" width="16.1796875" customWidth="1"/>
    <col min="2" max="2" width="33.7265625" bestFit="1" customWidth="1"/>
    <col min="3" max="3" width="24" bestFit="1" customWidth="1"/>
    <col min="4" max="4" width="24" customWidth="1"/>
    <col min="8" max="8" width="16.1796875" bestFit="1" customWidth="1"/>
    <col min="9" max="9" width="26.54296875" bestFit="1" customWidth="1"/>
    <col min="10" max="10" width="32.36328125" bestFit="1" customWidth="1"/>
    <col min="11" max="11" width="22.81640625" bestFit="1" customWidth="1"/>
  </cols>
  <sheetData>
    <row r="3" spans="1:8" x14ac:dyDescent="0.35">
      <c r="A3" s="131" t="s">
        <v>303</v>
      </c>
      <c r="B3" s="115" t="s">
        <v>391</v>
      </c>
      <c r="C3" s="115" t="s">
        <v>392</v>
      </c>
    </row>
    <row r="4" spans="1:8" x14ac:dyDescent="0.35">
      <c r="A4" s="132" t="s">
        <v>195</v>
      </c>
      <c r="B4" s="115">
        <v>183690</v>
      </c>
      <c r="C4" s="115">
        <v>33500</v>
      </c>
    </row>
    <row r="5" spans="1:8" x14ac:dyDescent="0.35">
      <c r="A5" s="132" t="s">
        <v>169</v>
      </c>
      <c r="B5" s="115">
        <v>134850</v>
      </c>
      <c r="C5" s="115">
        <v>105000</v>
      </c>
    </row>
    <row r="6" spans="1:8" x14ac:dyDescent="0.35">
      <c r="A6" s="132" t="s">
        <v>204</v>
      </c>
      <c r="B6" s="115">
        <v>141200</v>
      </c>
      <c r="C6" s="115">
        <v>96125</v>
      </c>
    </row>
    <row r="7" spans="1:8" x14ac:dyDescent="0.35">
      <c r="A7" s="132" t="s">
        <v>182</v>
      </c>
      <c r="B7" s="115">
        <v>12243</v>
      </c>
      <c r="C7" s="115">
        <v>48060</v>
      </c>
    </row>
    <row r="8" spans="1:8" x14ac:dyDescent="0.35">
      <c r="A8" s="132" t="s">
        <v>190</v>
      </c>
      <c r="B8" s="115">
        <v>191779.39999999997</v>
      </c>
      <c r="C8" s="115">
        <v>125304.40000000001</v>
      </c>
    </row>
    <row r="9" spans="1:8" x14ac:dyDescent="0.35">
      <c r="A9" s="132" t="s">
        <v>185</v>
      </c>
      <c r="B9" s="115">
        <v>4500</v>
      </c>
      <c r="C9" s="115">
        <v>0</v>
      </c>
    </row>
    <row r="10" spans="1:8" x14ac:dyDescent="0.35">
      <c r="A10" s="132" t="s">
        <v>158</v>
      </c>
      <c r="B10" s="115">
        <v>0</v>
      </c>
      <c r="C10" s="115">
        <v>236100</v>
      </c>
    </row>
    <row r="11" spans="1:8" x14ac:dyDescent="0.35">
      <c r="A11" s="132" t="s">
        <v>176</v>
      </c>
      <c r="B11" s="115">
        <v>0</v>
      </c>
      <c r="C11" s="115">
        <v>0</v>
      </c>
    </row>
    <row r="12" spans="1:8" x14ac:dyDescent="0.35">
      <c r="A12" s="132" t="s">
        <v>201</v>
      </c>
      <c r="B12" s="115">
        <v>51000</v>
      </c>
      <c r="C12" s="115">
        <v>17424</v>
      </c>
    </row>
    <row r="13" spans="1:8" x14ac:dyDescent="0.35">
      <c r="A13" s="132" t="s">
        <v>304</v>
      </c>
      <c r="B13" s="115">
        <v>719262.39999999991</v>
      </c>
      <c r="C13" s="115">
        <v>661513.4</v>
      </c>
      <c r="H13" s="132"/>
    </row>
    <row r="14" spans="1:8" x14ac:dyDescent="0.35">
      <c r="H14" s="132"/>
    </row>
    <row r="15" spans="1:8" x14ac:dyDescent="0.35">
      <c r="H15" s="132"/>
    </row>
    <row r="16" spans="1:8" x14ac:dyDescent="0.35">
      <c r="H16" s="132"/>
    </row>
    <row r="17" spans="8:8" x14ac:dyDescent="0.35">
      <c r="H17" s="132"/>
    </row>
    <row r="18" spans="8:8" x14ac:dyDescent="0.35">
      <c r="H18" s="132"/>
    </row>
    <row r="19" spans="8:8" x14ac:dyDescent="0.35">
      <c r="H19" s="132"/>
    </row>
    <row r="20" spans="8:8" x14ac:dyDescent="0.35">
      <c r="H20" s="132"/>
    </row>
    <row r="21" spans="8:8" x14ac:dyDescent="0.35">
      <c r="H21" s="132"/>
    </row>
    <row r="22" spans="8:8" x14ac:dyDescent="0.35">
      <c r="H22" s="132"/>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Z46"/>
  <sheetViews>
    <sheetView topLeftCell="A7" zoomScale="80" zoomScaleNormal="80" workbookViewId="0">
      <selection activeCell="B28" sqref="B28"/>
    </sheetView>
  </sheetViews>
  <sheetFormatPr defaultRowHeight="14.5" x14ac:dyDescent="0.35"/>
  <cols>
    <col min="2" max="2" width="52.81640625" bestFit="1" customWidth="1"/>
    <col min="3" max="5" width="17" hidden="1" customWidth="1"/>
    <col min="6" max="7" width="17.1796875" hidden="1" customWidth="1"/>
    <col min="8" max="8" width="15.1796875" hidden="1" customWidth="1"/>
    <col min="9" max="9" width="18.81640625" hidden="1" customWidth="1"/>
    <col min="10" max="10" width="23.54296875" hidden="1" customWidth="1"/>
    <col min="11" max="14" width="23.1796875" hidden="1" customWidth="1"/>
    <col min="15" max="15" width="22" hidden="1" customWidth="1"/>
    <col min="16" max="16" width="23.1796875" hidden="1" customWidth="1"/>
    <col min="17" max="17" width="25" hidden="1" customWidth="1"/>
    <col min="18" max="18" width="29.81640625" bestFit="1" customWidth="1"/>
    <col min="19" max="24" width="13.1796875" hidden="1" customWidth="1"/>
    <col min="25" max="25" width="14.90625" hidden="1" customWidth="1"/>
    <col min="26" max="26" width="39" bestFit="1" customWidth="1"/>
    <col min="27" max="27" width="10.36328125" bestFit="1" customWidth="1"/>
    <col min="28" max="28" width="2" bestFit="1" customWidth="1"/>
    <col min="29" max="29" width="10.36328125" bestFit="1" customWidth="1"/>
  </cols>
  <sheetData>
    <row r="2" spans="2:26" x14ac:dyDescent="0.35">
      <c r="B2" s="134"/>
      <c r="C2" s="246" t="s">
        <v>29</v>
      </c>
      <c r="D2" s="246"/>
      <c r="E2" s="246"/>
      <c r="F2" s="246"/>
      <c r="G2" s="246"/>
      <c r="H2" s="246"/>
      <c r="I2" s="246"/>
      <c r="J2" s="246"/>
      <c r="K2" s="244" t="s">
        <v>2</v>
      </c>
      <c r="L2" s="244"/>
      <c r="M2" s="244"/>
      <c r="N2" s="244"/>
      <c r="O2" s="244"/>
      <c r="P2" s="244"/>
      <c r="Q2" s="244"/>
      <c r="R2" s="244"/>
      <c r="S2" s="245" t="s">
        <v>302</v>
      </c>
      <c r="T2" s="245"/>
      <c r="U2" s="245"/>
      <c r="V2" s="245"/>
      <c r="W2" s="245"/>
      <c r="X2" s="245"/>
      <c r="Y2" s="245"/>
      <c r="Z2" s="245"/>
    </row>
    <row r="3" spans="2:26" x14ac:dyDescent="0.35">
      <c r="B3" s="135" t="s">
        <v>153</v>
      </c>
      <c r="C3" s="169" t="s">
        <v>276</v>
      </c>
      <c r="D3" s="169" t="s">
        <v>277</v>
      </c>
      <c r="E3" s="169" t="s">
        <v>278</v>
      </c>
      <c r="F3" s="169" t="s">
        <v>279</v>
      </c>
      <c r="G3" s="169" t="s">
        <v>280</v>
      </c>
      <c r="H3" s="169" t="s">
        <v>281</v>
      </c>
      <c r="I3" s="169" t="s">
        <v>282</v>
      </c>
      <c r="J3" s="169" t="s">
        <v>283</v>
      </c>
      <c r="K3" s="170" t="s">
        <v>284</v>
      </c>
      <c r="L3" s="170" t="s">
        <v>285</v>
      </c>
      <c r="M3" s="170" t="s">
        <v>286</v>
      </c>
      <c r="N3" s="170" t="s">
        <v>311</v>
      </c>
      <c r="O3" s="170" t="s">
        <v>312</v>
      </c>
      <c r="P3" s="170" t="s">
        <v>313</v>
      </c>
      <c r="Q3" s="170" t="s">
        <v>288</v>
      </c>
      <c r="R3" s="170" t="s">
        <v>289</v>
      </c>
      <c r="S3" s="171" t="s">
        <v>294</v>
      </c>
      <c r="T3" s="171" t="s">
        <v>295</v>
      </c>
      <c r="U3" s="171" t="s">
        <v>296</v>
      </c>
      <c r="V3" s="171" t="s">
        <v>314</v>
      </c>
      <c r="W3" s="171" t="s">
        <v>299</v>
      </c>
      <c r="X3" s="171" t="s">
        <v>315</v>
      </c>
      <c r="Y3" s="171" t="s">
        <v>300</v>
      </c>
      <c r="Z3" s="171" t="s">
        <v>301</v>
      </c>
    </row>
    <row r="4" spans="2:26" x14ac:dyDescent="0.35">
      <c r="B4" s="133"/>
      <c r="C4" s="117"/>
      <c r="D4" s="117"/>
      <c r="E4" s="117"/>
      <c r="F4" s="117"/>
      <c r="G4" s="117"/>
      <c r="H4" s="117"/>
      <c r="I4" s="117"/>
      <c r="J4" s="117"/>
      <c r="K4" s="156">
        <f>SUMIF(CompuSystems_2025IC[Detailed Description],LineItemTableAll[[#This Row],[Detailed Description]],CompuSystems_2025IC[Total Cost])</f>
        <v>0</v>
      </c>
      <c r="L4" s="156">
        <f>SUMIF(CompuSystems_2024IC[Detailed Description],LineItemTableAll[[#This Row],[Detailed Description]],CompuSystems_2024IC[Total Cost])</f>
        <v>0</v>
      </c>
      <c r="M4" s="156">
        <f>SUMIF(CompuSystems_2023IC[Detailed Description],LineItemTableAll[[#This Row],[Detailed Description]],CompuSystems_2023IC[Total Cost])</f>
        <v>0</v>
      </c>
      <c r="N4" s="156">
        <f>SUMIF(CompuSystems_2023_2025IA[Detailed Description],LineItemTableAll[[#This Row],[Detailed Description]],CompuSystems_2023_2025IA[Total Cost (2023)])</f>
        <v>0</v>
      </c>
      <c r="O4" s="156">
        <f>SUMIF(CompuSystems_2023_2025IA[Detailed Description],LineItemTableAll[[#This Row],[Detailed Description]],CompuSystems_2023_2025IA[Total Cost (2025)])</f>
        <v>0</v>
      </c>
      <c r="P4" s="156">
        <f>SUMIF(CompuSystems_2023_2025IA[Detailed Description],LineItemTableAll[[#This Row],[Detailed Description]],CompuSystems_2023_2025IA[Total Cost (2025)])</f>
        <v>0</v>
      </c>
      <c r="Q4" s="156">
        <f>SUMIF(CompuSystems_2025COL[Detailed Description],LineItemTableAll[[#This Row],[Detailed Description]],CompuSystems_2025COL[Total Cost])</f>
        <v>0</v>
      </c>
      <c r="R4" s="156">
        <f>SUM(LineItemTableAll[[#This Row],[CompuSystems2024IC]:[CompuSystems2022COL]])</f>
        <v>0</v>
      </c>
      <c r="S4" s="156">
        <f>SUMIF(MCI_2025IC[Detailed Description],LineItemTableAll[[#This Row],[Detailed Description]],MCI_2025IC[Total Cost])</f>
        <v>0</v>
      </c>
      <c r="T4" s="156">
        <f>SUMIF(MCI_2024IC[Detailed Description],LineItemTableAll[[#This Row],[Detailed Description]],MCI_2024IC[Total Cost])</f>
        <v>0</v>
      </c>
      <c r="U4" s="156">
        <f>SUMIF(MCI_2023IC[Detailed Description],LineItemTableAll[[#This Row],[Detailed Description]],MCI_2023IC[Total Cost])</f>
        <v>0</v>
      </c>
      <c r="V4" s="156">
        <f>SUMIF(MCI_2023_2025IA[Detailed Description],LineItemTableAll[[#This Row],[Detailed Description]],MCI_2023_2025IA[Total Cost (2023)])</f>
        <v>0</v>
      </c>
      <c r="W4" s="156">
        <f>SUMIF(MCI_2023_2025IA[Detailed Description],LineItemTableAll[[#This Row],[Detailed Description]],MCI_2023_2025IA[Total Cost (2025)])</f>
        <v>0</v>
      </c>
      <c r="X4" s="156">
        <f>SUMIF(MCI_2023_2025IA[Detailed Description],LineItemTableAll[[#This Row],[Detailed Description]],MCI_2023_2025IA[Total Cost (2025)])</f>
        <v>0</v>
      </c>
      <c r="Y4" s="156">
        <f>SUMIF(MCI_2025COL[Detailed Description],LineItemTableAll[[#This Row],[Detailed Description]],MCI_2025COL[Total Cost])</f>
        <v>0</v>
      </c>
      <c r="Z4" s="156">
        <f>SUM(LineItemTableAll[[#This Row],[MCI2024IC]:[MCI2022COL]])</f>
        <v>0</v>
      </c>
    </row>
    <row r="5" spans="2:26" x14ac:dyDescent="0.35">
      <c r="B5" s="166" t="s">
        <v>174</v>
      </c>
      <c r="C5" s="118">
        <f>SUMIF(Aventri_2024IC[Detailed Description],LineItemTableAll[[#This Row],[Detailed Description]],Aventri_2024IC[Total Cost])</f>
        <v>10000</v>
      </c>
      <c r="D5" s="118">
        <f>SUMIF(Aventri_2023IC[Detailed Description],LineItemTableAll[[#This Row],[Detailed Description]],Aventri_2023IC[Total Cost])</f>
        <v>10000</v>
      </c>
      <c r="E5" s="118">
        <f>SUMIF(Aventri_2022IC[Detailed Description],LineItemTableAll[[#This Row],[Detailed Description]],Aventri_2022IC[Total Cost])</f>
        <v>12000</v>
      </c>
      <c r="F5" s="118">
        <f>SUMIF(Aventri_2021_2023IA[Detailed Description],LineItemTableAll[[#This Row],[Detailed Description]],Aventri_2021_2023IA[Total Cost (2022)])</f>
        <v>2000</v>
      </c>
      <c r="G5" s="118">
        <f>SUMIF(Aventri_2021_2023IA[Detailed Description],LineItemTableAll[[#This Row],[Detailed Description]],Aventri_2021_2023IA[Total Cost (2023)])</f>
        <v>2000</v>
      </c>
      <c r="H5" s="118">
        <f>SUMIF(Aventri_2021_2023IA[Detailed Description],LineItemTableAll[[#This Row],[Detailed Description]],Aventri_2021_2023IA[Total Cost (2024)])</f>
        <v>2000</v>
      </c>
      <c r="I5" s="118">
        <f>SUMIF(Aventri_2022COL[Detailed Description],LineItemTableAll[[#This Row],[Detailed Description]],Aventri_2022COL[Total Cost])</f>
        <v>0</v>
      </c>
      <c r="J5" s="118">
        <f>SUM(LineItemTableAll[[#This Row],[Aventri_2024IC]:[Aventri_2022COL]])</f>
        <v>38000</v>
      </c>
      <c r="K5" s="157">
        <f>SUMIF(CompuSystems_2025IC[Detailed Description],LineItemTableAll[[#This Row],[Detailed Description]],CompuSystems_2025IC[Total Cost])</f>
        <v>12000</v>
      </c>
      <c r="L5" s="157">
        <f>SUMIF(CompuSystems_2024IC[Detailed Description],LineItemTableAll[[#This Row],[Detailed Description]],CompuSystems_2024IC[Total Cost])</f>
        <v>10000</v>
      </c>
      <c r="M5" s="157">
        <f>SUMIF(CompuSystems_2023IC[Detailed Description],LineItemTableAll[[#This Row],[Detailed Description]],CompuSystems_2023IC[Total Cost])</f>
        <v>10000</v>
      </c>
      <c r="N5" s="157">
        <f>SUMIF(CompuSystems_2023_2025IA[Detailed Description],LineItemTableAll[[#This Row],[Detailed Description]],CompuSystems_2023_2025IA[Total Cost (2023)])</f>
        <v>2000</v>
      </c>
      <c r="O5" s="157">
        <f>SUMIF(CompuSystems_2023_2025IA[Detailed Description],LineItemTableAll[[#This Row],[Detailed Description]],CompuSystems_2023_2025IA[Total Cost (2025)])</f>
        <v>2000</v>
      </c>
      <c r="P5" s="157">
        <f>SUMIF(CompuSystems_2023_2025IA[Detailed Description],LineItemTableAll[[#This Row],[Detailed Description]],CompuSystems_2023_2025IA[Total Cost (2025)])</f>
        <v>2000</v>
      </c>
      <c r="Q5" s="157">
        <f>SUMIF(CompuSystems_2025COL[Detailed Description],LineItemTableAll[[#This Row],[Detailed Description]],CompuSystems_2025COL[Total Cost])</f>
        <v>0</v>
      </c>
      <c r="R5" s="157">
        <f>SUM(LineItemTableAll[[#This Row],[CompuSystems2024IC]:[CompuSystems2022COL]])</f>
        <v>38000</v>
      </c>
      <c r="S5" s="157">
        <f>SUMIF(MCI_2025IC[Detailed Description],LineItemTableAll[[#This Row],[Detailed Description]],MCI_2025IC[Total Cost])</f>
        <v>10000</v>
      </c>
      <c r="T5" s="157">
        <f>SUMIF(MCI_2024IC[Detailed Description],LineItemTableAll[[#This Row],[Detailed Description]],MCI_2024IC[Total Cost])</f>
        <v>11000</v>
      </c>
      <c r="U5" s="157">
        <f>SUMIF(MCI_2023IC[Detailed Description],LineItemTableAll[[#This Row],[Detailed Description]],MCI_2023IC[Total Cost])</f>
        <v>10000</v>
      </c>
      <c r="V5" s="157">
        <f>SUMIF(MCI_2023_2025IA[Detailed Description],LineItemTableAll[[#This Row],[Detailed Description]],MCI_2023_2025IA[Total Cost (2023)])</f>
        <v>2000</v>
      </c>
      <c r="W5" s="157">
        <f>SUMIF(MCI_2023_2025IA[Detailed Description],LineItemTableAll[[#This Row],[Detailed Description]],MCI_2023_2025IA[Total Cost (2025)])</f>
        <v>2000</v>
      </c>
      <c r="X5" s="157">
        <f>SUMIF(MCI_2023_2025IA[Detailed Description],LineItemTableAll[[#This Row],[Detailed Description]],MCI_2023_2025IA[Total Cost (2025)])</f>
        <v>2000</v>
      </c>
      <c r="Y5" s="157">
        <f>SUMIF(MCI_2025COL[Detailed Description],LineItemTableAll[[#This Row],[Detailed Description]],MCI_2025COL[Total Cost])</f>
        <v>0</v>
      </c>
      <c r="Z5" s="157">
        <f>SUM(LineItemTableAll[[#This Row],[MCI2024IC]:[MCI2022COL]])</f>
        <v>37000</v>
      </c>
    </row>
    <row r="6" spans="2:26" x14ac:dyDescent="0.35">
      <c r="B6" s="166" t="s">
        <v>321</v>
      </c>
      <c r="C6" s="118">
        <f>SUMIF(Aventri_2024IC[Detailed Description],LineItemTableAll[[#This Row],[Detailed Description]],Aventri_2024IC[Total Cost])</f>
        <v>100</v>
      </c>
      <c r="D6" s="118">
        <f>SUMIF(Aventri_2023IC[Detailed Description],LineItemTableAll[[#This Row],[Detailed Description]],Aventri_2023IC[Total Cost])</f>
        <v>100</v>
      </c>
      <c r="E6" s="118">
        <f>SUMIF(Aventri_2022IC[Detailed Description],LineItemTableAll[[#This Row],[Detailed Description]],Aventri_2022IC[Total Cost])</f>
        <v>100</v>
      </c>
      <c r="F6" s="118">
        <f>SUMIF(Aventri_2021_2023IA[Detailed Description],LineItemTableAll[[#This Row],[Detailed Description]],Aventri_2021_2023IA[Total Cost (2022)])</f>
        <v>100</v>
      </c>
      <c r="G6" s="118">
        <f>SUMIF(Aventri_2021_2023IA[Detailed Description],LineItemTableAll[[#This Row],[Detailed Description]],Aventri_2021_2023IA[Total Cost (2023)])</f>
        <v>100</v>
      </c>
      <c r="H6" s="118">
        <f>SUMIF(Aventri_2021_2023IA[Detailed Description],LineItemTableAll[[#This Row],[Detailed Description]],Aventri_2021_2023IA[Total Cost (2024)])</f>
        <v>100</v>
      </c>
      <c r="I6" s="118">
        <f>SUMIF(Aventri_2022COL[Detailed Description],LineItemTableAll[[#This Row],[Detailed Description]],Aventri_2022COL[Total Cost])</f>
        <v>0</v>
      </c>
      <c r="J6" s="118">
        <f>SUM(LineItemTableAll[[#This Row],[Aventri_2024IC]:[Aventri_2022COL]])</f>
        <v>600</v>
      </c>
      <c r="K6" s="157">
        <f>SUMIF(CompuSystems_2025IC[Detailed Description],LineItemTableAll[[#This Row],[Detailed Description]],CompuSystems_2025IC[Total Cost])</f>
        <v>0</v>
      </c>
      <c r="L6" s="157">
        <f>SUMIF(CompuSystems_2024IC[Detailed Description],LineItemTableAll[[#This Row],[Detailed Description]],CompuSystems_2024IC[Total Cost])</f>
        <v>0</v>
      </c>
      <c r="M6" s="157">
        <f>SUMIF(CompuSystems_2023IC[Detailed Description],LineItemTableAll[[#This Row],[Detailed Description]],CompuSystems_2023IC[Total Cost])</f>
        <v>0</v>
      </c>
      <c r="N6" s="157">
        <f>SUMIF(CompuSystems_2023_2025IA[Detailed Description],LineItemTableAll[[#This Row],[Detailed Description]],CompuSystems_2023_2025IA[Total Cost (2023)])</f>
        <v>0</v>
      </c>
      <c r="O6" s="157">
        <f>SUMIF(CompuSystems_2023_2025IA[Detailed Description],LineItemTableAll[[#This Row],[Detailed Description]],CompuSystems_2023_2025IA[Total Cost (2025)])</f>
        <v>0</v>
      </c>
      <c r="P6" s="157">
        <f>SUMIF(CompuSystems_2023_2025IA[Detailed Description],LineItemTableAll[[#This Row],[Detailed Description]],CompuSystems_2023_2025IA[Total Cost (2025)])</f>
        <v>0</v>
      </c>
      <c r="Q6" s="157">
        <f>SUMIF(CompuSystems_2025COL[Detailed Description],LineItemTableAll[[#This Row],[Detailed Description]],CompuSystems_2025COL[Total Cost])</f>
        <v>0</v>
      </c>
      <c r="R6" s="157">
        <f>SUM(LineItemTableAll[[#This Row],[CompuSystems2024IC]:[CompuSystems2022COL]])</f>
        <v>0</v>
      </c>
      <c r="S6" s="157">
        <f>SUMIF(MCI_2025IC[Detailed Description],LineItemTableAll[[#This Row],[Detailed Description]],MCI_2025IC[Total Cost])</f>
        <v>0</v>
      </c>
      <c r="T6" s="157">
        <f>SUMIF(MCI_2024IC[Detailed Description],LineItemTableAll[[#This Row],[Detailed Description]],MCI_2024IC[Total Cost])</f>
        <v>0</v>
      </c>
      <c r="U6" s="157">
        <f>SUMIF(MCI_2023IC[Detailed Description],LineItemTableAll[[#This Row],[Detailed Description]],MCI_2023IC[Total Cost])</f>
        <v>0</v>
      </c>
      <c r="V6" s="157">
        <f>SUMIF(MCI_2023_2025IA[Detailed Description],LineItemTableAll[[#This Row],[Detailed Description]],MCI_2023_2025IA[Total Cost (2023)])</f>
        <v>0</v>
      </c>
      <c r="W6" s="157">
        <f>SUMIF(MCI_2023_2025IA[Detailed Description],LineItemTableAll[[#This Row],[Detailed Description]],MCI_2023_2025IA[Total Cost (2025)])</f>
        <v>0</v>
      </c>
      <c r="X6" s="157">
        <f>SUMIF(MCI_2023_2025IA[Detailed Description],LineItemTableAll[[#This Row],[Detailed Description]],MCI_2023_2025IA[Total Cost (2025)])</f>
        <v>0</v>
      </c>
      <c r="Y6" s="157">
        <f>SUMIF(MCI_2025COL[Detailed Description],LineItemTableAll[[#This Row],[Detailed Description]],MCI_2025COL[Total Cost])</f>
        <v>0</v>
      </c>
      <c r="Z6" s="157">
        <f>SUM(LineItemTableAll[[#This Row],[MCI2024IC]:[MCI2022COL]])</f>
        <v>0</v>
      </c>
    </row>
    <row r="7" spans="2:26" x14ac:dyDescent="0.35">
      <c r="B7" s="167" t="s">
        <v>177</v>
      </c>
      <c r="C7" s="118">
        <f>SUMIF(Aventri_2024IC[Detailed Description],LineItemTableAll[[#This Row],[Detailed Description]],Aventri_2024IC[Total Cost])</f>
        <v>250</v>
      </c>
      <c r="D7" s="118">
        <f>SUMIF(Aventri_2023IC[Detailed Description],LineItemTableAll[[#This Row],[Detailed Description]],Aventri_2023IC[Total Cost])</f>
        <v>250</v>
      </c>
      <c r="E7" s="118">
        <f>SUMIF(Aventri_2022IC[Detailed Description],LineItemTableAll[[#This Row],[Detailed Description]],Aventri_2022IC[Total Cost])</f>
        <v>250</v>
      </c>
      <c r="F7" s="118">
        <f>SUMIF(Aventri_2021_2023IA[Detailed Description],LineItemTableAll[[#This Row],[Detailed Description]],Aventri_2021_2023IA[Total Cost (2022)])</f>
        <v>250</v>
      </c>
      <c r="G7" s="118">
        <f>SUMIF(Aventri_2021_2023IA[Detailed Description],LineItemTableAll[[#This Row],[Detailed Description]],Aventri_2021_2023IA[Total Cost (2023)])</f>
        <v>250</v>
      </c>
      <c r="H7" s="118">
        <f>SUMIF(Aventri_2021_2023IA[Detailed Description],LineItemTableAll[[#This Row],[Detailed Description]],Aventri_2021_2023IA[Total Cost (2024)])</f>
        <v>250</v>
      </c>
      <c r="I7" s="118">
        <f>SUMIF(Aventri_2022COL[Detailed Description],LineItemTableAll[[#This Row],[Detailed Description]],Aventri_2022COL[Total Cost])</f>
        <v>250</v>
      </c>
      <c r="J7" s="118">
        <f>SUM(LineItemTableAll[[#This Row],[Aventri_2024IC]:[Aventri_2022COL]])</f>
        <v>1750</v>
      </c>
      <c r="K7" s="157">
        <f>SUMIF(CompuSystems_2025IC[Detailed Description],LineItemTableAll[[#This Row],[Detailed Description]],CompuSystems_2025IC[Total Cost])</f>
        <v>0</v>
      </c>
      <c r="L7" s="157">
        <f>SUMIF(CompuSystems_2024IC[Detailed Description],LineItemTableAll[[#This Row],[Detailed Description]],CompuSystems_2024IC[Total Cost])</f>
        <v>0</v>
      </c>
      <c r="M7" s="157">
        <f>SUMIF(CompuSystems_2023IC[Detailed Description],LineItemTableAll[[#This Row],[Detailed Description]],CompuSystems_2023IC[Total Cost])</f>
        <v>0</v>
      </c>
      <c r="N7" s="157">
        <f>SUMIF(CompuSystems_2023_2025IA[Detailed Description],LineItemTableAll[[#This Row],[Detailed Description]],CompuSystems_2023_2025IA[Total Cost (2023)])</f>
        <v>0</v>
      </c>
      <c r="O7" s="157">
        <f>SUMIF(CompuSystems_2023_2025IA[Detailed Description],LineItemTableAll[[#This Row],[Detailed Description]],CompuSystems_2023_2025IA[Total Cost (2025)])</f>
        <v>0</v>
      </c>
      <c r="P7" s="157">
        <f>SUMIF(CompuSystems_2023_2025IA[Detailed Description],LineItemTableAll[[#This Row],[Detailed Description]],CompuSystems_2023_2025IA[Total Cost (2025)])</f>
        <v>0</v>
      </c>
      <c r="Q7" s="157">
        <f>SUMIF(CompuSystems_2025COL[Detailed Description],LineItemTableAll[[#This Row],[Detailed Description]],CompuSystems_2025COL[Total Cost])</f>
        <v>0</v>
      </c>
      <c r="R7" s="157">
        <f>SUM(LineItemTableAll[[#This Row],[CompuSystems2024IC]:[CompuSystems2022COL]])</f>
        <v>0</v>
      </c>
      <c r="S7" s="157">
        <f>SUMIF(MCI_2025IC[Detailed Description],LineItemTableAll[[#This Row],[Detailed Description]],MCI_2025IC[Total Cost])</f>
        <v>0</v>
      </c>
      <c r="T7" s="157">
        <f>SUMIF(MCI_2024IC[Detailed Description],LineItemTableAll[[#This Row],[Detailed Description]],MCI_2024IC[Total Cost])</f>
        <v>0</v>
      </c>
      <c r="U7" s="157">
        <f>SUMIF(MCI_2023IC[Detailed Description],LineItemTableAll[[#This Row],[Detailed Description]],MCI_2023IC[Total Cost])</f>
        <v>0</v>
      </c>
      <c r="V7" s="157">
        <f>SUMIF(MCI_2023_2025IA[Detailed Description],LineItemTableAll[[#This Row],[Detailed Description]],MCI_2023_2025IA[Total Cost (2023)])</f>
        <v>0</v>
      </c>
      <c r="W7" s="157">
        <f>SUMIF(MCI_2023_2025IA[Detailed Description],LineItemTableAll[[#This Row],[Detailed Description]],MCI_2023_2025IA[Total Cost (2025)])</f>
        <v>0</v>
      </c>
      <c r="X7" s="157">
        <f>SUMIF(MCI_2023_2025IA[Detailed Description],LineItemTableAll[[#This Row],[Detailed Description]],MCI_2023_2025IA[Total Cost (2025)])</f>
        <v>0</v>
      </c>
      <c r="Y7" s="157">
        <f>SUMIF(MCI_2025COL[Detailed Description],LineItemTableAll[[#This Row],[Detailed Description]],MCI_2025COL[Total Cost])</f>
        <v>0</v>
      </c>
      <c r="Z7" s="157">
        <f>SUM(LineItemTableAll[[#This Row],[MCI2024IC]:[MCI2022COL]])</f>
        <v>0</v>
      </c>
    </row>
    <row r="8" spans="2:26" x14ac:dyDescent="0.35">
      <c r="B8" s="167" t="s">
        <v>170</v>
      </c>
      <c r="C8" s="118">
        <f>SUMIF(Aventri_2024IC[Detailed Description],LineItemTableAll[[#This Row],[Detailed Description]],Aventri_2024IC[Total Cost])</f>
        <v>12250</v>
      </c>
      <c r="D8" s="118">
        <f>SUMIF(Aventri_2023IC[Detailed Description],LineItemTableAll[[#This Row],[Detailed Description]],Aventri_2023IC[Total Cost])</f>
        <v>12250</v>
      </c>
      <c r="E8" s="118">
        <f>SUMIF(Aventri_2022IC[Detailed Description],LineItemTableAll[[#This Row],[Detailed Description]],Aventri_2022IC[Total Cost])</f>
        <v>12250</v>
      </c>
      <c r="F8" s="118">
        <f>SUMIF(Aventri_2021_2023IA[Detailed Description],LineItemTableAll[[#This Row],[Detailed Description]],Aventri_2021_2023IA[Total Cost (2022)])</f>
        <v>1400</v>
      </c>
      <c r="G8" s="118">
        <f>SUMIF(Aventri_2021_2023IA[Detailed Description],LineItemTableAll[[#This Row],[Detailed Description]],Aventri_2021_2023IA[Total Cost (2023)])</f>
        <v>1400</v>
      </c>
      <c r="H8" s="118">
        <f>SUMIF(Aventri_2021_2023IA[Detailed Description],LineItemTableAll[[#This Row],[Detailed Description]],Aventri_2021_2023IA[Total Cost (2024)])</f>
        <v>1400</v>
      </c>
      <c r="I8" s="118">
        <f>SUMIF(Aventri_2022COL[Detailed Description],LineItemTableAll[[#This Row],[Detailed Description]],Aventri_2022COL[Total Cost])</f>
        <v>700</v>
      </c>
      <c r="J8" s="118">
        <f>SUM(LineItemTableAll[[#This Row],[Aventri_2024IC]:[Aventri_2022COL]])</f>
        <v>41650</v>
      </c>
      <c r="K8" s="157">
        <f>SUMIF(CompuSystems_2025IC[Detailed Description],LineItemTableAll[[#This Row],[Detailed Description]],CompuSystems_2025IC[Total Cost])</f>
        <v>9000</v>
      </c>
      <c r="L8" s="157">
        <f>SUMIF(CompuSystems_2024IC[Detailed Description],LineItemTableAll[[#This Row],[Detailed Description]],CompuSystems_2024IC[Total Cost])</f>
        <v>5250</v>
      </c>
      <c r="M8" s="157">
        <f>SUMIF(CompuSystems_2023IC[Detailed Description],LineItemTableAll[[#This Row],[Detailed Description]],CompuSystems_2023IC[Total Cost])</f>
        <v>5250</v>
      </c>
      <c r="N8" s="157">
        <f>SUMIF(CompuSystems_2023_2025IA[Detailed Description],LineItemTableAll[[#This Row],[Detailed Description]],CompuSystems_2023_2025IA[Total Cost (2023)])</f>
        <v>600</v>
      </c>
      <c r="O8" s="157">
        <f>SUMIF(CompuSystems_2023_2025IA[Detailed Description],LineItemTableAll[[#This Row],[Detailed Description]],CompuSystems_2023_2025IA[Total Cost (2025)])</f>
        <v>600</v>
      </c>
      <c r="P8" s="157">
        <f>SUMIF(CompuSystems_2023_2025IA[Detailed Description],LineItemTableAll[[#This Row],[Detailed Description]],CompuSystems_2023_2025IA[Total Cost (2025)])</f>
        <v>600</v>
      </c>
      <c r="Q8" s="157">
        <f>SUMIF(CompuSystems_2025COL[Detailed Description],LineItemTableAll[[#This Row],[Detailed Description]],CompuSystems_2025COL[Total Cost])</f>
        <v>300</v>
      </c>
      <c r="R8" s="157">
        <f>SUM(LineItemTableAll[[#This Row],[CompuSystems2024IC]:[CompuSystems2022COL]])</f>
        <v>21600</v>
      </c>
      <c r="S8" s="157">
        <f>SUMIF(MCI_2025IC[Detailed Description],LineItemTableAll[[#This Row],[Detailed Description]],MCI_2025IC[Total Cost])</f>
        <v>12000</v>
      </c>
      <c r="T8" s="157">
        <f>SUMIF(MCI_2024IC[Detailed Description],LineItemTableAll[[#This Row],[Detailed Description]],MCI_2024IC[Total Cost])</f>
        <v>15000</v>
      </c>
      <c r="U8" s="157">
        <f>SUMIF(MCI_2023IC[Detailed Description],LineItemTableAll[[#This Row],[Detailed Description]],MCI_2023IC[Total Cost])</f>
        <v>10500</v>
      </c>
      <c r="V8" s="157">
        <f>SUMIF(MCI_2023_2025IA[Detailed Description],LineItemTableAll[[#This Row],[Detailed Description]],MCI_2023_2025IA[Total Cost (2023)])</f>
        <v>1200</v>
      </c>
      <c r="W8" s="157">
        <f>SUMIF(MCI_2023_2025IA[Detailed Description],LineItemTableAll[[#This Row],[Detailed Description]],MCI_2023_2025IA[Total Cost (2025)])</f>
        <v>1200</v>
      </c>
      <c r="X8" s="157">
        <f>SUMIF(MCI_2023_2025IA[Detailed Description],LineItemTableAll[[#This Row],[Detailed Description]],MCI_2023_2025IA[Total Cost (2025)])</f>
        <v>1200</v>
      </c>
      <c r="Y8" s="157">
        <f>SUMIF(MCI_2025COL[Detailed Description],LineItemTableAll[[#This Row],[Detailed Description]],MCI_2025COL[Total Cost])</f>
        <v>600</v>
      </c>
      <c r="Z8" s="157">
        <f>SUM(LineItemTableAll[[#This Row],[MCI2024IC]:[MCI2022COL]])</f>
        <v>41700</v>
      </c>
    </row>
    <row r="9" spans="2:26" x14ac:dyDescent="0.35">
      <c r="B9" s="167" t="s">
        <v>197</v>
      </c>
      <c r="C9" s="118">
        <f>SUMIF(Aventri_2024IC[Detailed Description],LineItemTableAll[[#This Row],[Detailed Description]],Aventri_2024IC[Total Cost])</f>
        <v>0</v>
      </c>
      <c r="D9" s="118">
        <f>SUMIF(Aventri_2023IC[Detailed Description],LineItemTableAll[[#This Row],[Detailed Description]],Aventri_2023IC[Total Cost])</f>
        <v>0</v>
      </c>
      <c r="E9" s="118">
        <f>SUMIF(Aventri_2022IC[Detailed Description],LineItemTableAll[[#This Row],[Detailed Description]],Aventri_2022IC[Total Cost])</f>
        <v>0</v>
      </c>
      <c r="F9" s="118">
        <f>SUMIF(Aventri_2021_2023IA[Detailed Description],LineItemTableAll[[#This Row],[Detailed Description]],Aventri_2021_2023IA[Total Cost (2022)])</f>
        <v>0</v>
      </c>
      <c r="G9" s="118">
        <f>SUMIF(Aventri_2021_2023IA[Detailed Description],LineItemTableAll[[#This Row],[Detailed Description]],Aventri_2021_2023IA[Total Cost (2023)])</f>
        <v>0</v>
      </c>
      <c r="H9" s="118">
        <f>SUMIF(Aventri_2021_2023IA[Detailed Description],LineItemTableAll[[#This Row],[Detailed Description]],Aventri_2021_2023IA[Total Cost (2024)])</f>
        <v>0</v>
      </c>
      <c r="I9" s="118">
        <f>SUMIF(Aventri_2022COL[Detailed Description],LineItemTableAll[[#This Row],[Detailed Description]],Aventri_2022COL[Total Cost])</f>
        <v>0</v>
      </c>
      <c r="J9" s="118">
        <f>SUM(LineItemTableAll[[#This Row],[Aventri_2024IC]:[Aventri_2022COL]])</f>
        <v>0</v>
      </c>
      <c r="K9" s="157">
        <f>SUMIF(CompuSystems_2025IC[Detailed Description],LineItemTableAll[[#This Row],[Detailed Description]],CompuSystems_2025IC[Total Cost])</f>
        <v>0</v>
      </c>
      <c r="L9" s="157">
        <f>SUMIF(CompuSystems_2024IC[Detailed Description],LineItemTableAll[[#This Row],[Detailed Description]],CompuSystems_2024IC[Total Cost])</f>
        <v>0</v>
      </c>
      <c r="M9" s="157">
        <f>SUMIF(CompuSystems_2023IC[Detailed Description],LineItemTableAll[[#This Row],[Detailed Description]],CompuSystems_2023IC[Total Cost])</f>
        <v>0</v>
      </c>
      <c r="N9" s="157">
        <f>SUMIF(CompuSystems_2023_2025IA[Detailed Description],LineItemTableAll[[#This Row],[Detailed Description]],CompuSystems_2023_2025IA[Total Cost (2023)])</f>
        <v>0</v>
      </c>
      <c r="O9" s="157">
        <f>SUMIF(CompuSystems_2023_2025IA[Detailed Description],LineItemTableAll[[#This Row],[Detailed Description]],CompuSystems_2023_2025IA[Total Cost (2025)])</f>
        <v>0</v>
      </c>
      <c r="P9" s="157">
        <f>SUMIF(CompuSystems_2023_2025IA[Detailed Description],LineItemTableAll[[#This Row],[Detailed Description]],CompuSystems_2023_2025IA[Total Cost (2025)])</f>
        <v>0</v>
      </c>
      <c r="Q9" s="157">
        <f>SUMIF(CompuSystems_2025COL[Detailed Description],LineItemTableAll[[#This Row],[Detailed Description]],CompuSystems_2025COL[Total Cost])</f>
        <v>0</v>
      </c>
      <c r="R9" s="157">
        <f>SUM(LineItemTableAll[[#This Row],[CompuSystems2024IC]:[CompuSystems2022COL]])</f>
        <v>0</v>
      </c>
      <c r="S9" s="157">
        <f>SUMIF(MCI_2025IC[Detailed Description],LineItemTableAll[[#This Row],[Detailed Description]],MCI_2025IC[Total Cost])</f>
        <v>3000</v>
      </c>
      <c r="T9" s="157">
        <f>SUMIF(MCI_2024IC[Detailed Description],LineItemTableAll[[#This Row],[Detailed Description]],MCI_2024IC[Total Cost])</f>
        <v>3000</v>
      </c>
      <c r="U9" s="157">
        <f>SUMIF(MCI_2023IC[Detailed Description],LineItemTableAll[[#This Row],[Detailed Description]],MCI_2023IC[Total Cost])</f>
        <v>3000</v>
      </c>
      <c r="V9" s="157">
        <f>SUMIF(MCI_2023_2025IA[Detailed Description],LineItemTableAll[[#This Row],[Detailed Description]],MCI_2023_2025IA[Total Cost (2023)])</f>
        <v>1000</v>
      </c>
      <c r="W9" s="157">
        <f>SUMIF(MCI_2023_2025IA[Detailed Description],LineItemTableAll[[#This Row],[Detailed Description]],MCI_2023_2025IA[Total Cost (2025)])</f>
        <v>1000</v>
      </c>
      <c r="X9" s="157">
        <f>SUMIF(MCI_2023_2025IA[Detailed Description],LineItemTableAll[[#This Row],[Detailed Description]],MCI_2023_2025IA[Total Cost (2025)])</f>
        <v>1000</v>
      </c>
      <c r="Y9" s="157">
        <f>SUMIF(MCI_2025COL[Detailed Description],LineItemTableAll[[#This Row],[Detailed Description]],MCI_2025COL[Total Cost])</f>
        <v>1000</v>
      </c>
      <c r="Z9" s="157">
        <f>SUM(LineItemTableAll[[#This Row],[MCI2024IC]:[MCI2022COL]])</f>
        <v>13000</v>
      </c>
    </row>
    <row r="10" spans="2:26" x14ac:dyDescent="0.35">
      <c r="B10" s="167" t="s">
        <v>183</v>
      </c>
      <c r="C10" s="118">
        <f>SUMIF(Aventri_2024IC[Detailed Description],LineItemTableAll[[#This Row],[Detailed Description]],Aventri_2024IC[Total Cost])</f>
        <v>17000</v>
      </c>
      <c r="D10" s="118">
        <f>SUMIF(Aventri_2023IC[Detailed Description],LineItemTableAll[[#This Row],[Detailed Description]],Aventri_2023IC[Total Cost])</f>
        <v>17000</v>
      </c>
      <c r="E10" s="118">
        <f>SUMIF(Aventri_2022IC[Detailed Description],LineItemTableAll[[#This Row],[Detailed Description]],Aventri_2022IC[Total Cost])</f>
        <v>0</v>
      </c>
      <c r="F10" s="118">
        <f>SUMIF(Aventri_2021_2023IA[Detailed Description],LineItemTableAll[[#This Row],[Detailed Description]],Aventri_2021_2023IA[Total Cost (2022)])</f>
        <v>1275</v>
      </c>
      <c r="G10" s="118">
        <f>SUMIF(Aventri_2021_2023IA[Detailed Description],LineItemTableAll[[#This Row],[Detailed Description]],Aventri_2021_2023IA[Total Cost (2023)])</f>
        <v>1275</v>
      </c>
      <c r="H10" s="118">
        <f>SUMIF(Aventri_2021_2023IA[Detailed Description],LineItemTableAll[[#This Row],[Detailed Description]],Aventri_2021_2023IA[Total Cost (2024)])</f>
        <v>1275</v>
      </c>
      <c r="I10" s="118">
        <f>SUMIF(Aventri_2022COL[Detailed Description],LineItemTableAll[[#This Row],[Detailed Description]],Aventri_2022COL[Total Cost])</f>
        <v>1020</v>
      </c>
      <c r="J10" s="118">
        <f>SUM(LineItemTableAll[[#This Row],[Aventri_2024IC]:[Aventri_2022COL]])</f>
        <v>38845</v>
      </c>
      <c r="K10" s="157">
        <f>SUMIF(CompuSystems_2025IC[Detailed Description],LineItemTableAll[[#This Row],[Detailed Description]],CompuSystems_2025IC[Total Cost])</f>
        <v>3720</v>
      </c>
      <c r="L10" s="157">
        <f>SUMIF(CompuSystems_2024IC[Detailed Description],LineItemTableAll[[#This Row],[Detailed Description]],CompuSystems_2024IC[Total Cost])</f>
        <v>3720</v>
      </c>
      <c r="M10" s="157">
        <f>SUMIF(CompuSystems_2023IC[Detailed Description],LineItemTableAll[[#This Row],[Detailed Description]],CompuSystems_2023IC[Total Cost])</f>
        <v>3720</v>
      </c>
      <c r="N10" s="157">
        <f>SUMIF(CompuSystems_2023_2025IA[Detailed Description],LineItemTableAll[[#This Row],[Detailed Description]],CompuSystems_2023_2025IA[Total Cost (2023)])</f>
        <v>285</v>
      </c>
      <c r="O10" s="157">
        <f>SUMIF(CompuSystems_2023_2025IA[Detailed Description],LineItemTableAll[[#This Row],[Detailed Description]],CompuSystems_2023_2025IA[Total Cost (2025)])</f>
        <v>285</v>
      </c>
      <c r="P10" s="157">
        <f>SUMIF(CompuSystems_2023_2025IA[Detailed Description],LineItemTableAll[[#This Row],[Detailed Description]],CompuSystems_2023_2025IA[Total Cost (2025)])</f>
        <v>285</v>
      </c>
      <c r="Q10" s="157">
        <f>SUMIF(CompuSystems_2025COL[Detailed Description],LineItemTableAll[[#This Row],[Detailed Description]],CompuSystems_2025COL[Total Cost])</f>
        <v>228</v>
      </c>
      <c r="R10" s="157">
        <f>SUM(LineItemTableAll[[#This Row],[CompuSystems2024IC]:[CompuSystems2022COL]])</f>
        <v>12243</v>
      </c>
      <c r="S10" s="157">
        <f>SUMIF(MCI_2025IC[Detailed Description],LineItemTableAll[[#This Row],[Detailed Description]],MCI_2025IC[Total Cost])</f>
        <v>0</v>
      </c>
      <c r="T10" s="157">
        <f>SUMIF(MCI_2024IC[Detailed Description],LineItemTableAll[[#This Row],[Detailed Description]],MCI_2024IC[Total Cost])</f>
        <v>0</v>
      </c>
      <c r="U10" s="157">
        <f>SUMIF(MCI_2023IC[Detailed Description],LineItemTableAll[[#This Row],[Detailed Description]],MCI_2023IC[Total Cost])</f>
        <v>0</v>
      </c>
      <c r="V10" s="157">
        <f>SUMIF(MCI_2023_2025IA[Detailed Description],LineItemTableAll[[#This Row],[Detailed Description]],MCI_2023_2025IA[Total Cost (2023)])</f>
        <v>0</v>
      </c>
      <c r="W10" s="157">
        <f>SUMIF(MCI_2023_2025IA[Detailed Description],LineItemTableAll[[#This Row],[Detailed Description]],MCI_2023_2025IA[Total Cost (2025)])</f>
        <v>0</v>
      </c>
      <c r="X10" s="157">
        <f>SUMIF(MCI_2023_2025IA[Detailed Description],LineItemTableAll[[#This Row],[Detailed Description]],MCI_2023_2025IA[Total Cost (2025)])</f>
        <v>0</v>
      </c>
      <c r="Y10" s="157">
        <f>SUMIF(MCI_2025COL[Detailed Description],LineItemTableAll[[#This Row],[Detailed Description]],MCI_2025COL[Total Cost])</f>
        <v>0</v>
      </c>
      <c r="Z10" s="157">
        <f>SUM(LineItemTableAll[[#This Row],[MCI2024IC]:[MCI2022COL]])</f>
        <v>0</v>
      </c>
    </row>
    <row r="11" spans="2:26" x14ac:dyDescent="0.35">
      <c r="B11" s="167" t="s">
        <v>226</v>
      </c>
      <c r="C11" s="118">
        <f>SUMIF(Aventri_2024IC[Detailed Description],LineItemTableAll[[#This Row],[Detailed Description]],Aventri_2024IC[Total Cost])</f>
        <v>0</v>
      </c>
      <c r="D11" s="118">
        <f>SUMIF(Aventri_2023IC[Detailed Description],LineItemTableAll[[#This Row],[Detailed Description]],Aventri_2023IC[Total Cost])</f>
        <v>0</v>
      </c>
      <c r="E11" s="118">
        <f>SUMIF(Aventri_2022IC[Detailed Description],LineItemTableAll[[#This Row],[Detailed Description]],Aventri_2022IC[Total Cost])</f>
        <v>0</v>
      </c>
      <c r="F11" s="118">
        <f>SUMIF(Aventri_2021_2023IA[Detailed Description],LineItemTableAll[[#This Row],[Detailed Description]],Aventri_2021_2023IA[Total Cost (2022)])</f>
        <v>0</v>
      </c>
      <c r="G11" s="118">
        <f>SUMIF(Aventri_2021_2023IA[Detailed Description],LineItemTableAll[[#This Row],[Detailed Description]],Aventri_2021_2023IA[Total Cost (2023)])</f>
        <v>0</v>
      </c>
      <c r="H11" s="118">
        <f>SUMIF(Aventri_2021_2023IA[Detailed Description],LineItemTableAll[[#This Row],[Detailed Description]],Aventri_2021_2023IA[Total Cost (2024)])</f>
        <v>0</v>
      </c>
      <c r="I11" s="118">
        <f>SUMIF(Aventri_2022COL[Detailed Description],LineItemTableAll[[#This Row],[Detailed Description]],Aventri_2022COL[Total Cost])</f>
        <v>0</v>
      </c>
      <c r="J11" s="118">
        <f>SUM(LineItemTableAll[[#This Row],[Aventri_2024IC]:[Aventri_2022COL]])</f>
        <v>0</v>
      </c>
      <c r="K11" s="157">
        <f>SUMIF(CompuSystems_2025IC[Detailed Description],LineItemTableAll[[#This Row],[Detailed Description]],CompuSystems_2025IC[Total Cost])</f>
        <v>0</v>
      </c>
      <c r="L11" s="157">
        <f>SUMIF(CompuSystems_2024IC[Detailed Description],LineItemTableAll[[#This Row],[Detailed Description]],CompuSystems_2024IC[Total Cost])</f>
        <v>0</v>
      </c>
      <c r="M11" s="157">
        <f>SUMIF(CompuSystems_2023IC[Detailed Description],LineItemTableAll[[#This Row],[Detailed Description]],CompuSystems_2023IC[Total Cost])</f>
        <v>0</v>
      </c>
      <c r="N11" s="157">
        <f>SUMIF(CompuSystems_2023_2025IA[Detailed Description],LineItemTableAll[[#This Row],[Detailed Description]],CompuSystems_2023_2025IA[Total Cost (2023)])</f>
        <v>0</v>
      </c>
      <c r="O11" s="157">
        <f>SUMIF(CompuSystems_2023_2025IA[Detailed Description],LineItemTableAll[[#This Row],[Detailed Description]],CompuSystems_2023_2025IA[Total Cost (2025)])</f>
        <v>0</v>
      </c>
      <c r="P11" s="157">
        <f>SUMIF(CompuSystems_2023_2025IA[Detailed Description],LineItemTableAll[[#This Row],[Detailed Description]],CompuSystems_2023_2025IA[Total Cost (2025)])</f>
        <v>0</v>
      </c>
      <c r="Q11" s="157">
        <f>SUMIF(CompuSystems_2025COL[Detailed Description],LineItemTableAll[[#This Row],[Detailed Description]],CompuSystems_2025COL[Total Cost])</f>
        <v>0</v>
      </c>
      <c r="R11" s="157">
        <f>SUM(LineItemTableAll[[#This Row],[CompuSystems2024IC]:[CompuSystems2022COL]])</f>
        <v>0</v>
      </c>
      <c r="S11" s="157">
        <f>SUMIF(MCI_2025IC[Detailed Description],LineItemTableAll[[#This Row],[Detailed Description]],MCI_2025IC[Total Cost])</f>
        <v>4000</v>
      </c>
      <c r="T11" s="157">
        <f>SUMIF(MCI_2024IC[Detailed Description],LineItemTableAll[[#This Row],[Detailed Description]],MCI_2024IC[Total Cost])</f>
        <v>4000</v>
      </c>
      <c r="U11" s="157">
        <f>SUMIF(MCI_2023IC[Detailed Description],LineItemTableAll[[#This Row],[Detailed Description]],MCI_2023IC[Total Cost])</f>
        <v>4000</v>
      </c>
      <c r="V11" s="157">
        <f>SUMIF(MCI_2023_2025IA[Detailed Description],LineItemTableAll[[#This Row],[Detailed Description]],MCI_2023_2025IA[Total Cost (2023)])</f>
        <v>945</v>
      </c>
      <c r="W11" s="157">
        <f>SUMIF(MCI_2023_2025IA[Detailed Description],LineItemTableAll[[#This Row],[Detailed Description]],MCI_2023_2025IA[Total Cost (2025)])</f>
        <v>945</v>
      </c>
      <c r="X11" s="157">
        <f>SUMIF(MCI_2023_2025IA[Detailed Description],LineItemTableAll[[#This Row],[Detailed Description]],MCI_2023_2025IA[Total Cost (2025)])</f>
        <v>945</v>
      </c>
      <c r="Y11" s="157">
        <f>SUMIF(MCI_2025COL[Detailed Description],LineItemTableAll[[#This Row],[Detailed Description]],MCI_2025COL[Total Cost])</f>
        <v>945</v>
      </c>
      <c r="Z11" s="157">
        <f>SUM(LineItemTableAll[[#This Row],[MCI2024IC]:[MCI2022COL]])</f>
        <v>15780</v>
      </c>
    </row>
    <row r="12" spans="2:26" x14ac:dyDescent="0.35">
      <c r="B12" s="167" t="s">
        <v>228</v>
      </c>
      <c r="C12" s="118">
        <f>SUMIF(Aventri_2024IC[Detailed Description],LineItemTableAll[[#This Row],[Detailed Description]],Aventri_2024IC[Total Cost])</f>
        <v>0</v>
      </c>
      <c r="D12" s="118">
        <f>SUMIF(Aventri_2023IC[Detailed Description],LineItemTableAll[[#This Row],[Detailed Description]],Aventri_2023IC[Total Cost])</f>
        <v>0</v>
      </c>
      <c r="E12" s="118">
        <f>SUMIF(Aventri_2022IC[Detailed Description],LineItemTableAll[[#This Row],[Detailed Description]],Aventri_2022IC[Total Cost])</f>
        <v>0</v>
      </c>
      <c r="F12" s="118">
        <f>SUMIF(Aventri_2021_2023IA[Detailed Description],LineItemTableAll[[#This Row],[Detailed Description]],Aventri_2021_2023IA[Total Cost (2022)])</f>
        <v>0</v>
      </c>
      <c r="G12" s="118">
        <f>SUMIF(Aventri_2021_2023IA[Detailed Description],LineItemTableAll[[#This Row],[Detailed Description]],Aventri_2021_2023IA[Total Cost (2023)])</f>
        <v>0</v>
      </c>
      <c r="H12" s="118">
        <f>SUMIF(Aventri_2021_2023IA[Detailed Description],LineItemTableAll[[#This Row],[Detailed Description]],Aventri_2021_2023IA[Total Cost (2024)])</f>
        <v>0</v>
      </c>
      <c r="I12" s="118">
        <f>SUMIF(Aventri_2022COL[Detailed Description],LineItemTableAll[[#This Row],[Detailed Description]],Aventri_2022COL[Total Cost])</f>
        <v>0</v>
      </c>
      <c r="J12" s="118">
        <f>SUM(LineItemTableAll[[#This Row],[Aventri_2024IC]:[Aventri_2022COL]])</f>
        <v>0</v>
      </c>
      <c r="K12" s="157">
        <f>SUMIF(CompuSystems_2025IC[Detailed Description],LineItemTableAll[[#This Row],[Detailed Description]],CompuSystems_2025IC[Total Cost])</f>
        <v>0</v>
      </c>
      <c r="L12" s="157">
        <f>SUMIF(CompuSystems_2024IC[Detailed Description],LineItemTableAll[[#This Row],[Detailed Description]],CompuSystems_2024IC[Total Cost])</f>
        <v>0</v>
      </c>
      <c r="M12" s="157">
        <f>SUMIF(CompuSystems_2023IC[Detailed Description],LineItemTableAll[[#This Row],[Detailed Description]],CompuSystems_2023IC[Total Cost])</f>
        <v>0</v>
      </c>
      <c r="N12" s="157">
        <f>SUMIF(CompuSystems_2023_2025IA[Detailed Description],LineItemTableAll[[#This Row],[Detailed Description]],CompuSystems_2023_2025IA[Total Cost (2023)])</f>
        <v>0</v>
      </c>
      <c r="O12" s="157">
        <f>SUMIF(CompuSystems_2023_2025IA[Detailed Description],LineItemTableAll[[#This Row],[Detailed Description]],CompuSystems_2023_2025IA[Total Cost (2025)])</f>
        <v>0</v>
      </c>
      <c r="P12" s="157">
        <f>SUMIF(CompuSystems_2023_2025IA[Detailed Description],LineItemTableAll[[#This Row],[Detailed Description]],CompuSystems_2023_2025IA[Total Cost (2025)])</f>
        <v>0</v>
      </c>
      <c r="Q12" s="157">
        <f>SUMIF(CompuSystems_2025COL[Detailed Description],LineItemTableAll[[#This Row],[Detailed Description]],CompuSystems_2025COL[Total Cost])</f>
        <v>0</v>
      </c>
      <c r="R12" s="157">
        <f>SUM(LineItemTableAll[[#This Row],[CompuSystems2024IC]:[CompuSystems2022COL]])</f>
        <v>0</v>
      </c>
      <c r="S12" s="157">
        <f>SUMIF(MCI_2025IC[Detailed Description],LineItemTableAll[[#This Row],[Detailed Description]],MCI_2025IC[Total Cost])</f>
        <v>9000</v>
      </c>
      <c r="T12" s="157">
        <f>SUMIF(MCI_2024IC[Detailed Description],LineItemTableAll[[#This Row],[Detailed Description]],MCI_2024IC[Total Cost])</f>
        <v>9000</v>
      </c>
      <c r="U12" s="157">
        <f>SUMIF(MCI_2023IC[Detailed Description],LineItemTableAll[[#This Row],[Detailed Description]],MCI_2023IC[Total Cost])</f>
        <v>9000</v>
      </c>
      <c r="V12" s="157">
        <f>SUMIF(MCI_2023_2025IA[Detailed Description],LineItemTableAll[[#This Row],[Detailed Description]],MCI_2023_2025IA[Total Cost (2023)])</f>
        <v>1320</v>
      </c>
      <c r="W12" s="157">
        <f>SUMIF(MCI_2023_2025IA[Detailed Description],LineItemTableAll[[#This Row],[Detailed Description]],MCI_2023_2025IA[Total Cost (2025)])</f>
        <v>1320</v>
      </c>
      <c r="X12" s="157">
        <f>SUMIF(MCI_2023_2025IA[Detailed Description],LineItemTableAll[[#This Row],[Detailed Description]],MCI_2023_2025IA[Total Cost (2025)])</f>
        <v>1320</v>
      </c>
      <c r="Y12" s="157">
        <f>SUMIF(MCI_2025COL[Detailed Description],LineItemTableAll[[#This Row],[Detailed Description]],MCI_2025COL[Total Cost])</f>
        <v>1320</v>
      </c>
      <c r="Z12" s="157">
        <f>SUM(LineItemTableAll[[#This Row],[MCI2024IC]:[MCI2022COL]])</f>
        <v>32280</v>
      </c>
    </row>
    <row r="13" spans="2:26" x14ac:dyDescent="0.35">
      <c r="B13" s="166" t="s">
        <v>246</v>
      </c>
      <c r="C13" s="118">
        <f>SUMIF(Aventri_2024IC[Detailed Description],LineItemTableAll[[#This Row],[Detailed Description]],Aventri_2024IC[Total Cost])</f>
        <v>3000</v>
      </c>
      <c r="D13" s="118">
        <f>SUMIF(Aventri_2023IC[Detailed Description],LineItemTableAll[[#This Row],[Detailed Description]],Aventri_2023IC[Total Cost])</f>
        <v>3000</v>
      </c>
      <c r="E13" s="118">
        <f>SUMIF(Aventri_2022IC[Detailed Description],LineItemTableAll[[#This Row],[Detailed Description]],Aventri_2022IC[Total Cost])</f>
        <v>3000</v>
      </c>
      <c r="F13" s="118">
        <f>SUMIF(Aventri_2021_2023IA[Detailed Description],LineItemTableAll[[#This Row],[Detailed Description]],Aventri_2021_2023IA[Total Cost (2022)])</f>
        <v>0</v>
      </c>
      <c r="G13" s="118">
        <f>SUMIF(Aventri_2021_2023IA[Detailed Description],LineItemTableAll[[#This Row],[Detailed Description]],Aventri_2021_2023IA[Total Cost (2023)])</f>
        <v>0</v>
      </c>
      <c r="H13" s="118">
        <f>SUMIF(Aventri_2021_2023IA[Detailed Description],LineItemTableAll[[#This Row],[Detailed Description]],Aventri_2021_2023IA[Total Cost (2024)])</f>
        <v>0</v>
      </c>
      <c r="I13" s="118">
        <f>SUMIF(Aventri_2022COL[Detailed Description],LineItemTableAll[[#This Row],[Detailed Description]],Aventri_2022COL[Total Cost])</f>
        <v>0</v>
      </c>
      <c r="J13" s="118">
        <f>SUM(LineItemTableAll[[#This Row],[Aventri_2024IC]:[Aventri_2022COL]])</f>
        <v>9000</v>
      </c>
      <c r="K13" s="157">
        <f>SUMIF(CompuSystems_2025IC[Detailed Description],LineItemTableAll[[#This Row],[Detailed Description]],CompuSystems_2025IC[Total Cost])</f>
        <v>0</v>
      </c>
      <c r="L13" s="157">
        <f>SUMIF(CompuSystems_2024IC[Detailed Description],LineItemTableAll[[#This Row],[Detailed Description]],CompuSystems_2024IC[Total Cost])</f>
        <v>0</v>
      </c>
      <c r="M13" s="157">
        <f>SUMIF(CompuSystems_2023IC[Detailed Description],LineItemTableAll[[#This Row],[Detailed Description]],CompuSystems_2023IC[Total Cost])</f>
        <v>2100</v>
      </c>
      <c r="N13" s="157">
        <f>SUMIF(CompuSystems_2023_2025IA[Detailed Description],LineItemTableAll[[#This Row],[Detailed Description]],CompuSystems_2023_2025IA[Total Cost (2023)])</f>
        <v>0</v>
      </c>
      <c r="O13" s="157">
        <f>SUMIF(CompuSystems_2023_2025IA[Detailed Description],LineItemTableAll[[#This Row],[Detailed Description]],CompuSystems_2023_2025IA[Total Cost (2025)])</f>
        <v>0</v>
      </c>
      <c r="P13" s="157">
        <f>SUMIF(CompuSystems_2023_2025IA[Detailed Description],LineItemTableAll[[#This Row],[Detailed Description]],CompuSystems_2023_2025IA[Total Cost (2025)])</f>
        <v>0</v>
      </c>
      <c r="Q13" s="157">
        <f>SUMIF(CompuSystems_2025COL[Detailed Description],LineItemTableAll[[#This Row],[Detailed Description]],CompuSystems_2025COL[Total Cost])</f>
        <v>0</v>
      </c>
      <c r="R13" s="157">
        <f>SUM(LineItemTableAll[[#This Row],[CompuSystems2024IC]:[CompuSystems2022COL]])</f>
        <v>2100</v>
      </c>
      <c r="S13" s="157">
        <f>SUMIF(MCI_2025IC[Detailed Description],LineItemTableAll[[#This Row],[Detailed Description]],MCI_2025IC[Total Cost])</f>
        <v>0</v>
      </c>
      <c r="T13" s="157">
        <f>SUMIF(MCI_2024IC[Detailed Description],LineItemTableAll[[#This Row],[Detailed Description]],MCI_2024IC[Total Cost])</f>
        <v>0</v>
      </c>
      <c r="U13" s="157">
        <f>SUMIF(MCI_2023IC[Detailed Description],LineItemTableAll[[#This Row],[Detailed Description]],MCI_2023IC[Total Cost])</f>
        <v>7500</v>
      </c>
      <c r="V13" s="157">
        <f>SUMIF(MCI_2023_2025IA[Detailed Description],LineItemTableAll[[#This Row],[Detailed Description]],MCI_2023_2025IA[Total Cost (2023)])</f>
        <v>0</v>
      </c>
      <c r="W13" s="157">
        <f>SUMIF(MCI_2023_2025IA[Detailed Description],LineItemTableAll[[#This Row],[Detailed Description]],MCI_2023_2025IA[Total Cost (2025)])</f>
        <v>0</v>
      </c>
      <c r="X13" s="157">
        <f>SUMIF(MCI_2023_2025IA[Detailed Description],LineItemTableAll[[#This Row],[Detailed Description]],MCI_2023_2025IA[Total Cost (2025)])</f>
        <v>0</v>
      </c>
      <c r="Y13" s="157">
        <f>SUMIF(MCI_2025COL[Detailed Description],LineItemTableAll[[#This Row],[Detailed Description]],MCI_2025COL[Total Cost])</f>
        <v>0</v>
      </c>
      <c r="Z13" s="157">
        <f>SUM(LineItemTableAll[[#This Row],[MCI2024IC]:[MCI2022COL]])</f>
        <v>7500</v>
      </c>
    </row>
    <row r="14" spans="2:26" x14ac:dyDescent="0.35">
      <c r="B14" s="168" t="s">
        <v>161</v>
      </c>
      <c r="C14" s="118">
        <f>SUMIF(Aventri_2024IC[Detailed Description],LineItemTableAll[[#This Row],[Detailed Description]],Aventri_2024IC[Total Cost])</f>
        <v>0</v>
      </c>
      <c r="D14" s="118">
        <f>SUMIF(Aventri_2023IC[Detailed Description],LineItemTableAll[[#This Row],[Detailed Description]],Aventri_2023IC[Total Cost])</f>
        <v>0</v>
      </c>
      <c r="E14" s="118">
        <f>SUMIF(Aventri_2022IC[Detailed Description],LineItemTableAll[[#This Row],[Detailed Description]],Aventri_2022IC[Total Cost])</f>
        <v>0</v>
      </c>
      <c r="F14" s="118">
        <f>SUMIF(Aventri_2021_2023IA[Detailed Description],LineItemTableAll[[#This Row],[Detailed Description]],Aventri_2021_2023IA[Total Cost (2022)])</f>
        <v>0</v>
      </c>
      <c r="G14" s="118">
        <f>SUMIF(Aventri_2021_2023IA[Detailed Description],LineItemTableAll[[#This Row],[Detailed Description]],Aventri_2021_2023IA[Total Cost (2023)])</f>
        <v>0</v>
      </c>
      <c r="H14" s="118">
        <f>SUMIF(Aventri_2021_2023IA[Detailed Description],LineItemTableAll[[#This Row],[Detailed Description]],Aventri_2021_2023IA[Total Cost (2024)])</f>
        <v>0</v>
      </c>
      <c r="I14" s="118">
        <f>SUMIF(Aventri_2022COL[Detailed Description],LineItemTableAll[[#This Row],[Detailed Description]],Aventri_2022COL[Total Cost])</f>
        <v>0</v>
      </c>
      <c r="J14" s="118">
        <f>SUM(LineItemTableAll[[#This Row],[Aventri_2024IC]:[Aventri_2022COL]])</f>
        <v>0</v>
      </c>
      <c r="K14" s="157">
        <f>SUMIF(CompuSystems_2025IC[Detailed Description],LineItemTableAll[[#This Row],[Detailed Description]],CompuSystems_2025IC[Total Cost])</f>
        <v>0</v>
      </c>
      <c r="L14" s="157">
        <f>SUMIF(CompuSystems_2024IC[Detailed Description],LineItemTableAll[[#This Row],[Detailed Description]],CompuSystems_2024IC[Total Cost])</f>
        <v>0</v>
      </c>
      <c r="M14" s="157">
        <f>SUMIF(CompuSystems_2023IC[Detailed Description],LineItemTableAll[[#This Row],[Detailed Description]],CompuSystems_2023IC[Total Cost])</f>
        <v>0</v>
      </c>
      <c r="N14" s="157">
        <f>SUMIF(CompuSystems_2023_2025IA[Detailed Description],LineItemTableAll[[#This Row],[Detailed Description]],CompuSystems_2023_2025IA[Total Cost (2023)])</f>
        <v>0</v>
      </c>
      <c r="O14" s="157">
        <f>SUMIF(CompuSystems_2023_2025IA[Detailed Description],LineItemTableAll[[#This Row],[Detailed Description]],CompuSystems_2023_2025IA[Total Cost (2025)])</f>
        <v>0</v>
      </c>
      <c r="P14" s="157">
        <f>SUMIF(CompuSystems_2023_2025IA[Detailed Description],LineItemTableAll[[#This Row],[Detailed Description]],CompuSystems_2023_2025IA[Total Cost (2025)])</f>
        <v>0</v>
      </c>
      <c r="Q14" s="157">
        <f>SUMIF(CompuSystems_2025COL[Detailed Description],LineItemTableAll[[#This Row],[Detailed Description]],CompuSystems_2025COL[Total Cost])</f>
        <v>0</v>
      </c>
      <c r="R14" s="157">
        <f>SUM(LineItemTableAll[[#This Row],[CompuSystems2024IC]:[CompuSystems2022COL]])</f>
        <v>0</v>
      </c>
      <c r="S14" s="157">
        <f>SUMIF(MCI_2025IC[Detailed Description],LineItemTableAll[[#This Row],[Detailed Description]],MCI_2025IC[Total Cost])</f>
        <v>0</v>
      </c>
      <c r="T14" s="157">
        <f>SUMIF(MCI_2024IC[Detailed Description],LineItemTableAll[[#This Row],[Detailed Description]],MCI_2024IC[Total Cost])</f>
        <v>0</v>
      </c>
      <c r="U14" s="157">
        <f>SUMIF(MCI_2023IC[Detailed Description],LineItemTableAll[[#This Row],[Detailed Description]],MCI_2023IC[Total Cost])</f>
        <v>0</v>
      </c>
      <c r="V14" s="157">
        <f>SUMIF(MCI_2023_2025IA[Detailed Description],LineItemTableAll[[#This Row],[Detailed Description]],MCI_2023_2025IA[Total Cost (2023)])</f>
        <v>0</v>
      </c>
      <c r="W14" s="157">
        <f>SUMIF(MCI_2023_2025IA[Detailed Description],LineItemTableAll[[#This Row],[Detailed Description]],MCI_2023_2025IA[Total Cost (2025)])</f>
        <v>0</v>
      </c>
      <c r="X14" s="157">
        <f>SUMIF(MCI_2023_2025IA[Detailed Description],LineItemTableAll[[#This Row],[Detailed Description]],MCI_2023_2025IA[Total Cost (2025)])</f>
        <v>0</v>
      </c>
      <c r="Y14" s="157">
        <f>SUMIF(MCI_2025COL[Detailed Description],LineItemTableAll[[#This Row],[Detailed Description]],MCI_2025COL[Total Cost])</f>
        <v>0</v>
      </c>
      <c r="Z14" s="157">
        <f>SUM(LineItemTableAll[[#This Row],[MCI2024IC]:[MCI2022COL]])</f>
        <v>0</v>
      </c>
    </row>
    <row r="15" spans="2:26" x14ac:dyDescent="0.35">
      <c r="B15" s="168" t="s">
        <v>168</v>
      </c>
      <c r="C15" s="118">
        <f>SUMIF(Aventri_2024IC[Detailed Description],LineItemTableAll[[#This Row],[Detailed Description]],Aventri_2024IC[Total Cost])</f>
        <v>20000</v>
      </c>
      <c r="D15" s="118">
        <f>SUMIF(Aventri_2023IC[Detailed Description],LineItemTableAll[[#This Row],[Detailed Description]],Aventri_2023IC[Total Cost])</f>
        <v>20000</v>
      </c>
      <c r="E15" s="118">
        <f>SUMIF(Aventri_2022IC[Detailed Description],LineItemTableAll[[#This Row],[Detailed Description]],Aventri_2022IC[Total Cost])</f>
        <v>20000</v>
      </c>
      <c r="F15" s="118">
        <f>SUMIF(Aventri_2021_2023IA[Detailed Description],LineItemTableAll[[#This Row],[Detailed Description]],Aventri_2021_2023IA[Total Cost (2022)])</f>
        <v>0</v>
      </c>
      <c r="G15" s="118">
        <f>SUMIF(Aventri_2021_2023IA[Detailed Description],LineItemTableAll[[#This Row],[Detailed Description]],Aventri_2021_2023IA[Total Cost (2023)])</f>
        <v>0</v>
      </c>
      <c r="H15" s="118">
        <f>SUMIF(Aventri_2021_2023IA[Detailed Description],LineItemTableAll[[#This Row],[Detailed Description]],Aventri_2021_2023IA[Total Cost (2024)])</f>
        <v>0</v>
      </c>
      <c r="I15" s="118">
        <f>SUMIF(Aventri_2022COL[Detailed Description],LineItemTableAll[[#This Row],[Detailed Description]],Aventri_2022COL[Total Cost])</f>
        <v>0</v>
      </c>
      <c r="J15" s="118">
        <f>SUM(LineItemTableAll[[#This Row],[Aventri_2024IC]:[Aventri_2022COL]])</f>
        <v>60000</v>
      </c>
      <c r="K15" s="157">
        <f>SUMIF(CompuSystems_2025IC[Detailed Description],LineItemTableAll[[#This Row],[Detailed Description]],CompuSystems_2025IC[Total Cost])</f>
        <v>0</v>
      </c>
      <c r="L15" s="157">
        <f>SUMIF(CompuSystems_2024IC[Detailed Description],LineItemTableAll[[#This Row],[Detailed Description]],CompuSystems_2024IC[Total Cost])</f>
        <v>0</v>
      </c>
      <c r="M15" s="157">
        <f>SUMIF(CompuSystems_2023IC[Detailed Description],LineItemTableAll[[#This Row],[Detailed Description]],CompuSystems_2023IC[Total Cost])</f>
        <v>0</v>
      </c>
      <c r="N15" s="157">
        <f>SUMIF(CompuSystems_2023_2025IA[Detailed Description],LineItemTableAll[[#This Row],[Detailed Description]],CompuSystems_2023_2025IA[Total Cost (2023)])</f>
        <v>0</v>
      </c>
      <c r="O15" s="157">
        <f>SUMIF(CompuSystems_2023_2025IA[Detailed Description],LineItemTableAll[[#This Row],[Detailed Description]],CompuSystems_2023_2025IA[Total Cost (2025)])</f>
        <v>0</v>
      </c>
      <c r="P15" s="157">
        <f>SUMIF(CompuSystems_2023_2025IA[Detailed Description],LineItemTableAll[[#This Row],[Detailed Description]],CompuSystems_2023_2025IA[Total Cost (2025)])</f>
        <v>0</v>
      </c>
      <c r="Q15" s="157">
        <f>SUMIF(CompuSystems_2025COL[Detailed Description],LineItemTableAll[[#This Row],[Detailed Description]],CompuSystems_2025COL[Total Cost])</f>
        <v>0</v>
      </c>
      <c r="R15" s="157">
        <f>SUM(LineItemTableAll[[#This Row],[CompuSystems2024IC]:[CompuSystems2022COL]])</f>
        <v>0</v>
      </c>
      <c r="S15" s="157">
        <f>SUMIF(MCI_2025IC[Detailed Description],LineItemTableAll[[#This Row],[Detailed Description]],MCI_2025IC[Total Cost])</f>
        <v>0</v>
      </c>
      <c r="T15" s="157">
        <f>SUMIF(MCI_2024IC[Detailed Description],LineItemTableAll[[#This Row],[Detailed Description]],MCI_2024IC[Total Cost])</f>
        <v>0</v>
      </c>
      <c r="U15" s="157">
        <f>SUMIF(MCI_2023IC[Detailed Description],LineItemTableAll[[#This Row],[Detailed Description]],MCI_2023IC[Total Cost])</f>
        <v>0</v>
      </c>
      <c r="V15" s="157">
        <f>SUMIF(MCI_2023_2025IA[Detailed Description],LineItemTableAll[[#This Row],[Detailed Description]],MCI_2023_2025IA[Total Cost (2023)])</f>
        <v>0</v>
      </c>
      <c r="W15" s="157">
        <f>SUMIF(MCI_2023_2025IA[Detailed Description],LineItemTableAll[[#This Row],[Detailed Description]],MCI_2023_2025IA[Total Cost (2025)])</f>
        <v>0</v>
      </c>
      <c r="X15" s="157">
        <f>SUMIF(MCI_2023_2025IA[Detailed Description],LineItemTableAll[[#This Row],[Detailed Description]],MCI_2023_2025IA[Total Cost (2025)])</f>
        <v>0</v>
      </c>
      <c r="Y15" s="157">
        <f>SUMIF(MCI_2025COL[Detailed Description],LineItemTableAll[[#This Row],[Detailed Description]],MCI_2025COL[Total Cost])</f>
        <v>0</v>
      </c>
      <c r="Z15" s="157">
        <f>SUM(LineItemTableAll[[#This Row],[MCI2024IC]:[MCI2022COL]])</f>
        <v>0</v>
      </c>
    </row>
    <row r="16" spans="2:26" x14ac:dyDescent="0.35">
      <c r="B16" s="167" t="s">
        <v>202</v>
      </c>
      <c r="C16" s="118">
        <f>SUMIF(Aventri_2024IC[Detailed Description],LineItemTableAll[[#This Row],[Detailed Description]],Aventri_2024IC[Total Cost])</f>
        <v>3400</v>
      </c>
      <c r="D16" s="118">
        <f>SUMIF(Aventri_2023IC[Detailed Description],LineItemTableAll[[#This Row],[Detailed Description]],Aventri_2023IC[Total Cost])</f>
        <v>3400</v>
      </c>
      <c r="E16" s="118">
        <f>SUMIF(Aventri_2022IC[Detailed Description],LineItemTableAll[[#This Row],[Detailed Description]],Aventri_2022IC[Total Cost])</f>
        <v>5648</v>
      </c>
      <c r="F16" s="118">
        <f>SUMIF(Aventri_2021_2023IA[Detailed Description],LineItemTableAll[[#This Row],[Detailed Description]],Aventri_2021_2023IA[Total Cost (2022)])</f>
        <v>2800</v>
      </c>
      <c r="G16" s="118">
        <f>SUMIF(Aventri_2021_2023IA[Detailed Description],LineItemTableAll[[#This Row],[Detailed Description]],Aventri_2021_2023IA[Total Cost (2023)])</f>
        <v>2800</v>
      </c>
      <c r="H16" s="118">
        <f>SUMIF(Aventri_2021_2023IA[Detailed Description],LineItemTableAll[[#This Row],[Detailed Description]],Aventri_2021_2023IA[Total Cost (2024)])</f>
        <v>2800</v>
      </c>
      <c r="I16" s="118">
        <f>SUMIF(Aventri_2022COL[Detailed Description],LineItemTableAll[[#This Row],[Detailed Description]],Aventri_2022COL[Total Cost])</f>
        <v>2800</v>
      </c>
      <c r="J16" s="118">
        <f>SUM(LineItemTableAll[[#This Row],[Aventri_2024IC]:[Aventri_2022COL]])</f>
        <v>23648</v>
      </c>
      <c r="K16" s="157">
        <f>SUMIF(CompuSystems_2025IC[Detailed Description],LineItemTableAll[[#This Row],[Detailed Description]],CompuSystems_2025IC[Total Cost])</f>
        <v>18000</v>
      </c>
      <c r="L16" s="157">
        <f>SUMIF(CompuSystems_2024IC[Detailed Description],LineItemTableAll[[#This Row],[Detailed Description]],CompuSystems_2024IC[Total Cost])</f>
        <v>15000</v>
      </c>
      <c r="M16" s="157">
        <f>SUMIF(CompuSystems_2023IC[Detailed Description],LineItemTableAll[[#This Row],[Detailed Description]],CompuSystems_2023IC[Total Cost])</f>
        <v>4000</v>
      </c>
      <c r="N16" s="157">
        <f>SUMIF(CompuSystems_2023_2025IA[Detailed Description],LineItemTableAll[[#This Row],[Detailed Description]],CompuSystems_2023_2025IA[Total Cost (2023)])</f>
        <v>4500</v>
      </c>
      <c r="O16" s="157">
        <f>SUMIF(CompuSystems_2023_2025IA[Detailed Description],LineItemTableAll[[#This Row],[Detailed Description]],CompuSystems_2023_2025IA[Total Cost (2025)])</f>
        <v>4500</v>
      </c>
      <c r="P16" s="157">
        <f>SUMIF(CompuSystems_2023_2025IA[Detailed Description],LineItemTableAll[[#This Row],[Detailed Description]],CompuSystems_2023_2025IA[Total Cost (2025)])</f>
        <v>4500</v>
      </c>
      <c r="Q16" s="157">
        <f>SUMIF(CompuSystems_2025COL[Detailed Description],LineItemTableAll[[#This Row],[Detailed Description]],CompuSystems_2025COL[Total Cost])</f>
        <v>500</v>
      </c>
      <c r="R16" s="157">
        <f>SUM(LineItemTableAll[[#This Row],[CompuSystems2024IC]:[CompuSystems2022COL]])</f>
        <v>51000</v>
      </c>
      <c r="S16" s="157">
        <f>SUMIF(MCI_2025IC[Detailed Description],LineItemTableAll[[#This Row],[Detailed Description]],MCI_2025IC[Total Cost])</f>
        <v>1700</v>
      </c>
      <c r="T16" s="157">
        <f>SUMIF(MCI_2024IC[Detailed Description],LineItemTableAll[[#This Row],[Detailed Description]],MCI_2024IC[Total Cost])</f>
        <v>1700</v>
      </c>
      <c r="U16" s="157">
        <f>SUMIF(MCI_2023IC[Detailed Description],LineItemTableAll[[#This Row],[Detailed Description]],MCI_2023IC[Total Cost])</f>
        <v>2824</v>
      </c>
      <c r="V16" s="157">
        <f>SUMIF(MCI_2023_2025IA[Detailed Description],LineItemTableAll[[#This Row],[Detailed Description]],MCI_2023_2025IA[Total Cost (2023)])</f>
        <v>2800</v>
      </c>
      <c r="W16" s="157">
        <f>SUMIF(MCI_2023_2025IA[Detailed Description],LineItemTableAll[[#This Row],[Detailed Description]],MCI_2023_2025IA[Total Cost (2025)])</f>
        <v>2800</v>
      </c>
      <c r="X16" s="157">
        <f>SUMIF(MCI_2023_2025IA[Detailed Description],LineItemTableAll[[#This Row],[Detailed Description]],MCI_2023_2025IA[Total Cost (2025)])</f>
        <v>2800</v>
      </c>
      <c r="Y16" s="157">
        <f>SUMIF(MCI_2025COL[Detailed Description],LineItemTableAll[[#This Row],[Detailed Description]],MCI_2025COL[Total Cost])</f>
        <v>2800</v>
      </c>
      <c r="Z16" s="157">
        <f>SUM(LineItemTableAll[[#This Row],[MCI2024IC]:[MCI2022COL]])</f>
        <v>17424</v>
      </c>
    </row>
    <row r="17" spans="2:26" x14ac:dyDescent="0.35">
      <c r="B17" s="167" t="s">
        <v>205</v>
      </c>
      <c r="C17" s="118">
        <f>SUMIF(Aventri_2024IC[Detailed Description],LineItemTableAll[[#This Row],[Detailed Description]],Aventri_2024IC[Total Cost])</f>
        <v>3000</v>
      </c>
      <c r="D17" s="118">
        <f>SUMIF(Aventri_2023IC[Detailed Description],LineItemTableAll[[#This Row],[Detailed Description]],Aventri_2023IC[Total Cost])</f>
        <v>3000</v>
      </c>
      <c r="E17" s="118">
        <f>SUMIF(Aventri_2022IC[Detailed Description],LineItemTableAll[[#This Row],[Detailed Description]],Aventri_2022IC[Total Cost])</f>
        <v>3000</v>
      </c>
      <c r="F17" s="118">
        <f>SUMIF(Aventri_2021_2023IA[Detailed Description],LineItemTableAll[[#This Row],[Detailed Description]],Aventri_2021_2023IA[Total Cost (2022)])</f>
        <v>3000</v>
      </c>
      <c r="G17" s="118">
        <f>SUMIF(Aventri_2021_2023IA[Detailed Description],LineItemTableAll[[#This Row],[Detailed Description]],Aventri_2021_2023IA[Total Cost (2023)])</f>
        <v>3000</v>
      </c>
      <c r="H17" s="118">
        <f>SUMIF(Aventri_2021_2023IA[Detailed Description],LineItemTableAll[[#This Row],[Detailed Description]],Aventri_2021_2023IA[Total Cost (2024)])</f>
        <v>3000</v>
      </c>
      <c r="I17" s="118">
        <f>SUMIF(Aventri_2022COL[Detailed Description],LineItemTableAll[[#This Row],[Detailed Description]],Aventri_2022COL[Total Cost])</f>
        <v>3000</v>
      </c>
      <c r="J17" s="118">
        <f>SUM(LineItemTableAll[[#This Row],[Aventri_2024IC]:[Aventri_2022COL]])</f>
        <v>21000</v>
      </c>
      <c r="K17" s="157">
        <f>SUMIF(CompuSystems_2025IC[Detailed Description],LineItemTableAll[[#This Row],[Detailed Description]],CompuSystems_2025IC[Total Cost])</f>
        <v>33750</v>
      </c>
      <c r="L17" s="157">
        <f>SUMIF(CompuSystems_2024IC[Detailed Description],LineItemTableAll[[#This Row],[Detailed Description]],CompuSystems_2024IC[Total Cost])</f>
        <v>33750</v>
      </c>
      <c r="M17" s="157">
        <f>SUMIF(CompuSystems_2023IC[Detailed Description],LineItemTableAll[[#This Row],[Detailed Description]],CompuSystems_2023IC[Total Cost])</f>
        <v>33750</v>
      </c>
      <c r="N17" s="157">
        <f>SUMIF(CompuSystems_2023_2025IA[Detailed Description],LineItemTableAll[[#This Row],[Detailed Description]],CompuSystems_2023_2025IA[Total Cost (2023)])</f>
        <v>9750</v>
      </c>
      <c r="O17" s="157">
        <f>SUMIF(CompuSystems_2023_2025IA[Detailed Description],LineItemTableAll[[#This Row],[Detailed Description]],CompuSystems_2023_2025IA[Total Cost (2025)])</f>
        <v>9750</v>
      </c>
      <c r="P17" s="157">
        <f>SUMIF(CompuSystems_2023_2025IA[Detailed Description],LineItemTableAll[[#This Row],[Detailed Description]],CompuSystems_2023_2025IA[Total Cost (2025)])</f>
        <v>9750</v>
      </c>
      <c r="Q17" s="157">
        <f>SUMIF(CompuSystems_2025COL[Detailed Description],LineItemTableAll[[#This Row],[Detailed Description]],CompuSystems_2025COL[Total Cost])</f>
        <v>7500</v>
      </c>
      <c r="R17" s="157">
        <f>SUM(LineItemTableAll[[#This Row],[CompuSystems2024IC]:[CompuSystems2022COL]])</f>
        <v>138000</v>
      </c>
      <c r="S17" s="157">
        <f>SUMIF(MCI_2025IC[Detailed Description],LineItemTableAll[[#This Row],[Detailed Description]],MCI_2025IC[Total Cost])</f>
        <v>25000</v>
      </c>
      <c r="T17" s="157">
        <f>SUMIF(MCI_2024IC[Detailed Description],LineItemTableAll[[#This Row],[Detailed Description]],MCI_2024IC[Total Cost])</f>
        <v>25000</v>
      </c>
      <c r="U17" s="157">
        <f>SUMIF(MCI_2023IC[Detailed Description],LineItemTableAll[[#This Row],[Detailed Description]],MCI_2023IC[Total Cost])</f>
        <v>25000</v>
      </c>
      <c r="V17" s="157">
        <f>SUMIF(MCI_2023_2025IA[Detailed Description],LineItemTableAll[[#This Row],[Detailed Description]],MCI_2023_2025IA[Total Cost (2023)])</f>
        <v>1875</v>
      </c>
      <c r="W17" s="157">
        <f>SUMIF(MCI_2023_2025IA[Detailed Description],LineItemTableAll[[#This Row],[Detailed Description]],MCI_2023_2025IA[Total Cost (2025)])</f>
        <v>1875</v>
      </c>
      <c r="X17" s="157">
        <f>SUMIF(MCI_2023_2025IA[Detailed Description],LineItemTableAll[[#This Row],[Detailed Description]],MCI_2023_2025IA[Total Cost (2025)])</f>
        <v>1875</v>
      </c>
      <c r="Y17" s="157">
        <f>SUMIF(MCI_2025COL[Detailed Description],LineItemTableAll[[#This Row],[Detailed Description]],MCI_2025COL[Total Cost])</f>
        <v>1500</v>
      </c>
      <c r="Z17" s="157">
        <f>SUM(LineItemTableAll[[#This Row],[MCI2024IC]:[MCI2022COL]])</f>
        <v>82125</v>
      </c>
    </row>
    <row r="18" spans="2:26" x14ac:dyDescent="0.35">
      <c r="B18" s="167" t="s">
        <v>267</v>
      </c>
      <c r="C18" s="118">
        <f>SUMIF(Aventri_2024IC[Detailed Description],LineItemTableAll[[#This Row],[Detailed Description]],Aventri_2024IC[Total Cost])</f>
        <v>0</v>
      </c>
      <c r="D18" s="118">
        <f>SUMIF(Aventri_2023IC[Detailed Description],LineItemTableAll[[#This Row],[Detailed Description]],Aventri_2023IC[Total Cost])</f>
        <v>0</v>
      </c>
      <c r="E18" s="118">
        <f>SUMIF(Aventri_2022IC[Detailed Description],LineItemTableAll[[#This Row],[Detailed Description]],Aventri_2022IC[Total Cost])</f>
        <v>0</v>
      </c>
      <c r="F18" s="118">
        <f>SUMIF(Aventri_2021_2023IA[Detailed Description],LineItemTableAll[[#This Row],[Detailed Description]],Aventri_2021_2023IA[Total Cost (2022)])</f>
        <v>0</v>
      </c>
      <c r="G18" s="118">
        <f>SUMIF(Aventri_2021_2023IA[Detailed Description],LineItemTableAll[[#This Row],[Detailed Description]],Aventri_2021_2023IA[Total Cost (2023)])</f>
        <v>0</v>
      </c>
      <c r="H18" s="118">
        <f>SUMIF(Aventri_2021_2023IA[Detailed Description],LineItemTableAll[[#This Row],[Detailed Description]],Aventri_2021_2023IA[Total Cost (2024)])</f>
        <v>0</v>
      </c>
      <c r="I18" s="118">
        <f>SUMIF(Aventri_2022COL[Detailed Description],LineItemTableAll[[#This Row],[Detailed Description]],Aventri_2022COL[Total Cost])</f>
        <v>0</v>
      </c>
      <c r="J18" s="118">
        <f>SUM(LineItemTableAll[[#This Row],[Aventri_2024IC]:[Aventri_2022COL]])</f>
        <v>0</v>
      </c>
      <c r="K18" s="157">
        <f>SUMIF(CompuSystems_2025IC[Detailed Description],LineItemTableAll[[#This Row],[Detailed Description]],CompuSystems_2025IC[Total Cost])</f>
        <v>0</v>
      </c>
      <c r="L18" s="157">
        <f>SUMIF(CompuSystems_2024IC[Detailed Description],LineItemTableAll[[#This Row],[Detailed Description]],CompuSystems_2024IC[Total Cost])</f>
        <v>0</v>
      </c>
      <c r="M18" s="157">
        <f>SUMIF(CompuSystems_2023IC[Detailed Description],LineItemTableAll[[#This Row],[Detailed Description]],CompuSystems_2023IC[Total Cost])</f>
        <v>0</v>
      </c>
      <c r="N18" s="157">
        <f>SUMIF(CompuSystems_2023_2025IA[Detailed Description],LineItemTableAll[[#This Row],[Detailed Description]],CompuSystems_2023_2025IA[Total Cost (2023)])</f>
        <v>0</v>
      </c>
      <c r="O18" s="157">
        <f>SUMIF(CompuSystems_2023_2025IA[Detailed Description],LineItemTableAll[[#This Row],[Detailed Description]],CompuSystems_2023_2025IA[Total Cost (2025)])</f>
        <v>0</v>
      </c>
      <c r="P18" s="157">
        <f>SUMIF(CompuSystems_2023_2025IA[Detailed Description],LineItemTableAll[[#This Row],[Detailed Description]],CompuSystems_2023_2025IA[Total Cost (2025)])</f>
        <v>0</v>
      </c>
      <c r="Q18" s="157">
        <f>SUMIF(CompuSystems_2025COL[Detailed Description],LineItemTableAll[[#This Row],[Detailed Description]],CompuSystems_2025COL[Total Cost])</f>
        <v>10000</v>
      </c>
      <c r="R18" s="157">
        <f>SUM(LineItemTableAll[[#This Row],[CompuSystems2024IC]:[CompuSystems2022COL]])</f>
        <v>10000</v>
      </c>
      <c r="S18" s="157">
        <f>SUMIF(MCI_2025IC[Detailed Description],LineItemTableAll[[#This Row],[Detailed Description]],MCI_2025IC[Total Cost])</f>
        <v>0</v>
      </c>
      <c r="T18" s="157">
        <f>SUMIF(MCI_2024IC[Detailed Description],LineItemTableAll[[#This Row],[Detailed Description]],MCI_2024IC[Total Cost])</f>
        <v>0</v>
      </c>
      <c r="U18" s="157">
        <f>SUMIF(MCI_2023IC[Detailed Description],LineItemTableAll[[#This Row],[Detailed Description]],MCI_2023IC[Total Cost])</f>
        <v>0</v>
      </c>
      <c r="V18" s="157">
        <f>SUMIF(MCI_2023_2025IA[Detailed Description],LineItemTableAll[[#This Row],[Detailed Description]],MCI_2023_2025IA[Total Cost (2023)])</f>
        <v>0</v>
      </c>
      <c r="W18" s="157">
        <f>SUMIF(MCI_2023_2025IA[Detailed Description],LineItemTableAll[[#This Row],[Detailed Description]],MCI_2023_2025IA[Total Cost (2025)])</f>
        <v>0</v>
      </c>
      <c r="X18" s="157">
        <f>SUMIF(MCI_2023_2025IA[Detailed Description],LineItemTableAll[[#This Row],[Detailed Description]],MCI_2023_2025IA[Total Cost (2025)])</f>
        <v>0</v>
      </c>
      <c r="Y18" s="157">
        <f>SUMIF(MCI_2025COL[Detailed Description],LineItemTableAll[[#This Row],[Detailed Description]],MCI_2025COL[Total Cost])</f>
        <v>0</v>
      </c>
      <c r="Z18" s="157">
        <f>SUM(LineItemTableAll[[#This Row],[MCI2024IC]:[MCI2022COL]])</f>
        <v>0</v>
      </c>
    </row>
    <row r="19" spans="2:26" x14ac:dyDescent="0.35">
      <c r="B19" s="166" t="s">
        <v>322</v>
      </c>
      <c r="C19" s="118">
        <f>SUMIF(Aventri_2024IC[Detailed Description],LineItemTableAll[[#This Row],[Detailed Description]],Aventri_2024IC[Total Cost])</f>
        <v>0</v>
      </c>
      <c r="D19" s="118">
        <f>SUMIF(Aventri_2023IC[Detailed Description],LineItemTableAll[[#This Row],[Detailed Description]],Aventri_2023IC[Total Cost])</f>
        <v>0</v>
      </c>
      <c r="E19" s="118">
        <f>SUMIF(Aventri_2022IC[Detailed Description],LineItemTableAll[[#This Row],[Detailed Description]],Aventri_2022IC[Total Cost])</f>
        <v>0</v>
      </c>
      <c r="F19" s="118">
        <f>SUMIF(Aventri_2021_2023IA[Detailed Description],LineItemTableAll[[#This Row],[Detailed Description]],Aventri_2021_2023IA[Total Cost (2022)])</f>
        <v>0</v>
      </c>
      <c r="G19" s="118">
        <f>SUMIF(Aventri_2021_2023IA[Detailed Description],LineItemTableAll[[#This Row],[Detailed Description]],Aventri_2021_2023IA[Total Cost (2023)])</f>
        <v>0</v>
      </c>
      <c r="H19" s="118">
        <f>SUMIF(Aventri_2021_2023IA[Detailed Description],LineItemTableAll[[#This Row],[Detailed Description]],Aventri_2021_2023IA[Total Cost (2024)])</f>
        <v>0</v>
      </c>
      <c r="I19" s="118">
        <f>SUMIF(Aventri_2022COL[Detailed Description],LineItemTableAll[[#This Row],[Detailed Description]],Aventri_2022COL[Total Cost])</f>
        <v>0</v>
      </c>
      <c r="J19" s="118">
        <f>SUM(LineItemTableAll[[#This Row],[Aventri_2024IC]:[Aventri_2022COL]])</f>
        <v>0</v>
      </c>
      <c r="K19" s="157">
        <f>SUMIF(CompuSystems_2025IC[Detailed Description],LineItemTableAll[[#This Row],[Detailed Description]],CompuSystems_2025IC[Total Cost])</f>
        <v>1200</v>
      </c>
      <c r="L19" s="157">
        <f>SUMIF(CompuSystems_2024IC[Detailed Description],LineItemTableAll[[#This Row],[Detailed Description]],CompuSystems_2024IC[Total Cost])</f>
        <v>700</v>
      </c>
      <c r="M19" s="157">
        <f>SUMIF(CompuSystems_2023IC[Detailed Description],LineItemTableAll[[#This Row],[Detailed Description]],CompuSystems_2023IC[Total Cost])</f>
        <v>700</v>
      </c>
      <c r="N19" s="157">
        <f>SUMIF(CompuSystems_2023_2025IA[Detailed Description],LineItemTableAll[[#This Row],[Detailed Description]],CompuSystems_2023_2025IA[Total Cost (2023)])</f>
        <v>50</v>
      </c>
      <c r="O19" s="157">
        <f>SUMIF(CompuSystems_2023_2025IA[Detailed Description],LineItemTableAll[[#This Row],[Detailed Description]],CompuSystems_2023_2025IA[Total Cost (2025)])</f>
        <v>50</v>
      </c>
      <c r="P19" s="157">
        <f>SUMIF(CompuSystems_2023_2025IA[Detailed Description],LineItemTableAll[[#This Row],[Detailed Description]],CompuSystems_2023_2025IA[Total Cost (2025)])</f>
        <v>50</v>
      </c>
      <c r="Q19" s="157">
        <f>SUMIF(CompuSystems_2025COL[Detailed Description],LineItemTableAll[[#This Row],[Detailed Description]],CompuSystems_2025COL[Total Cost])</f>
        <v>0</v>
      </c>
      <c r="R19" s="157">
        <f>SUM(LineItemTableAll[[#This Row],[CompuSystems2024IC]:[CompuSystems2022COL]])</f>
        <v>2750</v>
      </c>
      <c r="S19" s="157">
        <f>SUMIF(MCI_2025IC[Detailed Description],LineItemTableAll[[#This Row],[Detailed Description]],MCI_2025IC[Total Cost])</f>
        <v>0</v>
      </c>
      <c r="T19" s="157">
        <f>SUMIF(MCI_2024IC[Detailed Description],LineItemTableAll[[#This Row],[Detailed Description]],MCI_2024IC[Total Cost])</f>
        <v>0</v>
      </c>
      <c r="U19" s="157">
        <f>SUMIF(MCI_2023IC[Detailed Description],LineItemTableAll[[#This Row],[Detailed Description]],MCI_2023IC[Total Cost])</f>
        <v>0</v>
      </c>
      <c r="V19" s="157">
        <f>SUMIF(MCI_2023_2025IA[Detailed Description],LineItemTableAll[[#This Row],[Detailed Description]],MCI_2023_2025IA[Total Cost (2023)])</f>
        <v>0</v>
      </c>
      <c r="W19" s="157">
        <f>SUMIF(MCI_2023_2025IA[Detailed Description],LineItemTableAll[[#This Row],[Detailed Description]],MCI_2023_2025IA[Total Cost (2025)])</f>
        <v>0</v>
      </c>
      <c r="X19" s="157">
        <f>SUMIF(MCI_2023_2025IA[Detailed Description],LineItemTableAll[[#This Row],[Detailed Description]],MCI_2023_2025IA[Total Cost (2025)])</f>
        <v>0</v>
      </c>
      <c r="Y19" s="157">
        <f>SUMIF(MCI_2025COL[Detailed Description],LineItemTableAll[[#This Row],[Detailed Description]],MCI_2025COL[Total Cost])</f>
        <v>0</v>
      </c>
      <c r="Z19" s="157">
        <f>SUM(LineItemTableAll[[#This Row],[MCI2024IC]:[MCI2022COL]])</f>
        <v>0</v>
      </c>
    </row>
    <row r="20" spans="2:26" x14ac:dyDescent="0.35">
      <c r="B20" s="168" t="s">
        <v>164</v>
      </c>
      <c r="C20" s="118">
        <f>SUMIF(Aventri_2024IC[Detailed Description],LineItemTableAll[[#This Row],[Detailed Description]],Aventri_2024IC[Total Cost])</f>
        <v>0</v>
      </c>
      <c r="D20" s="118">
        <f>SUMIF(Aventri_2023IC[Detailed Description],LineItemTableAll[[#This Row],[Detailed Description]],Aventri_2023IC[Total Cost])</f>
        <v>0</v>
      </c>
      <c r="E20" s="118">
        <f>SUMIF(Aventri_2022IC[Detailed Description],LineItemTableAll[[#This Row],[Detailed Description]],Aventri_2022IC[Total Cost])</f>
        <v>0</v>
      </c>
      <c r="F20" s="118">
        <f>SUMIF(Aventri_2021_2023IA[Detailed Description],LineItemTableAll[[#This Row],[Detailed Description]],Aventri_2021_2023IA[Total Cost (2022)])</f>
        <v>0</v>
      </c>
      <c r="G20" s="118">
        <f>SUMIF(Aventri_2021_2023IA[Detailed Description],LineItemTableAll[[#This Row],[Detailed Description]],Aventri_2021_2023IA[Total Cost (2023)])</f>
        <v>0</v>
      </c>
      <c r="H20" s="118">
        <f>SUMIF(Aventri_2021_2023IA[Detailed Description],LineItemTableAll[[#This Row],[Detailed Description]],Aventri_2021_2023IA[Total Cost (2024)])</f>
        <v>0</v>
      </c>
      <c r="I20" s="118">
        <f>SUMIF(Aventri_2022COL[Detailed Description],LineItemTableAll[[#This Row],[Detailed Description]],Aventri_2022COL[Total Cost])</f>
        <v>0</v>
      </c>
      <c r="J20" s="118">
        <f>SUM(LineItemTableAll[[#This Row],[Aventri_2024IC]:[Aventri_2022COL]])</f>
        <v>0</v>
      </c>
      <c r="K20" s="157">
        <f>SUMIF(CompuSystems_2025IC[Detailed Description],LineItemTableAll[[#This Row],[Detailed Description]],CompuSystems_2025IC[Total Cost])</f>
        <v>0</v>
      </c>
      <c r="L20" s="157">
        <f>SUMIF(CompuSystems_2024IC[Detailed Description],LineItemTableAll[[#This Row],[Detailed Description]],CompuSystems_2024IC[Total Cost])</f>
        <v>0</v>
      </c>
      <c r="M20" s="157">
        <f>SUMIF(CompuSystems_2023IC[Detailed Description],LineItemTableAll[[#This Row],[Detailed Description]],CompuSystems_2023IC[Total Cost])</f>
        <v>0</v>
      </c>
      <c r="N20" s="157">
        <f>SUMIF(CompuSystems_2023_2025IA[Detailed Description],LineItemTableAll[[#This Row],[Detailed Description]],CompuSystems_2023_2025IA[Total Cost (2023)])</f>
        <v>0</v>
      </c>
      <c r="O20" s="157">
        <f>SUMIF(CompuSystems_2023_2025IA[Detailed Description],LineItemTableAll[[#This Row],[Detailed Description]],CompuSystems_2023_2025IA[Total Cost (2025)])</f>
        <v>0</v>
      </c>
      <c r="P20" s="157">
        <f>SUMIF(CompuSystems_2023_2025IA[Detailed Description],LineItemTableAll[[#This Row],[Detailed Description]],CompuSystems_2023_2025IA[Total Cost (2025)])</f>
        <v>0</v>
      </c>
      <c r="Q20" s="157">
        <f>SUMIF(CompuSystems_2025COL[Detailed Description],LineItemTableAll[[#This Row],[Detailed Description]],CompuSystems_2025COL[Total Cost])</f>
        <v>0</v>
      </c>
      <c r="R20" s="157">
        <f>SUM(LineItemTableAll[[#This Row],[CompuSystems2024IC]:[CompuSystems2022COL]])</f>
        <v>0</v>
      </c>
      <c r="S20" s="157">
        <f>SUMIF(MCI_2025IC[Detailed Description],LineItemTableAll[[#This Row],[Detailed Description]],MCI_2025IC[Total Cost])</f>
        <v>3750</v>
      </c>
      <c r="T20" s="157">
        <f>SUMIF(MCI_2024IC[Detailed Description],LineItemTableAll[[#This Row],[Detailed Description]],MCI_2024IC[Total Cost])</f>
        <v>3750</v>
      </c>
      <c r="U20" s="157">
        <f>SUMIF(MCI_2023IC[Detailed Description],LineItemTableAll[[#This Row],[Detailed Description]],MCI_2023IC[Total Cost])</f>
        <v>3750</v>
      </c>
      <c r="V20" s="157">
        <f>SUMIF(MCI_2023_2025IA[Detailed Description],LineItemTableAll[[#This Row],[Detailed Description]],MCI_2023_2025IA[Total Cost (2023)])</f>
        <v>0</v>
      </c>
      <c r="W20" s="157">
        <f>SUMIF(MCI_2023_2025IA[Detailed Description],LineItemTableAll[[#This Row],[Detailed Description]],MCI_2023_2025IA[Total Cost (2025)])</f>
        <v>0</v>
      </c>
      <c r="X20" s="157">
        <f>SUMIF(MCI_2023_2025IA[Detailed Description],LineItemTableAll[[#This Row],[Detailed Description]],MCI_2023_2025IA[Total Cost (2025)])</f>
        <v>0</v>
      </c>
      <c r="Y20" s="157">
        <f>SUMIF(MCI_2025COL[Detailed Description],LineItemTableAll[[#This Row],[Detailed Description]],MCI_2025COL[Total Cost])</f>
        <v>3750</v>
      </c>
      <c r="Z20" s="157">
        <f>SUM(LineItemTableAll[[#This Row],[MCI2024IC]:[MCI2022COL]])</f>
        <v>15000</v>
      </c>
    </row>
    <row r="21" spans="2:26" x14ac:dyDescent="0.35">
      <c r="B21" s="166" t="s">
        <v>215</v>
      </c>
      <c r="C21" s="118">
        <f>SUMIF(Aventri_2024IC[Detailed Description],LineItemTableAll[[#This Row],[Detailed Description]],Aventri_2024IC[Total Cost])</f>
        <v>0</v>
      </c>
      <c r="D21" s="118">
        <f>SUMIF(Aventri_2023IC[Detailed Description],LineItemTableAll[[#This Row],[Detailed Description]],Aventri_2023IC[Total Cost])</f>
        <v>0</v>
      </c>
      <c r="E21" s="118">
        <f>SUMIF(Aventri_2022IC[Detailed Description],LineItemTableAll[[#This Row],[Detailed Description]],Aventri_2022IC[Total Cost])</f>
        <v>0</v>
      </c>
      <c r="F21" s="118">
        <f>SUMIF(Aventri_2021_2023IA[Detailed Description],LineItemTableAll[[#This Row],[Detailed Description]],Aventri_2021_2023IA[Total Cost (2022)])</f>
        <v>0</v>
      </c>
      <c r="G21" s="118">
        <f>SUMIF(Aventri_2021_2023IA[Detailed Description],LineItemTableAll[[#This Row],[Detailed Description]],Aventri_2021_2023IA[Total Cost (2023)])</f>
        <v>0</v>
      </c>
      <c r="H21" s="118">
        <f>SUMIF(Aventri_2021_2023IA[Detailed Description],LineItemTableAll[[#This Row],[Detailed Description]],Aventri_2021_2023IA[Total Cost (2024)])</f>
        <v>0</v>
      </c>
      <c r="I21" s="118">
        <f>SUMIF(Aventri_2022COL[Detailed Description],LineItemTableAll[[#This Row],[Detailed Description]],Aventri_2022COL[Total Cost])</f>
        <v>0</v>
      </c>
      <c r="J21" s="118">
        <f>SUM(LineItemTableAll[[#This Row],[Aventri_2024IC]:[Aventri_2022COL]])</f>
        <v>0</v>
      </c>
      <c r="K21" s="157">
        <f>SUMIF(CompuSystems_2025IC[Detailed Description],LineItemTableAll[[#This Row],[Detailed Description]],CompuSystems_2025IC[Total Cost])</f>
        <v>705</v>
      </c>
      <c r="L21" s="157">
        <f>SUMIF(CompuSystems_2024IC[Detailed Description],LineItemTableAll[[#This Row],[Detailed Description]],CompuSystems_2024IC[Total Cost])</f>
        <v>705</v>
      </c>
      <c r="M21" s="157">
        <f>SUMIF(CompuSystems_2023IC[Detailed Description],LineItemTableAll[[#This Row],[Detailed Description]],CompuSystems_2023IC[Total Cost])</f>
        <v>705</v>
      </c>
      <c r="N21" s="157">
        <f>SUMIF(CompuSystems_2023_2025IA[Detailed Description],LineItemTableAll[[#This Row],[Detailed Description]],CompuSystems_2023_2025IA[Total Cost (2023)])</f>
        <v>470</v>
      </c>
      <c r="O21" s="157">
        <f>SUMIF(CompuSystems_2023_2025IA[Detailed Description],LineItemTableAll[[#This Row],[Detailed Description]],CompuSystems_2023_2025IA[Total Cost (2025)])</f>
        <v>470</v>
      </c>
      <c r="P21" s="157">
        <f>SUMIF(CompuSystems_2023_2025IA[Detailed Description],LineItemTableAll[[#This Row],[Detailed Description]],CompuSystems_2023_2025IA[Total Cost (2025)])</f>
        <v>470</v>
      </c>
      <c r="Q21" s="157">
        <f>SUMIF(CompuSystems_2025COL[Detailed Description],LineItemTableAll[[#This Row],[Detailed Description]],CompuSystems_2025COL[Total Cost])</f>
        <v>0</v>
      </c>
      <c r="R21" s="157">
        <f>SUM(LineItemTableAll[[#This Row],[CompuSystems2024IC]:[CompuSystems2022COL]])</f>
        <v>3525</v>
      </c>
      <c r="S21" s="157">
        <f>SUMIF(MCI_2025IC[Detailed Description],LineItemTableAll[[#This Row],[Detailed Description]],MCI_2025IC[Total Cost])</f>
        <v>0</v>
      </c>
      <c r="T21" s="157">
        <f>SUMIF(MCI_2024IC[Detailed Description],LineItemTableAll[[#This Row],[Detailed Description]],MCI_2024IC[Total Cost])</f>
        <v>0</v>
      </c>
      <c r="U21" s="157">
        <f>SUMIF(MCI_2023IC[Detailed Description],LineItemTableAll[[#This Row],[Detailed Description]],MCI_2023IC[Total Cost])</f>
        <v>0</v>
      </c>
      <c r="V21" s="157">
        <f>SUMIF(MCI_2023_2025IA[Detailed Description],LineItemTableAll[[#This Row],[Detailed Description]],MCI_2023_2025IA[Total Cost (2023)])</f>
        <v>0</v>
      </c>
      <c r="W21" s="157">
        <f>SUMIF(MCI_2023_2025IA[Detailed Description],LineItemTableAll[[#This Row],[Detailed Description]],MCI_2023_2025IA[Total Cost (2025)])</f>
        <v>0</v>
      </c>
      <c r="X21" s="157">
        <f>SUMIF(MCI_2023_2025IA[Detailed Description],LineItemTableAll[[#This Row],[Detailed Description]],MCI_2023_2025IA[Total Cost (2025)])</f>
        <v>0</v>
      </c>
      <c r="Y21" s="157">
        <f>SUMIF(MCI_2025COL[Detailed Description],LineItemTableAll[[#This Row],[Detailed Description]],MCI_2025COL[Total Cost])</f>
        <v>0</v>
      </c>
      <c r="Z21" s="157">
        <f>SUM(LineItemTableAll[[#This Row],[MCI2024IC]:[MCI2022COL]])</f>
        <v>0</v>
      </c>
    </row>
    <row r="22" spans="2:26" x14ac:dyDescent="0.35">
      <c r="B22" s="166" t="s">
        <v>216</v>
      </c>
      <c r="C22" s="118">
        <f>SUMIF(Aventri_2024IC[Detailed Description],LineItemTableAll[[#This Row],[Detailed Description]],Aventri_2024IC[Total Cost])</f>
        <v>3780</v>
      </c>
      <c r="D22" s="118">
        <f>SUMIF(Aventri_2023IC[Detailed Description],LineItemTableAll[[#This Row],[Detailed Description]],Aventri_2023IC[Total Cost])</f>
        <v>4320</v>
      </c>
      <c r="E22" s="118">
        <f>SUMIF(Aventri_2022IC[Detailed Description],LineItemTableAll[[#This Row],[Detailed Description]],Aventri_2022IC[Total Cost])</f>
        <v>4389</v>
      </c>
      <c r="F22" s="118">
        <f>SUMIF(Aventri_2021_2023IA[Detailed Description],LineItemTableAll[[#This Row],[Detailed Description]],Aventri_2021_2023IA[Total Cost (2022)])</f>
        <v>4122.08</v>
      </c>
      <c r="G22" s="118">
        <f>SUMIF(Aventri_2021_2023IA[Detailed Description],LineItemTableAll[[#This Row],[Detailed Description]],Aventri_2021_2023IA[Total Cost (2023)])</f>
        <v>4302.08</v>
      </c>
      <c r="H22" s="118">
        <f>SUMIF(Aventri_2021_2023IA[Detailed Description],LineItemTableAll[[#This Row],[Detailed Description]],Aventri_2021_2023IA[Total Cost (2024)])</f>
        <v>4302.08</v>
      </c>
      <c r="I22" s="118">
        <f>SUMIF(Aventri_2022COL[Detailed Description],LineItemTableAll[[#This Row],[Detailed Description]],Aventri_2022COL[Total Cost])</f>
        <v>444.16</v>
      </c>
      <c r="J22" s="118">
        <f>SUM(LineItemTableAll[[#This Row],[Aventri_2024IC]:[Aventri_2022COL]])</f>
        <v>25659.400000000005</v>
      </c>
      <c r="K22" s="157">
        <f>SUMIF(CompuSystems_2025IC[Detailed Description],LineItemTableAll[[#This Row],[Detailed Description]],CompuSystems_2025IC[Total Cost])</f>
        <v>3780</v>
      </c>
      <c r="L22" s="157">
        <f>SUMIF(CompuSystems_2024IC[Detailed Description],LineItemTableAll[[#This Row],[Detailed Description]],CompuSystems_2024IC[Total Cost])</f>
        <v>4320</v>
      </c>
      <c r="M22" s="157">
        <f>SUMIF(CompuSystems_2023IC[Detailed Description],LineItemTableAll[[#This Row],[Detailed Description]],CompuSystems_2023IC[Total Cost])</f>
        <v>4389</v>
      </c>
      <c r="N22" s="157">
        <f>SUMIF(CompuSystems_2023_2025IA[Detailed Description],LineItemTableAll[[#This Row],[Detailed Description]],CompuSystems_2023_2025IA[Total Cost (2023)])</f>
        <v>4122.08</v>
      </c>
      <c r="O22" s="157">
        <f>SUMIF(CompuSystems_2023_2025IA[Detailed Description],LineItemTableAll[[#This Row],[Detailed Description]],CompuSystems_2023_2025IA[Total Cost (2025)])</f>
        <v>4302.08</v>
      </c>
      <c r="P22" s="157">
        <f>SUMIF(CompuSystems_2023_2025IA[Detailed Description],LineItemTableAll[[#This Row],[Detailed Description]],CompuSystems_2023_2025IA[Total Cost (2025)])</f>
        <v>4302.08</v>
      </c>
      <c r="Q22" s="157">
        <f>SUMIF(CompuSystems_2025COL[Detailed Description],LineItemTableAll[[#This Row],[Detailed Description]],CompuSystems_2025COL[Total Cost])</f>
        <v>444.16</v>
      </c>
      <c r="R22" s="157">
        <f>SUM(LineItemTableAll[[#This Row],[CompuSystems2024IC]:[CompuSystems2022COL]])</f>
        <v>25659.400000000005</v>
      </c>
      <c r="S22" s="157">
        <f>SUMIF(MCI_2025IC[Detailed Description],LineItemTableAll[[#This Row],[Detailed Description]],MCI_2025IC[Total Cost])</f>
        <v>3780</v>
      </c>
      <c r="T22" s="157">
        <f>SUMIF(MCI_2024IC[Detailed Description],LineItemTableAll[[#This Row],[Detailed Description]],MCI_2024IC[Total Cost])</f>
        <v>4320</v>
      </c>
      <c r="U22" s="157">
        <f>SUMIF(MCI_2023IC[Detailed Description],LineItemTableAll[[#This Row],[Detailed Description]],MCI_2023IC[Total Cost])</f>
        <v>4389</v>
      </c>
      <c r="V22" s="157">
        <f>SUMIF(MCI_2023_2025IA[Detailed Description],LineItemTableAll[[#This Row],[Detailed Description]],MCI_2023_2025IA[Total Cost (2023)])</f>
        <v>4122.08</v>
      </c>
      <c r="W22" s="157">
        <f>SUMIF(MCI_2023_2025IA[Detailed Description],LineItemTableAll[[#This Row],[Detailed Description]],MCI_2023_2025IA[Total Cost (2025)])</f>
        <v>4302.08</v>
      </c>
      <c r="X22" s="157">
        <f>SUMIF(MCI_2023_2025IA[Detailed Description],LineItemTableAll[[#This Row],[Detailed Description]],MCI_2023_2025IA[Total Cost (2025)])</f>
        <v>4302.08</v>
      </c>
      <c r="Y22" s="157">
        <f>SUMIF(MCI_2025COL[Detailed Description],LineItemTableAll[[#This Row],[Detailed Description]],MCI_2025COL[Total Cost])</f>
        <v>444.16</v>
      </c>
      <c r="Z22" s="157">
        <f>SUM(LineItemTableAll[[#This Row],[MCI2024IC]:[MCI2022COL]])</f>
        <v>25659.400000000005</v>
      </c>
    </row>
    <row r="23" spans="2:26" x14ac:dyDescent="0.35">
      <c r="B23" s="167" t="s">
        <v>171</v>
      </c>
      <c r="C23" s="118">
        <f>SUMIF(Aventri_2024IC[Detailed Description],LineItemTableAll[[#This Row],[Detailed Description]],Aventri_2024IC[Total Cost])</f>
        <v>5250</v>
      </c>
      <c r="D23" s="118">
        <f>SUMIF(Aventri_2023IC[Detailed Description],LineItemTableAll[[#This Row],[Detailed Description]],Aventri_2023IC[Total Cost])</f>
        <v>5250</v>
      </c>
      <c r="E23" s="118">
        <f>SUMIF(Aventri_2022IC[Detailed Description],LineItemTableAll[[#This Row],[Detailed Description]],Aventri_2022IC[Total Cost])</f>
        <v>5250</v>
      </c>
      <c r="F23" s="118">
        <f>SUMIF(Aventri_2021_2023IA[Detailed Description],LineItemTableAll[[#This Row],[Detailed Description]],Aventri_2021_2023IA[Total Cost (2022)])</f>
        <v>375</v>
      </c>
      <c r="G23" s="118">
        <f>SUMIF(Aventri_2021_2023IA[Detailed Description],LineItemTableAll[[#This Row],[Detailed Description]],Aventri_2021_2023IA[Total Cost (2023)])</f>
        <v>375</v>
      </c>
      <c r="H23" s="118">
        <f>SUMIF(Aventri_2021_2023IA[Detailed Description],LineItemTableAll[[#This Row],[Detailed Description]],Aventri_2021_2023IA[Total Cost (2024)])</f>
        <v>375</v>
      </c>
      <c r="I23" s="118">
        <f>SUMIF(Aventri_2022COL[Detailed Description],LineItemTableAll[[#This Row],[Detailed Description]],Aventri_2022COL[Total Cost])</f>
        <v>375</v>
      </c>
      <c r="J23" s="118">
        <f>SUM(LineItemTableAll[[#This Row],[Aventri_2024IC]:[Aventri_2022COL]])</f>
        <v>17250</v>
      </c>
      <c r="K23" s="157">
        <f>SUMIF(CompuSystems_2025IC[Detailed Description],LineItemTableAll[[#This Row],[Detailed Description]],CompuSystems_2025IC[Total Cost])</f>
        <v>18000</v>
      </c>
      <c r="L23" s="157">
        <f>SUMIF(CompuSystems_2024IC[Detailed Description],LineItemTableAll[[#This Row],[Detailed Description]],CompuSystems_2024IC[Total Cost])</f>
        <v>10500</v>
      </c>
      <c r="M23" s="157">
        <f>SUMIF(CompuSystems_2023IC[Detailed Description],LineItemTableAll[[#This Row],[Detailed Description]],CompuSystems_2023IC[Total Cost])</f>
        <v>10500</v>
      </c>
      <c r="N23" s="157">
        <f>SUMIF(CompuSystems_2023_2025IA[Detailed Description],LineItemTableAll[[#This Row],[Detailed Description]],CompuSystems_2023_2025IA[Total Cost (2023)])</f>
        <v>750</v>
      </c>
      <c r="O23" s="157">
        <f>SUMIF(CompuSystems_2023_2025IA[Detailed Description],LineItemTableAll[[#This Row],[Detailed Description]],CompuSystems_2023_2025IA[Total Cost (2025)])</f>
        <v>750</v>
      </c>
      <c r="P23" s="157">
        <f>SUMIF(CompuSystems_2023_2025IA[Detailed Description],LineItemTableAll[[#This Row],[Detailed Description]],CompuSystems_2023_2025IA[Total Cost (2025)])</f>
        <v>750</v>
      </c>
      <c r="Q23" s="157">
        <f>SUMIF(CompuSystems_2025COL[Detailed Description],LineItemTableAll[[#This Row],[Detailed Description]],CompuSystems_2025COL[Total Cost])</f>
        <v>750</v>
      </c>
      <c r="R23" s="157">
        <f>SUM(LineItemTableAll[[#This Row],[CompuSystems2024IC]:[CompuSystems2022COL]])</f>
        <v>42000</v>
      </c>
      <c r="S23" s="157">
        <f>SUMIF(MCI_2025IC[Detailed Description],LineItemTableAll[[#This Row],[Detailed Description]],MCI_2025IC[Total Cost])</f>
        <v>8000</v>
      </c>
      <c r="T23" s="157">
        <f>SUMIF(MCI_2024IC[Detailed Description],LineItemTableAll[[#This Row],[Detailed Description]],MCI_2024IC[Total Cost])</f>
        <v>9000</v>
      </c>
      <c r="U23" s="157">
        <f>SUMIF(MCI_2023IC[Detailed Description],LineItemTableAll[[#This Row],[Detailed Description]],MCI_2023IC[Total Cost])</f>
        <v>7000</v>
      </c>
      <c r="V23" s="157">
        <f>SUMIF(MCI_2023_2025IA[Detailed Description],LineItemTableAll[[#This Row],[Detailed Description]],MCI_2023_2025IA[Total Cost (2023)])</f>
        <v>600</v>
      </c>
      <c r="W23" s="157">
        <f>SUMIF(MCI_2023_2025IA[Detailed Description],LineItemTableAll[[#This Row],[Detailed Description]],MCI_2023_2025IA[Total Cost (2025)])</f>
        <v>600</v>
      </c>
      <c r="X23" s="157">
        <f>SUMIF(MCI_2023_2025IA[Detailed Description],LineItemTableAll[[#This Row],[Detailed Description]],MCI_2023_2025IA[Total Cost (2025)])</f>
        <v>600</v>
      </c>
      <c r="Y23" s="157">
        <f>SUMIF(MCI_2025COL[Detailed Description],LineItemTableAll[[#This Row],[Detailed Description]],MCI_2025COL[Total Cost])</f>
        <v>500</v>
      </c>
      <c r="Z23" s="157">
        <f>SUM(LineItemTableAll[[#This Row],[MCI2024IC]:[MCI2022COL]])</f>
        <v>26300</v>
      </c>
    </row>
    <row r="24" spans="2:26" x14ac:dyDescent="0.35">
      <c r="B24" s="167" t="s">
        <v>320</v>
      </c>
      <c r="C24" s="118">
        <f>SUMIF(Aventri_2024IC[Detailed Description],LineItemTableAll[[#This Row],[Detailed Description]],Aventri_2024IC[Total Cost])</f>
        <v>75</v>
      </c>
      <c r="D24" s="118">
        <f>SUMIF(Aventri_2023IC[Detailed Description],LineItemTableAll[[#This Row],[Detailed Description]],Aventri_2023IC[Total Cost])</f>
        <v>75</v>
      </c>
      <c r="E24" s="118">
        <f>SUMIF(Aventri_2022IC[Detailed Description],LineItemTableAll[[#This Row],[Detailed Description]],Aventri_2022IC[Total Cost])</f>
        <v>75</v>
      </c>
      <c r="F24" s="118">
        <f>SUMIF(Aventri_2021_2023IA[Detailed Description],LineItemTableAll[[#This Row],[Detailed Description]],Aventri_2021_2023IA[Total Cost (2022)])</f>
        <v>75</v>
      </c>
      <c r="G24" s="118">
        <f>SUMIF(Aventri_2021_2023IA[Detailed Description],LineItemTableAll[[#This Row],[Detailed Description]],Aventri_2021_2023IA[Total Cost (2023)])</f>
        <v>75</v>
      </c>
      <c r="H24" s="118">
        <f>SUMIF(Aventri_2021_2023IA[Detailed Description],LineItemTableAll[[#This Row],[Detailed Description]],Aventri_2021_2023IA[Total Cost (2024)])</f>
        <v>75</v>
      </c>
      <c r="I24" s="118">
        <f>SUMIF(Aventri_2022COL[Detailed Description],LineItemTableAll[[#This Row],[Detailed Description]],Aventri_2022COL[Total Cost])</f>
        <v>75</v>
      </c>
      <c r="J24" s="118">
        <f>SUM(LineItemTableAll[[#This Row],[Aventri_2024IC]:[Aventri_2022COL]])</f>
        <v>525</v>
      </c>
      <c r="K24" s="157">
        <f>SUMIF(CompuSystems_2025IC[Detailed Description],LineItemTableAll[[#This Row],[Detailed Description]],CompuSystems_2025IC[Total Cost])</f>
        <v>0</v>
      </c>
      <c r="L24" s="157">
        <f>SUMIF(CompuSystems_2024IC[Detailed Description],LineItemTableAll[[#This Row],[Detailed Description]],CompuSystems_2024IC[Total Cost])</f>
        <v>0</v>
      </c>
      <c r="M24" s="157">
        <f>SUMIF(CompuSystems_2023IC[Detailed Description],LineItemTableAll[[#This Row],[Detailed Description]],CompuSystems_2023IC[Total Cost])</f>
        <v>0</v>
      </c>
      <c r="N24" s="157">
        <f>SUMIF(CompuSystems_2023_2025IA[Detailed Description],LineItemTableAll[[#This Row],[Detailed Description]],CompuSystems_2023_2025IA[Total Cost (2023)])</f>
        <v>0</v>
      </c>
      <c r="O24" s="157">
        <f>SUMIF(CompuSystems_2023_2025IA[Detailed Description],LineItemTableAll[[#This Row],[Detailed Description]],CompuSystems_2023_2025IA[Total Cost (2025)])</f>
        <v>0</v>
      </c>
      <c r="P24" s="157">
        <f>SUMIF(CompuSystems_2023_2025IA[Detailed Description],LineItemTableAll[[#This Row],[Detailed Description]],CompuSystems_2023_2025IA[Total Cost (2025)])</f>
        <v>0</v>
      </c>
      <c r="Q24" s="157">
        <f>SUMIF(CompuSystems_2025COL[Detailed Description],LineItemTableAll[[#This Row],[Detailed Description]],CompuSystems_2025COL[Total Cost])</f>
        <v>0</v>
      </c>
      <c r="R24" s="157">
        <f>SUM(LineItemTableAll[[#This Row],[CompuSystems2024IC]:[CompuSystems2022COL]])</f>
        <v>0</v>
      </c>
      <c r="S24" s="157">
        <f>SUMIF(MCI_2025IC[Detailed Description],LineItemTableAll[[#This Row],[Detailed Description]],MCI_2025IC[Total Cost])</f>
        <v>0</v>
      </c>
      <c r="T24" s="157">
        <f>SUMIF(MCI_2024IC[Detailed Description],LineItemTableAll[[#This Row],[Detailed Description]],MCI_2024IC[Total Cost])</f>
        <v>0</v>
      </c>
      <c r="U24" s="157">
        <f>SUMIF(MCI_2023IC[Detailed Description],LineItemTableAll[[#This Row],[Detailed Description]],MCI_2023IC[Total Cost])</f>
        <v>0</v>
      </c>
      <c r="V24" s="157">
        <f>SUMIF(MCI_2023_2025IA[Detailed Description],LineItemTableAll[[#This Row],[Detailed Description]],MCI_2023_2025IA[Total Cost (2023)])</f>
        <v>0</v>
      </c>
      <c r="W24" s="157">
        <f>SUMIF(MCI_2023_2025IA[Detailed Description],LineItemTableAll[[#This Row],[Detailed Description]],MCI_2023_2025IA[Total Cost (2025)])</f>
        <v>0</v>
      </c>
      <c r="X24" s="157">
        <f>SUMIF(MCI_2023_2025IA[Detailed Description],LineItemTableAll[[#This Row],[Detailed Description]],MCI_2023_2025IA[Total Cost (2025)])</f>
        <v>0</v>
      </c>
      <c r="Y24" s="157">
        <f>SUMIF(MCI_2025COL[Detailed Description],LineItemTableAll[[#This Row],[Detailed Description]],MCI_2025COL[Total Cost])</f>
        <v>0</v>
      </c>
      <c r="Z24" s="157">
        <f>SUM(LineItemTableAll[[#This Row],[MCI2024IC]:[MCI2022COL]])</f>
        <v>0</v>
      </c>
    </row>
    <row r="25" spans="2:26" x14ac:dyDescent="0.35">
      <c r="B25" s="166" t="s">
        <v>179</v>
      </c>
      <c r="C25" s="118">
        <f>SUMIF(Aventri_2024IC[Detailed Description],LineItemTableAll[[#This Row],[Detailed Description]],Aventri_2024IC[Total Cost])</f>
        <v>0</v>
      </c>
      <c r="D25" s="118">
        <f>SUMIF(Aventri_2023IC[Detailed Description],LineItemTableAll[[#This Row],[Detailed Description]],Aventri_2023IC[Total Cost])</f>
        <v>0</v>
      </c>
      <c r="E25" s="118">
        <f>SUMIF(Aventri_2022IC[Detailed Description],LineItemTableAll[[#This Row],[Detailed Description]],Aventri_2022IC[Total Cost])</f>
        <v>0</v>
      </c>
      <c r="F25" s="118">
        <f>SUMIF(Aventri_2021_2023IA[Detailed Description],LineItemTableAll[[#This Row],[Detailed Description]],Aventri_2021_2023IA[Total Cost (2022)])</f>
        <v>0</v>
      </c>
      <c r="G25" s="118">
        <f>SUMIF(Aventri_2021_2023IA[Detailed Description],LineItemTableAll[[#This Row],[Detailed Description]],Aventri_2021_2023IA[Total Cost (2023)])</f>
        <v>0</v>
      </c>
      <c r="H25" s="118">
        <f>SUMIF(Aventri_2021_2023IA[Detailed Description],LineItemTableAll[[#This Row],[Detailed Description]],Aventri_2021_2023IA[Total Cost (2024)])</f>
        <v>0</v>
      </c>
      <c r="I25" s="118">
        <f>SUMIF(Aventri_2022COL[Detailed Description],LineItemTableAll[[#This Row],[Detailed Description]],Aventri_2022COL[Total Cost])</f>
        <v>0</v>
      </c>
      <c r="J25" s="118">
        <f>SUM(LineItemTableAll[[#This Row],[Aventri_2024IC]:[Aventri_2022COL]])</f>
        <v>0</v>
      </c>
      <c r="K25" s="157">
        <f>SUMIF(CompuSystems_2025IC[Detailed Description],LineItemTableAll[[#This Row],[Detailed Description]],CompuSystems_2025IC[Total Cost])</f>
        <v>0</v>
      </c>
      <c r="L25" s="157">
        <f>SUMIF(CompuSystems_2024IC[Detailed Description],LineItemTableAll[[#This Row],[Detailed Description]],CompuSystems_2024IC[Total Cost])</f>
        <v>0</v>
      </c>
      <c r="M25" s="157">
        <f>SUMIF(CompuSystems_2023IC[Detailed Description],LineItemTableAll[[#This Row],[Detailed Description]],CompuSystems_2023IC[Total Cost])</f>
        <v>0</v>
      </c>
      <c r="N25" s="157">
        <f>SUMIF(CompuSystems_2023_2025IA[Detailed Description],LineItemTableAll[[#This Row],[Detailed Description]],CompuSystems_2023_2025IA[Total Cost (2023)])</f>
        <v>0</v>
      </c>
      <c r="O25" s="157">
        <f>SUMIF(CompuSystems_2023_2025IA[Detailed Description],LineItemTableAll[[#This Row],[Detailed Description]],CompuSystems_2023_2025IA[Total Cost (2025)])</f>
        <v>0</v>
      </c>
      <c r="P25" s="157">
        <f>SUMIF(CompuSystems_2023_2025IA[Detailed Description],LineItemTableAll[[#This Row],[Detailed Description]],CompuSystems_2023_2025IA[Total Cost (2025)])</f>
        <v>0</v>
      </c>
      <c r="Q25" s="157">
        <f>SUMIF(CompuSystems_2025COL[Detailed Description],LineItemTableAll[[#This Row],[Detailed Description]],CompuSystems_2025COL[Total Cost])</f>
        <v>0</v>
      </c>
      <c r="R25" s="157">
        <f>SUM(LineItemTableAll[[#This Row],[CompuSystems2024IC]:[CompuSystems2022COL]])</f>
        <v>0</v>
      </c>
      <c r="S25" s="157">
        <f>SUMIF(MCI_2025IC[Detailed Description],LineItemTableAll[[#This Row],[Detailed Description]],MCI_2025IC[Total Cost])</f>
        <v>0</v>
      </c>
      <c r="T25" s="157">
        <f>SUMIF(MCI_2024IC[Detailed Description],LineItemTableAll[[#This Row],[Detailed Description]],MCI_2024IC[Total Cost])</f>
        <v>0</v>
      </c>
      <c r="U25" s="157">
        <f>SUMIF(MCI_2023IC[Detailed Description],LineItemTableAll[[#This Row],[Detailed Description]],MCI_2023IC[Total Cost])</f>
        <v>0</v>
      </c>
      <c r="V25" s="157">
        <f>SUMIF(MCI_2023_2025IA[Detailed Description],LineItemTableAll[[#This Row],[Detailed Description]],MCI_2023_2025IA[Total Cost (2023)])</f>
        <v>0</v>
      </c>
      <c r="W25" s="157">
        <f>SUMIF(MCI_2023_2025IA[Detailed Description],LineItemTableAll[[#This Row],[Detailed Description]],MCI_2023_2025IA[Total Cost (2025)])</f>
        <v>0</v>
      </c>
      <c r="X25" s="157">
        <f>SUMIF(MCI_2023_2025IA[Detailed Description],LineItemTableAll[[#This Row],[Detailed Description]],MCI_2023_2025IA[Total Cost (2025)])</f>
        <v>0</v>
      </c>
      <c r="Y25" s="157">
        <f>SUMIF(MCI_2025COL[Detailed Description],LineItemTableAll[[#This Row],[Detailed Description]],MCI_2025COL[Total Cost])</f>
        <v>0</v>
      </c>
      <c r="Z25" s="157">
        <f>SUM(LineItemTableAll[[#This Row],[MCI2024IC]:[MCI2022COL]])</f>
        <v>0</v>
      </c>
    </row>
    <row r="26" spans="2:26" x14ac:dyDescent="0.35">
      <c r="B26" s="166" t="s">
        <v>181</v>
      </c>
      <c r="C26" s="118">
        <f>SUMIF(Aventri_2024IC[Detailed Description],LineItemTableAll[[#This Row],[Detailed Description]],Aventri_2024IC[Total Cost])</f>
        <v>0</v>
      </c>
      <c r="D26" s="118">
        <f>SUMIF(Aventri_2023IC[Detailed Description],LineItemTableAll[[#This Row],[Detailed Description]],Aventri_2023IC[Total Cost])</f>
        <v>0</v>
      </c>
      <c r="E26" s="118">
        <f>SUMIF(Aventri_2022IC[Detailed Description],LineItemTableAll[[#This Row],[Detailed Description]],Aventri_2022IC[Total Cost])</f>
        <v>0</v>
      </c>
      <c r="F26" s="118">
        <f>SUMIF(Aventri_2021_2023IA[Detailed Description],LineItemTableAll[[#This Row],[Detailed Description]],Aventri_2021_2023IA[Total Cost (2022)])</f>
        <v>0</v>
      </c>
      <c r="G26" s="118">
        <f>SUMIF(Aventri_2021_2023IA[Detailed Description],LineItemTableAll[[#This Row],[Detailed Description]],Aventri_2021_2023IA[Total Cost (2023)])</f>
        <v>0</v>
      </c>
      <c r="H26" s="118">
        <f>SUMIF(Aventri_2021_2023IA[Detailed Description],LineItemTableAll[[#This Row],[Detailed Description]],Aventri_2021_2023IA[Total Cost (2024)])</f>
        <v>0</v>
      </c>
      <c r="I26" s="118">
        <f>SUMIF(Aventri_2022COL[Detailed Description],LineItemTableAll[[#This Row],[Detailed Description]],Aventri_2022COL[Total Cost])</f>
        <v>0</v>
      </c>
      <c r="J26" s="118">
        <f>SUM(LineItemTableAll[[#This Row],[Aventri_2024IC]:[Aventri_2022COL]])</f>
        <v>0</v>
      </c>
      <c r="K26" s="157">
        <f>SUMIF(CompuSystems_2025IC[Detailed Description],LineItemTableAll[[#This Row],[Detailed Description]],CompuSystems_2025IC[Total Cost])</f>
        <v>10000</v>
      </c>
      <c r="L26" s="157">
        <f>SUMIF(CompuSystems_2024IC[Detailed Description],LineItemTableAll[[#This Row],[Detailed Description]],CompuSystems_2024IC[Total Cost])</f>
        <v>10000</v>
      </c>
      <c r="M26" s="157">
        <f>SUMIF(CompuSystems_2023IC[Detailed Description],LineItemTableAll[[#This Row],[Detailed Description]],CompuSystems_2023IC[Total Cost])</f>
        <v>10000</v>
      </c>
      <c r="N26" s="157">
        <f>SUMIF(CompuSystems_2023_2025IA[Detailed Description],LineItemTableAll[[#This Row],[Detailed Description]],CompuSystems_2023_2025IA[Total Cost (2023)])</f>
        <v>0</v>
      </c>
      <c r="O26" s="157">
        <f>SUMIF(CompuSystems_2023_2025IA[Detailed Description],LineItemTableAll[[#This Row],[Detailed Description]],CompuSystems_2023_2025IA[Total Cost (2025)])</f>
        <v>0</v>
      </c>
      <c r="P26" s="157">
        <f>SUMIF(CompuSystems_2023_2025IA[Detailed Description],LineItemTableAll[[#This Row],[Detailed Description]],CompuSystems_2023_2025IA[Total Cost (2025)])</f>
        <v>0</v>
      </c>
      <c r="Q26" s="157">
        <f>SUMIF(CompuSystems_2025COL[Detailed Description],LineItemTableAll[[#This Row],[Detailed Description]],CompuSystems_2025COL[Total Cost])</f>
        <v>0</v>
      </c>
      <c r="R26" s="157">
        <f>SUM(LineItemTableAll[[#This Row],[CompuSystems2024IC]:[CompuSystems2022COL]])</f>
        <v>30000</v>
      </c>
      <c r="S26" s="157">
        <f>SUMIF(MCI_2025IC[Detailed Description],LineItemTableAll[[#This Row],[Detailed Description]],MCI_2025IC[Total Cost])</f>
        <v>0</v>
      </c>
      <c r="T26" s="157">
        <f>SUMIF(MCI_2024IC[Detailed Description],LineItemTableAll[[#This Row],[Detailed Description]],MCI_2024IC[Total Cost])</f>
        <v>0</v>
      </c>
      <c r="U26" s="157">
        <f>SUMIF(MCI_2023IC[Detailed Description],LineItemTableAll[[#This Row],[Detailed Description]],MCI_2023IC[Total Cost])</f>
        <v>0</v>
      </c>
      <c r="V26" s="157">
        <f>SUMIF(MCI_2023_2025IA[Detailed Description],LineItemTableAll[[#This Row],[Detailed Description]],MCI_2023_2025IA[Total Cost (2023)])</f>
        <v>0</v>
      </c>
      <c r="W26" s="157">
        <f>SUMIF(MCI_2023_2025IA[Detailed Description],LineItemTableAll[[#This Row],[Detailed Description]],MCI_2023_2025IA[Total Cost (2025)])</f>
        <v>0</v>
      </c>
      <c r="X26" s="157">
        <f>SUMIF(MCI_2023_2025IA[Detailed Description],LineItemTableAll[[#This Row],[Detailed Description]],MCI_2023_2025IA[Total Cost (2025)])</f>
        <v>0</v>
      </c>
      <c r="Y26" s="157">
        <f>SUMIF(MCI_2025COL[Detailed Description],LineItemTableAll[[#This Row],[Detailed Description]],MCI_2025COL[Total Cost])</f>
        <v>0</v>
      </c>
      <c r="Z26" s="157">
        <f>SUM(LineItemTableAll[[#This Row],[MCI2024IC]:[MCI2022COL]])</f>
        <v>0</v>
      </c>
    </row>
    <row r="27" spans="2:26" x14ac:dyDescent="0.35">
      <c r="B27" s="168" t="s">
        <v>166</v>
      </c>
      <c r="C27" s="118">
        <f>SUMIF(Aventri_2024IC[Detailed Description],LineItemTableAll[[#This Row],[Detailed Description]],Aventri_2024IC[Total Cost])</f>
        <v>0</v>
      </c>
      <c r="D27" s="118">
        <f>SUMIF(Aventri_2023IC[Detailed Description],LineItemTableAll[[#This Row],[Detailed Description]],Aventri_2023IC[Total Cost])</f>
        <v>0</v>
      </c>
      <c r="E27" s="118">
        <f>SUMIF(Aventri_2022IC[Detailed Description],LineItemTableAll[[#This Row],[Detailed Description]],Aventri_2022IC[Total Cost])</f>
        <v>0</v>
      </c>
      <c r="F27" s="118">
        <f>SUMIF(Aventri_2021_2023IA[Detailed Description],LineItemTableAll[[#This Row],[Detailed Description]],Aventri_2021_2023IA[Total Cost (2022)])</f>
        <v>0</v>
      </c>
      <c r="G27" s="118">
        <f>SUMIF(Aventri_2021_2023IA[Detailed Description],LineItemTableAll[[#This Row],[Detailed Description]],Aventri_2021_2023IA[Total Cost (2023)])</f>
        <v>0</v>
      </c>
      <c r="H27" s="118">
        <f>SUMIF(Aventri_2021_2023IA[Detailed Description],LineItemTableAll[[#This Row],[Detailed Description]],Aventri_2021_2023IA[Total Cost (2024)])</f>
        <v>0</v>
      </c>
      <c r="I27" s="118">
        <f>SUMIF(Aventri_2022COL[Detailed Description],LineItemTableAll[[#This Row],[Detailed Description]],Aventri_2022COL[Total Cost])</f>
        <v>0</v>
      </c>
      <c r="J27" s="118">
        <f>SUM(LineItemTableAll[[#This Row],[Aventri_2024IC]:[Aventri_2022COL]])</f>
        <v>0</v>
      </c>
      <c r="K27" s="157">
        <f>SUMIF(CompuSystems_2025IC[Detailed Description],LineItemTableAll[[#This Row],[Detailed Description]],CompuSystems_2025IC[Total Cost])</f>
        <v>0</v>
      </c>
      <c r="L27" s="157">
        <f>SUMIF(CompuSystems_2024IC[Detailed Description],LineItemTableAll[[#This Row],[Detailed Description]],CompuSystems_2024IC[Total Cost])</f>
        <v>0</v>
      </c>
      <c r="M27" s="157">
        <f>SUMIF(CompuSystems_2023IC[Detailed Description],LineItemTableAll[[#This Row],[Detailed Description]],CompuSystems_2023IC[Total Cost])</f>
        <v>0</v>
      </c>
      <c r="N27" s="157">
        <f>SUMIF(CompuSystems_2023_2025IA[Detailed Description],LineItemTableAll[[#This Row],[Detailed Description]],CompuSystems_2023_2025IA[Total Cost (2023)])</f>
        <v>0</v>
      </c>
      <c r="O27" s="157">
        <f>SUMIF(CompuSystems_2023_2025IA[Detailed Description],LineItemTableAll[[#This Row],[Detailed Description]],CompuSystems_2023_2025IA[Total Cost (2025)])</f>
        <v>0</v>
      </c>
      <c r="P27" s="157">
        <f>SUMIF(CompuSystems_2023_2025IA[Detailed Description],LineItemTableAll[[#This Row],[Detailed Description]],CompuSystems_2023_2025IA[Total Cost (2025)])</f>
        <v>0</v>
      </c>
      <c r="Q27" s="157">
        <f>SUMIF(CompuSystems_2025COL[Detailed Description],LineItemTableAll[[#This Row],[Detailed Description]],CompuSystems_2025COL[Total Cost])</f>
        <v>0</v>
      </c>
      <c r="R27" s="157">
        <f>SUM(LineItemTableAll[[#This Row],[CompuSystems2024IC]:[CompuSystems2022COL]])</f>
        <v>0</v>
      </c>
      <c r="S27" s="157">
        <f>SUMIF(MCI_2025IC[Detailed Description],LineItemTableAll[[#This Row],[Detailed Description]],MCI_2025IC[Total Cost])</f>
        <v>6000</v>
      </c>
      <c r="T27" s="157">
        <f>SUMIF(MCI_2024IC[Detailed Description],LineItemTableAll[[#This Row],[Detailed Description]],MCI_2024IC[Total Cost])</f>
        <v>6000</v>
      </c>
      <c r="U27" s="157">
        <f>SUMIF(MCI_2023IC[Detailed Description],LineItemTableAll[[#This Row],[Detailed Description]],MCI_2023IC[Total Cost])</f>
        <v>6000</v>
      </c>
      <c r="V27" s="157">
        <f>SUMIF(MCI_2023_2025IA[Detailed Description],LineItemTableAll[[#This Row],[Detailed Description]],MCI_2023_2025IA[Total Cost (2023)])</f>
        <v>0</v>
      </c>
      <c r="W27" s="157">
        <f>SUMIF(MCI_2023_2025IA[Detailed Description],LineItemTableAll[[#This Row],[Detailed Description]],MCI_2023_2025IA[Total Cost (2025)])</f>
        <v>0</v>
      </c>
      <c r="X27" s="157">
        <f>SUMIF(MCI_2023_2025IA[Detailed Description],LineItemTableAll[[#This Row],[Detailed Description]],MCI_2023_2025IA[Total Cost (2025)])</f>
        <v>0</v>
      </c>
      <c r="Y27" s="157">
        <f>SUMIF(MCI_2025COL[Detailed Description],LineItemTableAll[[#This Row],[Detailed Description]],MCI_2025COL[Total Cost])</f>
        <v>6000</v>
      </c>
      <c r="Z27" s="157">
        <f>SUM(LineItemTableAll[[#This Row],[MCI2024IC]:[MCI2022COL]])</f>
        <v>24000</v>
      </c>
    </row>
    <row r="28" spans="2:26" x14ac:dyDescent="0.35">
      <c r="B28" s="166" t="s">
        <v>372</v>
      </c>
      <c r="C28" s="118">
        <f>SUMIF(Aventri_2024IC[Detailed Description],LineItemTableAll[[#This Row],[Detailed Description]],Aventri_2024IC[Total Cost])</f>
        <v>0</v>
      </c>
      <c r="D28" s="118">
        <f>SUMIF(Aventri_2023IC[Detailed Description],LineItemTableAll[[#This Row],[Detailed Description]],Aventri_2023IC[Total Cost])</f>
        <v>0</v>
      </c>
      <c r="E28" s="118">
        <f>SUMIF(Aventri_2022IC[Detailed Description],LineItemTableAll[[#This Row],[Detailed Description]],Aventri_2022IC[Total Cost])</f>
        <v>0</v>
      </c>
      <c r="F28" s="118">
        <f>SUMIF(Aventri_2021_2023IA[Detailed Description],LineItemTableAll[[#This Row],[Detailed Description]],Aventri_2021_2023IA[Total Cost (2022)])</f>
        <v>0</v>
      </c>
      <c r="G28" s="118">
        <f>SUMIF(Aventri_2021_2023IA[Detailed Description],LineItemTableAll[[#This Row],[Detailed Description]],Aventri_2021_2023IA[Total Cost (2023)])</f>
        <v>0</v>
      </c>
      <c r="H28" s="118">
        <f>SUMIF(Aventri_2021_2023IA[Detailed Description],LineItemTableAll[[#This Row],[Detailed Description]],Aventri_2021_2023IA[Total Cost (2024)])</f>
        <v>0</v>
      </c>
      <c r="I28" s="118">
        <f>SUMIF(Aventri_2022COL[Detailed Description],LineItemTableAll[[#This Row],[Detailed Description]],Aventri_2022COL[Total Cost])</f>
        <v>0</v>
      </c>
      <c r="J28" s="118">
        <f>SUM(LineItemTableAll[[#This Row],[Aventri_2024IC]:[Aventri_2022COL]])</f>
        <v>0</v>
      </c>
      <c r="K28" s="157">
        <f>SUMIF(CompuSystems_2025IC[Detailed Description],LineItemTableAll[[#This Row],[Detailed Description]],CompuSystems_2025IC[Total Cost])</f>
        <v>0</v>
      </c>
      <c r="L28" s="157">
        <f>SUMIF(CompuSystems_2024IC[Detailed Description],LineItemTableAll[[#This Row],[Detailed Description]],CompuSystems_2024IC[Total Cost])</f>
        <v>0</v>
      </c>
      <c r="M28" s="157">
        <f>SUMIF(CompuSystems_2023IC[Detailed Description],LineItemTableAll[[#This Row],[Detailed Description]],CompuSystems_2023IC[Total Cost])</f>
        <v>0</v>
      </c>
      <c r="N28" s="157">
        <f>SUMIF(CompuSystems_2023_2025IA[Detailed Description],LineItemTableAll[[#This Row],[Detailed Description]],CompuSystems_2023_2025IA[Total Cost (2023)])</f>
        <v>0</v>
      </c>
      <c r="O28" s="157">
        <f>SUMIF(CompuSystems_2023_2025IA[Detailed Description],LineItemTableAll[[#This Row],[Detailed Description]],CompuSystems_2023_2025IA[Total Cost (2025)])</f>
        <v>0</v>
      </c>
      <c r="P28" s="157">
        <f>SUMIF(CompuSystems_2023_2025IA[Detailed Description],LineItemTableAll[[#This Row],[Detailed Description]],CompuSystems_2023_2025IA[Total Cost (2025)])</f>
        <v>0</v>
      </c>
      <c r="Q28" s="157">
        <f>SUMIF(CompuSystems_2025COL[Detailed Description],LineItemTableAll[[#This Row],[Detailed Description]],CompuSystems_2025COL[Total Cost])</f>
        <v>0</v>
      </c>
      <c r="R28" s="157">
        <f>SUM(LineItemTableAll[[#This Row],[CompuSystems2024IC]:[CompuSystems2022COL]])</f>
        <v>0</v>
      </c>
      <c r="S28" s="157">
        <f>SUMIF(MCI_2025IC[Detailed Description],LineItemTableAll[[#This Row],[Detailed Description]],MCI_2025IC[Total Cost])</f>
        <v>0</v>
      </c>
      <c r="T28" s="157">
        <f>SUMIF(MCI_2024IC[Detailed Description],LineItemTableAll[[#This Row],[Detailed Description]],MCI_2024IC[Total Cost])</f>
        <v>0</v>
      </c>
      <c r="U28" s="157">
        <f>SUMIF(MCI_2023IC[Detailed Description],LineItemTableAll[[#This Row],[Detailed Description]],MCI_2023IC[Total Cost])</f>
        <v>0</v>
      </c>
      <c r="V28" s="157">
        <f>SUMIF(MCI_2023_2025IA[Detailed Description],LineItemTableAll[[#This Row],[Detailed Description]],MCI_2023_2025IA[Total Cost (2023)])</f>
        <v>0</v>
      </c>
      <c r="W28" s="157">
        <f>SUMIF(MCI_2023_2025IA[Detailed Description],LineItemTableAll[[#This Row],[Detailed Description]],MCI_2023_2025IA[Total Cost (2025)])</f>
        <v>0</v>
      </c>
      <c r="X28" s="157">
        <f>SUMIF(MCI_2023_2025IA[Detailed Description],LineItemTableAll[[#This Row],[Detailed Description]],MCI_2023_2025IA[Total Cost (2025)])</f>
        <v>0</v>
      </c>
      <c r="Y28" s="157">
        <f>SUMIF(MCI_2025COL[Detailed Description],LineItemTableAll[[#This Row],[Detailed Description]],MCI_2025COL[Total Cost])</f>
        <v>0</v>
      </c>
      <c r="Z28" s="157">
        <f>SUM(LineItemTableAll[[#This Row],[MCI2024IC]:[MCI2022COL]])</f>
        <v>0</v>
      </c>
    </row>
    <row r="29" spans="2:26" x14ac:dyDescent="0.35">
      <c r="B29" s="166" t="s">
        <v>172</v>
      </c>
      <c r="C29" s="118">
        <f>SUMIF(Aventri_2024IC[Detailed Description],LineItemTableAll[[#This Row],[Detailed Description]],Aventri_2024IC[Total Cost])</f>
        <v>0</v>
      </c>
      <c r="D29" s="118">
        <f>SUMIF(Aventri_2023IC[Detailed Description],LineItemTableAll[[#This Row],[Detailed Description]],Aventri_2023IC[Total Cost])</f>
        <v>0</v>
      </c>
      <c r="E29" s="118">
        <f>SUMIF(Aventri_2022IC[Detailed Description],LineItemTableAll[[#This Row],[Detailed Description]],Aventri_2022IC[Total Cost])</f>
        <v>0</v>
      </c>
      <c r="F29" s="118">
        <f>SUMIF(Aventri_2021_2023IA[Detailed Description],LineItemTableAll[[#This Row],[Detailed Description]],Aventri_2021_2023IA[Total Cost (2022)])</f>
        <v>0</v>
      </c>
      <c r="G29" s="118">
        <f>SUMIF(Aventri_2021_2023IA[Detailed Description],LineItemTableAll[[#This Row],[Detailed Description]],Aventri_2021_2023IA[Total Cost (2023)])</f>
        <v>0</v>
      </c>
      <c r="H29" s="118">
        <f>SUMIF(Aventri_2021_2023IA[Detailed Description],LineItemTableAll[[#This Row],[Detailed Description]],Aventri_2021_2023IA[Total Cost (2024)])</f>
        <v>0</v>
      </c>
      <c r="I29" s="118">
        <f>SUMIF(Aventri_2022COL[Detailed Description],LineItemTableAll[[#This Row],[Detailed Description]],Aventri_2022COL[Total Cost])</f>
        <v>0</v>
      </c>
      <c r="J29" s="118">
        <f>SUM(LineItemTableAll[[#This Row],[Aventri_2024IC]:[Aventri_2022COL]])</f>
        <v>0</v>
      </c>
      <c r="K29" s="157">
        <f>SUMIF(CompuSystems_2025IC[Detailed Description],LineItemTableAll[[#This Row],[Detailed Description]],CompuSystems_2025IC[Total Cost])</f>
        <v>0</v>
      </c>
      <c r="L29" s="157">
        <f>SUMIF(CompuSystems_2024IC[Detailed Description],LineItemTableAll[[#This Row],[Detailed Description]],CompuSystems_2024IC[Total Cost])</f>
        <v>0</v>
      </c>
      <c r="M29" s="157">
        <f>SUMIF(CompuSystems_2023IC[Detailed Description],LineItemTableAll[[#This Row],[Detailed Description]],CompuSystems_2023IC[Total Cost])</f>
        <v>0</v>
      </c>
      <c r="N29" s="157">
        <f>SUMIF(CompuSystems_2023_2025IA[Detailed Description],LineItemTableAll[[#This Row],[Detailed Description]],CompuSystems_2023_2025IA[Total Cost (2023)])</f>
        <v>0</v>
      </c>
      <c r="O29" s="157">
        <f>SUMIF(CompuSystems_2023_2025IA[Detailed Description],LineItemTableAll[[#This Row],[Detailed Description]],CompuSystems_2023_2025IA[Total Cost (2025)])</f>
        <v>0</v>
      </c>
      <c r="P29" s="157">
        <f>SUMIF(CompuSystems_2023_2025IA[Detailed Description],LineItemTableAll[[#This Row],[Detailed Description]],CompuSystems_2023_2025IA[Total Cost (2025)])</f>
        <v>0</v>
      </c>
      <c r="Q29" s="157">
        <f>SUMIF(CompuSystems_2025COL[Detailed Description],LineItemTableAll[[#This Row],[Detailed Description]],CompuSystems_2025COL[Total Cost])</f>
        <v>0</v>
      </c>
      <c r="R29" s="157">
        <f>SUM(LineItemTableAll[[#This Row],[CompuSystems2024IC]:[CompuSystems2022COL]])</f>
        <v>0</v>
      </c>
      <c r="S29" s="157">
        <f>SUMIF(MCI_2025IC[Detailed Description],LineItemTableAll[[#This Row],[Detailed Description]],MCI_2025IC[Total Cost])</f>
        <v>0</v>
      </c>
      <c r="T29" s="157">
        <f>SUMIF(MCI_2024IC[Detailed Description],LineItemTableAll[[#This Row],[Detailed Description]],MCI_2024IC[Total Cost])</f>
        <v>0</v>
      </c>
      <c r="U29" s="157">
        <f>SUMIF(MCI_2023IC[Detailed Description],LineItemTableAll[[#This Row],[Detailed Description]],MCI_2023IC[Total Cost])</f>
        <v>0</v>
      </c>
      <c r="V29" s="157">
        <f>SUMIF(MCI_2023_2025IA[Detailed Description],LineItemTableAll[[#This Row],[Detailed Description]],MCI_2023_2025IA[Total Cost (2023)])</f>
        <v>0</v>
      </c>
      <c r="W29" s="157">
        <f>SUMIF(MCI_2023_2025IA[Detailed Description],LineItemTableAll[[#This Row],[Detailed Description]],MCI_2023_2025IA[Total Cost (2025)])</f>
        <v>0</v>
      </c>
      <c r="X29" s="157">
        <f>SUMIF(MCI_2023_2025IA[Detailed Description],LineItemTableAll[[#This Row],[Detailed Description]],MCI_2023_2025IA[Total Cost (2025)])</f>
        <v>0</v>
      </c>
      <c r="Y29" s="157">
        <f>SUMIF(MCI_2025COL[Detailed Description],LineItemTableAll[[#This Row],[Detailed Description]],MCI_2025COL[Total Cost])</f>
        <v>0</v>
      </c>
      <c r="Z29" s="157">
        <f>SUM(LineItemTableAll[[#This Row],[MCI2024IC]:[MCI2022COL]])</f>
        <v>0</v>
      </c>
    </row>
    <row r="30" spans="2:26" x14ac:dyDescent="0.35">
      <c r="B30" s="167" t="s">
        <v>266</v>
      </c>
      <c r="C30" s="118">
        <f>SUMIF(Aventri_2024IC[Detailed Description],LineItemTableAll[[#This Row],[Detailed Description]],Aventri_2024IC[Total Cost])</f>
        <v>0</v>
      </c>
      <c r="D30" s="118">
        <f>SUMIF(Aventri_2023IC[Detailed Description],LineItemTableAll[[#This Row],[Detailed Description]],Aventri_2023IC[Total Cost])</f>
        <v>0</v>
      </c>
      <c r="E30" s="118">
        <f>SUMIF(Aventri_2022IC[Detailed Description],LineItemTableAll[[#This Row],[Detailed Description]],Aventri_2022IC[Total Cost])</f>
        <v>0</v>
      </c>
      <c r="F30" s="118">
        <f>SUMIF(Aventri_2021_2023IA[Detailed Description],LineItemTableAll[[#This Row],[Detailed Description]],Aventri_2021_2023IA[Total Cost (2022)])</f>
        <v>0</v>
      </c>
      <c r="G30" s="118">
        <f>SUMIF(Aventri_2021_2023IA[Detailed Description],LineItemTableAll[[#This Row],[Detailed Description]],Aventri_2021_2023IA[Total Cost (2023)])</f>
        <v>0</v>
      </c>
      <c r="H30" s="118">
        <f>SUMIF(Aventri_2021_2023IA[Detailed Description],LineItemTableAll[[#This Row],[Detailed Description]],Aventri_2021_2023IA[Total Cost (2024)])</f>
        <v>0</v>
      </c>
      <c r="I30" s="118">
        <f>SUMIF(Aventri_2022COL[Detailed Description],LineItemTableAll[[#This Row],[Detailed Description]],Aventri_2022COL[Total Cost])</f>
        <v>0</v>
      </c>
      <c r="J30" s="118">
        <f>SUM(LineItemTableAll[[#This Row],[Aventri_2024IC]:[Aventri_2022COL]])</f>
        <v>0</v>
      </c>
      <c r="K30" s="157">
        <f>SUMIF(CompuSystems_2025IC[Detailed Description],LineItemTableAll[[#This Row],[Detailed Description]],CompuSystems_2025IC[Total Cost])</f>
        <v>0</v>
      </c>
      <c r="L30" s="157">
        <f>SUMIF(CompuSystems_2024IC[Detailed Description],LineItemTableAll[[#This Row],[Detailed Description]],CompuSystems_2024IC[Total Cost])</f>
        <v>0</v>
      </c>
      <c r="M30" s="157">
        <f>SUMIF(CompuSystems_2023IC[Detailed Description],LineItemTableAll[[#This Row],[Detailed Description]],CompuSystems_2023IC[Total Cost])</f>
        <v>0</v>
      </c>
      <c r="N30" s="157">
        <f>SUMIF(CompuSystems_2023_2025IA[Detailed Description],LineItemTableAll[[#This Row],[Detailed Description]],CompuSystems_2023_2025IA[Total Cost (2023)])</f>
        <v>0</v>
      </c>
      <c r="O30" s="157">
        <f>SUMIF(CompuSystems_2023_2025IA[Detailed Description],LineItemTableAll[[#This Row],[Detailed Description]],CompuSystems_2023_2025IA[Total Cost (2025)])</f>
        <v>0</v>
      </c>
      <c r="P30" s="157">
        <f>SUMIF(CompuSystems_2023_2025IA[Detailed Description],LineItemTableAll[[#This Row],[Detailed Description]],CompuSystems_2023_2025IA[Total Cost (2025)])</f>
        <v>0</v>
      </c>
      <c r="Q30" s="157">
        <f>SUMIF(CompuSystems_2025COL[Detailed Description],LineItemTableAll[[#This Row],[Detailed Description]],CompuSystems_2025COL[Total Cost])</f>
        <v>500</v>
      </c>
      <c r="R30" s="157">
        <f>SUM(LineItemTableAll[[#This Row],[CompuSystems2024IC]:[CompuSystems2022COL]])</f>
        <v>500</v>
      </c>
      <c r="S30" s="157">
        <f>SUMIF(MCI_2025IC[Detailed Description],LineItemTableAll[[#This Row],[Detailed Description]],MCI_2025IC[Total Cost])</f>
        <v>0</v>
      </c>
      <c r="T30" s="157">
        <f>SUMIF(MCI_2024IC[Detailed Description],LineItemTableAll[[#This Row],[Detailed Description]],MCI_2024IC[Total Cost])</f>
        <v>0</v>
      </c>
      <c r="U30" s="157">
        <f>SUMIF(MCI_2023IC[Detailed Description],LineItemTableAll[[#This Row],[Detailed Description]],MCI_2023IC[Total Cost])</f>
        <v>0</v>
      </c>
      <c r="V30" s="157">
        <f>SUMIF(MCI_2023_2025IA[Detailed Description],LineItemTableAll[[#This Row],[Detailed Description]],MCI_2023_2025IA[Total Cost (2023)])</f>
        <v>0</v>
      </c>
      <c r="W30" s="157">
        <f>SUMIF(MCI_2023_2025IA[Detailed Description],LineItemTableAll[[#This Row],[Detailed Description]],MCI_2023_2025IA[Total Cost (2025)])</f>
        <v>0</v>
      </c>
      <c r="X30" s="157">
        <f>SUMIF(MCI_2023_2025IA[Detailed Description],LineItemTableAll[[#This Row],[Detailed Description]],MCI_2023_2025IA[Total Cost (2025)])</f>
        <v>0</v>
      </c>
      <c r="Y30" s="157">
        <f>SUMIF(MCI_2025COL[Detailed Description],LineItemTableAll[[#This Row],[Detailed Description]],MCI_2025COL[Total Cost])</f>
        <v>0</v>
      </c>
      <c r="Z30" s="157">
        <f>SUM(LineItemTableAll[[#This Row],[MCI2024IC]:[MCI2022COL]])</f>
        <v>0</v>
      </c>
    </row>
    <row r="31" spans="2:26" x14ac:dyDescent="0.35">
      <c r="B31" s="166" t="s">
        <v>214</v>
      </c>
      <c r="C31" s="118">
        <f>SUMIF(Aventri_2024IC[Detailed Description],LineItemTableAll[[#This Row],[Detailed Description]],Aventri_2024IC[Total Cost])</f>
        <v>0</v>
      </c>
      <c r="D31" s="118">
        <f>SUMIF(Aventri_2023IC[Detailed Description],LineItemTableAll[[#This Row],[Detailed Description]],Aventri_2023IC[Total Cost])</f>
        <v>0</v>
      </c>
      <c r="E31" s="118">
        <f>SUMIF(Aventri_2022IC[Detailed Description],LineItemTableAll[[#This Row],[Detailed Description]],Aventri_2022IC[Total Cost])</f>
        <v>0</v>
      </c>
      <c r="F31" s="118">
        <f>SUMIF(Aventri_2021_2023IA[Detailed Description],LineItemTableAll[[#This Row],[Detailed Description]],Aventri_2021_2023IA[Total Cost (2022)])</f>
        <v>0</v>
      </c>
      <c r="G31" s="118">
        <f>SUMIF(Aventri_2021_2023IA[Detailed Description],LineItemTableAll[[#This Row],[Detailed Description]],Aventri_2021_2023IA[Total Cost (2023)])</f>
        <v>0</v>
      </c>
      <c r="H31" s="118">
        <f>SUMIF(Aventri_2021_2023IA[Detailed Description],LineItemTableAll[[#This Row],[Detailed Description]],Aventri_2021_2023IA[Total Cost (2024)])</f>
        <v>0</v>
      </c>
      <c r="I31" s="118">
        <f>SUMIF(Aventri_2022COL[Detailed Description],LineItemTableAll[[#This Row],[Detailed Description]],Aventri_2022COL[Total Cost])</f>
        <v>0</v>
      </c>
      <c r="J31" s="118">
        <f>SUM(LineItemTableAll[[#This Row],[Aventri_2024IC]:[Aventri_2022COL]])</f>
        <v>0</v>
      </c>
      <c r="K31" s="157">
        <f>SUMIF(CompuSystems_2025IC[Detailed Description],LineItemTableAll[[#This Row],[Detailed Description]],CompuSystems_2025IC[Total Cost])</f>
        <v>1395</v>
      </c>
      <c r="L31" s="157">
        <f>SUMIF(CompuSystems_2024IC[Detailed Description],LineItemTableAll[[#This Row],[Detailed Description]],CompuSystems_2024IC[Total Cost])</f>
        <v>1395</v>
      </c>
      <c r="M31" s="157">
        <f>SUMIF(CompuSystems_2023IC[Detailed Description],LineItemTableAll[[#This Row],[Detailed Description]],CompuSystems_2023IC[Total Cost])</f>
        <v>1395</v>
      </c>
      <c r="N31" s="157">
        <f>SUMIF(CompuSystems_2023_2025IA[Detailed Description],LineItemTableAll[[#This Row],[Detailed Description]],CompuSystems_2023_2025IA[Total Cost (2023)])</f>
        <v>930</v>
      </c>
      <c r="O31" s="157">
        <f>SUMIF(CompuSystems_2023_2025IA[Detailed Description],LineItemTableAll[[#This Row],[Detailed Description]],CompuSystems_2023_2025IA[Total Cost (2025)])</f>
        <v>930</v>
      </c>
      <c r="P31" s="157">
        <f>SUMIF(CompuSystems_2023_2025IA[Detailed Description],LineItemTableAll[[#This Row],[Detailed Description]],CompuSystems_2023_2025IA[Total Cost (2025)])</f>
        <v>930</v>
      </c>
      <c r="Q31" s="157">
        <f>SUMIF(CompuSystems_2025COL[Detailed Description],LineItemTableAll[[#This Row],[Detailed Description]],CompuSystems_2025COL[Total Cost])</f>
        <v>0</v>
      </c>
      <c r="R31" s="157">
        <f>SUM(LineItemTableAll[[#This Row],[CompuSystems2024IC]:[CompuSystems2022COL]])</f>
        <v>6975</v>
      </c>
      <c r="S31" s="157">
        <f>SUMIF(MCI_2025IC[Detailed Description],LineItemTableAll[[#This Row],[Detailed Description]],MCI_2025IC[Total Cost])</f>
        <v>0</v>
      </c>
      <c r="T31" s="157">
        <f>SUMIF(MCI_2024IC[Detailed Description],LineItemTableAll[[#This Row],[Detailed Description]],MCI_2024IC[Total Cost])</f>
        <v>0</v>
      </c>
      <c r="U31" s="157">
        <f>SUMIF(MCI_2023IC[Detailed Description],LineItemTableAll[[#This Row],[Detailed Description]],MCI_2023IC[Total Cost])</f>
        <v>0</v>
      </c>
      <c r="V31" s="157">
        <f>SUMIF(MCI_2023_2025IA[Detailed Description],LineItemTableAll[[#This Row],[Detailed Description]],MCI_2023_2025IA[Total Cost (2023)])</f>
        <v>0</v>
      </c>
      <c r="W31" s="157">
        <f>SUMIF(MCI_2023_2025IA[Detailed Description],LineItemTableAll[[#This Row],[Detailed Description]],MCI_2023_2025IA[Total Cost (2025)])</f>
        <v>0</v>
      </c>
      <c r="X31" s="157">
        <f>SUMIF(MCI_2023_2025IA[Detailed Description],LineItemTableAll[[#This Row],[Detailed Description]],MCI_2023_2025IA[Total Cost (2025)])</f>
        <v>0</v>
      </c>
      <c r="Y31" s="157">
        <f>SUMIF(MCI_2025COL[Detailed Description],LineItemTableAll[[#This Row],[Detailed Description]],MCI_2025COL[Total Cost])</f>
        <v>0</v>
      </c>
      <c r="Z31" s="157">
        <f>SUM(LineItemTableAll[[#This Row],[MCI2024IC]:[MCI2022COL]])</f>
        <v>0</v>
      </c>
    </row>
    <row r="32" spans="2:26" x14ac:dyDescent="0.35">
      <c r="B32" s="167" t="s">
        <v>186</v>
      </c>
      <c r="C32" s="118">
        <f>SUMIF(Aventri_2024IC[Detailed Description],LineItemTableAll[[#This Row],[Detailed Description]],Aventri_2024IC[Total Cost])</f>
        <v>350</v>
      </c>
      <c r="D32" s="118">
        <f>SUMIF(Aventri_2023IC[Detailed Description],LineItemTableAll[[#This Row],[Detailed Description]],Aventri_2023IC[Total Cost])</f>
        <v>350</v>
      </c>
      <c r="E32" s="118">
        <f>SUMIF(Aventri_2022IC[Detailed Description],LineItemTableAll[[#This Row],[Detailed Description]],Aventri_2022IC[Total Cost])</f>
        <v>350</v>
      </c>
      <c r="F32" s="118">
        <f>SUMIF(Aventri_2021_2023IA[Detailed Description],LineItemTableAll[[#This Row],[Detailed Description]],Aventri_2021_2023IA[Total Cost (2022)])</f>
        <v>350</v>
      </c>
      <c r="G32" s="118">
        <f>SUMIF(Aventri_2021_2023IA[Detailed Description],LineItemTableAll[[#This Row],[Detailed Description]],Aventri_2021_2023IA[Total Cost (2023)])</f>
        <v>350</v>
      </c>
      <c r="H32" s="118">
        <f>SUMIF(Aventri_2021_2023IA[Detailed Description],LineItemTableAll[[#This Row],[Detailed Description]],Aventri_2021_2023IA[Total Cost (2024)])</f>
        <v>350</v>
      </c>
      <c r="I32" s="118">
        <f>SUMIF(Aventri_2022COL[Detailed Description],LineItemTableAll[[#This Row],[Detailed Description]],Aventri_2022COL[Total Cost])</f>
        <v>350</v>
      </c>
      <c r="J32" s="118">
        <f>SUM(LineItemTableAll[[#This Row],[Aventri_2024IC]:[Aventri_2022COL]])</f>
        <v>2450</v>
      </c>
      <c r="K32" s="157">
        <f>SUMIF(CompuSystems_2025IC[Detailed Description],LineItemTableAll[[#This Row],[Detailed Description]],CompuSystems_2025IC[Total Cost])</f>
        <v>1500</v>
      </c>
      <c r="L32" s="157">
        <f>SUMIF(CompuSystems_2024IC[Detailed Description],LineItemTableAll[[#This Row],[Detailed Description]],CompuSystems_2024IC[Total Cost])</f>
        <v>1500</v>
      </c>
      <c r="M32" s="157">
        <f>SUMIF(CompuSystems_2023IC[Detailed Description],LineItemTableAll[[#This Row],[Detailed Description]],CompuSystems_2023IC[Total Cost])</f>
        <v>1500</v>
      </c>
      <c r="N32" s="157">
        <f>SUMIF(CompuSystems_2023_2025IA[Detailed Description],LineItemTableAll[[#This Row],[Detailed Description]],CompuSystems_2023_2025IA[Total Cost (2023)])</f>
        <v>0</v>
      </c>
      <c r="O32" s="157">
        <f>SUMIF(CompuSystems_2023_2025IA[Detailed Description],LineItemTableAll[[#This Row],[Detailed Description]],CompuSystems_2023_2025IA[Total Cost (2025)])</f>
        <v>0</v>
      </c>
      <c r="P32" s="157">
        <f>SUMIF(CompuSystems_2023_2025IA[Detailed Description],LineItemTableAll[[#This Row],[Detailed Description]],CompuSystems_2023_2025IA[Total Cost (2025)])</f>
        <v>0</v>
      </c>
      <c r="Q32" s="157">
        <f>SUMIF(CompuSystems_2025COL[Detailed Description],LineItemTableAll[[#This Row],[Detailed Description]],CompuSystems_2025COL[Total Cost])</f>
        <v>0</v>
      </c>
      <c r="R32" s="157">
        <f>SUM(LineItemTableAll[[#This Row],[CompuSystems2024IC]:[CompuSystems2022COL]])</f>
        <v>4500</v>
      </c>
      <c r="S32" s="157">
        <f>SUMIF(MCI_2025IC[Detailed Description],LineItemTableAll[[#This Row],[Detailed Description]],MCI_2025IC[Total Cost])</f>
        <v>0</v>
      </c>
      <c r="T32" s="157">
        <f>SUMIF(MCI_2024IC[Detailed Description],LineItemTableAll[[#This Row],[Detailed Description]],MCI_2024IC[Total Cost])</f>
        <v>0</v>
      </c>
      <c r="U32" s="157">
        <f>SUMIF(MCI_2023IC[Detailed Description],LineItemTableAll[[#This Row],[Detailed Description]],MCI_2023IC[Total Cost])</f>
        <v>0</v>
      </c>
      <c r="V32" s="157">
        <f>SUMIF(MCI_2023_2025IA[Detailed Description],LineItemTableAll[[#This Row],[Detailed Description]],MCI_2023_2025IA[Total Cost (2023)])</f>
        <v>0</v>
      </c>
      <c r="W32" s="157">
        <f>SUMIF(MCI_2023_2025IA[Detailed Description],LineItemTableAll[[#This Row],[Detailed Description]],MCI_2023_2025IA[Total Cost (2025)])</f>
        <v>0</v>
      </c>
      <c r="X32" s="157">
        <f>SUMIF(MCI_2023_2025IA[Detailed Description],LineItemTableAll[[#This Row],[Detailed Description]],MCI_2023_2025IA[Total Cost (2025)])</f>
        <v>0</v>
      </c>
      <c r="Y32" s="157">
        <f>SUMIF(MCI_2025COL[Detailed Description],LineItemTableAll[[#This Row],[Detailed Description]],MCI_2025COL[Total Cost])</f>
        <v>0</v>
      </c>
      <c r="Z32" s="157">
        <f>SUM(LineItemTableAll[[#This Row],[MCI2024IC]:[MCI2022COL]])</f>
        <v>0</v>
      </c>
    </row>
    <row r="33" spans="2:26" x14ac:dyDescent="0.35">
      <c r="B33" s="167" t="s">
        <v>188</v>
      </c>
      <c r="C33" s="118">
        <f>SUMIF(Aventri_2024IC[Detailed Description],LineItemTableAll[[#This Row],[Detailed Description]],Aventri_2024IC[Total Cost])</f>
        <v>0.87</v>
      </c>
      <c r="D33" s="118">
        <f>SUMIF(Aventri_2023IC[Detailed Description],LineItemTableAll[[#This Row],[Detailed Description]],Aventri_2023IC[Total Cost])</f>
        <v>0.87</v>
      </c>
      <c r="E33" s="118">
        <f>SUMIF(Aventri_2022IC[Detailed Description],LineItemTableAll[[#This Row],[Detailed Description]],Aventri_2022IC[Total Cost])</f>
        <v>0.87</v>
      </c>
      <c r="F33" s="118">
        <f>SUMIF(Aventri_2021_2023IA[Detailed Description],LineItemTableAll[[#This Row],[Detailed Description]],Aventri_2021_2023IA[Total Cost (2022)])</f>
        <v>0.87</v>
      </c>
      <c r="G33" s="118">
        <f>SUMIF(Aventri_2021_2023IA[Detailed Description],LineItemTableAll[[#This Row],[Detailed Description]],Aventri_2021_2023IA[Total Cost (2023)])</f>
        <v>0.87</v>
      </c>
      <c r="H33" s="118">
        <f>SUMIF(Aventri_2021_2023IA[Detailed Description],LineItemTableAll[[#This Row],[Detailed Description]],Aventri_2021_2023IA[Total Cost (2024)])</f>
        <v>0.87</v>
      </c>
      <c r="I33" s="118">
        <f>SUMIF(Aventri_2022COL[Detailed Description],LineItemTableAll[[#This Row],[Detailed Description]],Aventri_2022COL[Total Cost])</f>
        <v>0.87</v>
      </c>
      <c r="J33" s="118">
        <f>SUM(LineItemTableAll[[#This Row],[Aventri_2024IC]:[Aventri_2022COL]])</f>
        <v>6.09</v>
      </c>
      <c r="K33" s="157">
        <f>SUMIF(CompuSystems_2025IC[Detailed Description],LineItemTableAll[[#This Row],[Detailed Description]],CompuSystems_2025IC[Total Cost])</f>
        <v>0</v>
      </c>
      <c r="L33" s="157">
        <f>SUMIF(CompuSystems_2024IC[Detailed Description],LineItemTableAll[[#This Row],[Detailed Description]],CompuSystems_2024IC[Total Cost])</f>
        <v>0</v>
      </c>
      <c r="M33" s="157">
        <f>SUMIF(CompuSystems_2023IC[Detailed Description],LineItemTableAll[[#This Row],[Detailed Description]],CompuSystems_2023IC[Total Cost])</f>
        <v>0</v>
      </c>
      <c r="N33" s="157">
        <f>SUMIF(CompuSystems_2023_2025IA[Detailed Description],LineItemTableAll[[#This Row],[Detailed Description]],CompuSystems_2023_2025IA[Total Cost (2023)])</f>
        <v>0</v>
      </c>
      <c r="O33" s="157">
        <f>SUMIF(CompuSystems_2023_2025IA[Detailed Description],LineItemTableAll[[#This Row],[Detailed Description]],CompuSystems_2023_2025IA[Total Cost (2025)])</f>
        <v>0</v>
      </c>
      <c r="P33" s="157">
        <f>SUMIF(CompuSystems_2023_2025IA[Detailed Description],LineItemTableAll[[#This Row],[Detailed Description]],CompuSystems_2023_2025IA[Total Cost (2025)])</f>
        <v>0</v>
      </c>
      <c r="Q33" s="157">
        <f>SUMIF(CompuSystems_2025COL[Detailed Description],LineItemTableAll[[#This Row],[Detailed Description]],CompuSystems_2025COL[Total Cost])</f>
        <v>0</v>
      </c>
      <c r="R33" s="157">
        <f>SUM(LineItemTableAll[[#This Row],[CompuSystems2024IC]:[CompuSystems2022COL]])</f>
        <v>0</v>
      </c>
      <c r="S33" s="157">
        <f>SUMIF(MCI_2025IC[Detailed Description],LineItemTableAll[[#This Row],[Detailed Description]],MCI_2025IC[Total Cost])</f>
        <v>0</v>
      </c>
      <c r="T33" s="157">
        <f>SUMIF(MCI_2024IC[Detailed Description],LineItemTableAll[[#This Row],[Detailed Description]],MCI_2024IC[Total Cost])</f>
        <v>0</v>
      </c>
      <c r="U33" s="157">
        <f>SUMIF(MCI_2023IC[Detailed Description],LineItemTableAll[[#This Row],[Detailed Description]],MCI_2023IC[Total Cost])</f>
        <v>0</v>
      </c>
      <c r="V33" s="157">
        <f>SUMIF(MCI_2023_2025IA[Detailed Description],LineItemTableAll[[#This Row],[Detailed Description]],MCI_2023_2025IA[Total Cost (2023)])</f>
        <v>0</v>
      </c>
      <c r="W33" s="157">
        <f>SUMIF(MCI_2023_2025IA[Detailed Description],LineItemTableAll[[#This Row],[Detailed Description]],MCI_2023_2025IA[Total Cost (2025)])</f>
        <v>0</v>
      </c>
      <c r="X33" s="157">
        <f>SUMIF(MCI_2023_2025IA[Detailed Description],LineItemTableAll[[#This Row],[Detailed Description]],MCI_2023_2025IA[Total Cost (2025)])</f>
        <v>0</v>
      </c>
      <c r="Y33" s="157">
        <f>SUMIF(MCI_2025COL[Detailed Description],LineItemTableAll[[#This Row],[Detailed Description]],MCI_2025COL[Total Cost])</f>
        <v>0</v>
      </c>
      <c r="Z33" s="157">
        <f>SUM(LineItemTableAll[[#This Row],[MCI2024IC]:[MCI2022COL]])</f>
        <v>0</v>
      </c>
    </row>
    <row r="34" spans="2:26" x14ac:dyDescent="0.35">
      <c r="B34" s="166" t="s">
        <v>241</v>
      </c>
      <c r="C34" s="118">
        <f>SUMIF(Aventri_2024IC[Detailed Description],LineItemTableAll[[#This Row],[Detailed Description]],Aventri_2024IC[Total Cost])</f>
        <v>0</v>
      </c>
      <c r="D34" s="118">
        <f>SUMIF(Aventri_2023IC[Detailed Description],LineItemTableAll[[#This Row],[Detailed Description]],Aventri_2023IC[Total Cost])</f>
        <v>0</v>
      </c>
      <c r="E34" s="118">
        <f>SUMIF(Aventri_2022IC[Detailed Description],LineItemTableAll[[#This Row],[Detailed Description]],Aventri_2022IC[Total Cost])</f>
        <v>0</v>
      </c>
      <c r="F34" s="118">
        <f>SUMIF(Aventri_2021_2023IA[Detailed Description],LineItemTableAll[[#This Row],[Detailed Description]],Aventri_2021_2023IA[Total Cost (2022)])</f>
        <v>0</v>
      </c>
      <c r="G34" s="118">
        <f>SUMIF(Aventri_2021_2023IA[Detailed Description],LineItemTableAll[[#This Row],[Detailed Description]],Aventri_2021_2023IA[Total Cost (2023)])</f>
        <v>0</v>
      </c>
      <c r="H34" s="118">
        <f>SUMIF(Aventri_2021_2023IA[Detailed Description],LineItemTableAll[[#This Row],[Detailed Description]],Aventri_2021_2023IA[Total Cost (2024)])</f>
        <v>0</v>
      </c>
      <c r="I34" s="118">
        <f>SUMIF(Aventri_2022COL[Detailed Description],LineItemTableAll[[#This Row],[Detailed Description]],Aventri_2022COL[Total Cost])</f>
        <v>0</v>
      </c>
      <c r="J34" s="118">
        <f>SUM(LineItemTableAll[[#This Row],[Aventri_2024IC]:[Aventri_2022COL]])</f>
        <v>0</v>
      </c>
      <c r="K34" s="157">
        <f>SUMIF(CompuSystems_2025IC[Detailed Description],LineItemTableAll[[#This Row],[Detailed Description]],CompuSystems_2025IC[Total Cost])</f>
        <v>0</v>
      </c>
      <c r="L34" s="157">
        <f>SUMIF(CompuSystems_2024IC[Detailed Description],LineItemTableAll[[#This Row],[Detailed Description]],CompuSystems_2024IC[Total Cost])</f>
        <v>0</v>
      </c>
      <c r="M34" s="157">
        <f>SUMIF(CompuSystems_2023IC[Detailed Description],LineItemTableAll[[#This Row],[Detailed Description]],CompuSystems_2023IC[Total Cost])</f>
        <v>0</v>
      </c>
      <c r="N34" s="157">
        <f>SUMIF(CompuSystems_2023_2025IA[Detailed Description],LineItemTableAll[[#This Row],[Detailed Description]],CompuSystems_2023_2025IA[Total Cost (2023)])</f>
        <v>0</v>
      </c>
      <c r="O34" s="157">
        <f>SUMIF(CompuSystems_2023_2025IA[Detailed Description],LineItemTableAll[[#This Row],[Detailed Description]],CompuSystems_2023_2025IA[Total Cost (2025)])</f>
        <v>0</v>
      </c>
      <c r="P34" s="157">
        <f>SUMIF(CompuSystems_2023_2025IA[Detailed Description],LineItemTableAll[[#This Row],[Detailed Description]],CompuSystems_2023_2025IA[Total Cost (2025)])</f>
        <v>0</v>
      </c>
      <c r="Q34" s="157">
        <f>SUMIF(CompuSystems_2025COL[Detailed Description],LineItemTableAll[[#This Row],[Detailed Description]],CompuSystems_2025COL[Total Cost])</f>
        <v>0</v>
      </c>
      <c r="R34" s="157">
        <f>SUM(LineItemTableAll[[#This Row],[CompuSystems2024IC]:[CompuSystems2022COL]])</f>
        <v>0</v>
      </c>
      <c r="S34" s="157">
        <f>SUMIF(MCI_2025IC[Detailed Description],LineItemTableAll[[#This Row],[Detailed Description]],MCI_2025IC[Total Cost])</f>
        <v>0</v>
      </c>
      <c r="T34" s="157">
        <f>SUMIF(MCI_2024IC[Detailed Description],LineItemTableAll[[#This Row],[Detailed Description]],MCI_2024IC[Total Cost])</f>
        <v>0</v>
      </c>
      <c r="U34" s="157">
        <f>SUMIF(MCI_2023IC[Detailed Description],LineItemTableAll[[#This Row],[Detailed Description]],MCI_2023IC[Total Cost])</f>
        <v>0</v>
      </c>
      <c r="V34" s="157">
        <f>SUMIF(MCI_2023_2025IA[Detailed Description],LineItemTableAll[[#This Row],[Detailed Description]],MCI_2023_2025IA[Total Cost (2023)])</f>
        <v>0</v>
      </c>
      <c r="W34" s="157">
        <f>SUMIF(MCI_2023_2025IA[Detailed Description],LineItemTableAll[[#This Row],[Detailed Description]],MCI_2023_2025IA[Total Cost (2025)])</f>
        <v>0</v>
      </c>
      <c r="X34" s="157">
        <f>SUMIF(MCI_2023_2025IA[Detailed Description],LineItemTableAll[[#This Row],[Detailed Description]],MCI_2023_2025IA[Total Cost (2025)])</f>
        <v>0</v>
      </c>
      <c r="Y34" s="157">
        <f>SUMIF(MCI_2025COL[Detailed Description],LineItemTableAll[[#This Row],[Detailed Description]],MCI_2025COL[Total Cost])</f>
        <v>0</v>
      </c>
      <c r="Z34" s="157">
        <f>SUM(LineItemTableAll[[#This Row],[MCI2024IC]:[MCI2022COL]])</f>
        <v>0</v>
      </c>
    </row>
    <row r="35" spans="2:26" x14ac:dyDescent="0.35">
      <c r="B35" s="168" t="s">
        <v>159</v>
      </c>
      <c r="C35" s="118">
        <f>SUMIF(Aventri_2024IC[Detailed Description],LineItemTableAll[[#This Row],[Detailed Description]],Aventri_2024IC[Total Cost])</f>
        <v>79100</v>
      </c>
      <c r="D35" s="118">
        <f>SUMIF(Aventri_2023IC[Detailed Description],LineItemTableAll[[#This Row],[Detailed Description]],Aventri_2023IC[Total Cost])</f>
        <v>79100</v>
      </c>
      <c r="E35" s="118">
        <f>SUMIF(Aventri_2022IC[Detailed Description],LineItemTableAll[[#This Row],[Detailed Description]],Aventri_2022IC[Total Cost])</f>
        <v>79100</v>
      </c>
      <c r="F35" s="118">
        <f>SUMIF(Aventri_2021_2023IA[Detailed Description],LineItemTableAll[[#This Row],[Detailed Description]],Aventri_2021_2023IA[Total Cost (2022)])</f>
        <v>0</v>
      </c>
      <c r="G35" s="118">
        <f>SUMIF(Aventri_2021_2023IA[Detailed Description],LineItemTableAll[[#This Row],[Detailed Description]],Aventri_2021_2023IA[Total Cost (2023)])</f>
        <v>0</v>
      </c>
      <c r="H35" s="118">
        <f>SUMIF(Aventri_2021_2023IA[Detailed Description],LineItemTableAll[[#This Row],[Detailed Description]],Aventri_2021_2023IA[Total Cost (2024)])</f>
        <v>0</v>
      </c>
      <c r="I35" s="118">
        <f>SUMIF(Aventri_2022COL[Detailed Description],LineItemTableAll[[#This Row],[Detailed Description]],Aventri_2022COL[Total Cost])</f>
        <v>0</v>
      </c>
      <c r="J35" s="118">
        <f>SUM(LineItemTableAll[[#This Row],[Aventri_2024IC]:[Aventri_2022COL]])</f>
        <v>237300</v>
      </c>
      <c r="K35" s="157">
        <f>SUMIF(CompuSystems_2025IC[Detailed Description],LineItemTableAll[[#This Row],[Detailed Description]],CompuSystems_2025IC[Total Cost])</f>
        <v>0</v>
      </c>
      <c r="L35" s="157">
        <f>SUMIF(CompuSystems_2024IC[Detailed Description],LineItemTableAll[[#This Row],[Detailed Description]],CompuSystems_2024IC[Total Cost])</f>
        <v>0</v>
      </c>
      <c r="M35" s="157">
        <f>SUMIF(CompuSystems_2023IC[Detailed Description],LineItemTableAll[[#This Row],[Detailed Description]],CompuSystems_2023IC[Total Cost])</f>
        <v>0</v>
      </c>
      <c r="N35" s="157">
        <f>SUMIF(CompuSystems_2023_2025IA[Detailed Description],LineItemTableAll[[#This Row],[Detailed Description]],CompuSystems_2023_2025IA[Total Cost (2023)])</f>
        <v>0</v>
      </c>
      <c r="O35" s="157">
        <f>SUMIF(CompuSystems_2023_2025IA[Detailed Description],LineItemTableAll[[#This Row],[Detailed Description]],CompuSystems_2023_2025IA[Total Cost (2025)])</f>
        <v>0</v>
      </c>
      <c r="P35" s="157">
        <f>SUMIF(CompuSystems_2023_2025IA[Detailed Description],LineItemTableAll[[#This Row],[Detailed Description]],CompuSystems_2023_2025IA[Total Cost (2025)])</f>
        <v>0</v>
      </c>
      <c r="Q35" s="157">
        <f>SUMIF(CompuSystems_2025COL[Detailed Description],LineItemTableAll[[#This Row],[Detailed Description]],CompuSystems_2025COL[Total Cost])</f>
        <v>0</v>
      </c>
      <c r="R35" s="157">
        <f>SUM(LineItemTableAll[[#This Row],[CompuSystems2024IC]:[CompuSystems2022COL]])</f>
        <v>0</v>
      </c>
      <c r="S35" s="157">
        <f>SUMIF(MCI_2025IC[Detailed Description],LineItemTableAll[[#This Row],[Detailed Description]],MCI_2025IC[Total Cost])</f>
        <v>60000</v>
      </c>
      <c r="T35" s="157">
        <f>SUMIF(MCI_2024IC[Detailed Description],LineItemTableAll[[#This Row],[Detailed Description]],MCI_2024IC[Total Cost])</f>
        <v>60000</v>
      </c>
      <c r="U35" s="157">
        <f>SUMIF(MCI_2023IC[Detailed Description],LineItemTableAll[[#This Row],[Detailed Description]],MCI_2023IC[Total Cost])</f>
        <v>60000</v>
      </c>
      <c r="V35" s="157">
        <f>SUMIF(MCI_2023_2025IA[Detailed Description],LineItemTableAll[[#This Row],[Detailed Description]],MCI_2023_2025IA[Total Cost (2023)])</f>
        <v>4500</v>
      </c>
      <c r="W35" s="157">
        <f>SUMIF(MCI_2023_2025IA[Detailed Description],LineItemTableAll[[#This Row],[Detailed Description]],MCI_2023_2025IA[Total Cost (2025)])</f>
        <v>4500</v>
      </c>
      <c r="X35" s="157">
        <f>SUMIF(MCI_2023_2025IA[Detailed Description],LineItemTableAll[[#This Row],[Detailed Description]],MCI_2023_2025IA[Total Cost (2025)])</f>
        <v>4500</v>
      </c>
      <c r="Y35" s="157">
        <f>SUMIF(MCI_2025COL[Detailed Description],LineItemTableAll[[#This Row],[Detailed Description]],MCI_2025COL[Total Cost])</f>
        <v>3600</v>
      </c>
      <c r="Z35" s="157">
        <f>SUM(LineItemTableAll[[#This Row],[MCI2024IC]:[MCI2022COL]])</f>
        <v>197100</v>
      </c>
    </row>
    <row r="36" spans="2:26" x14ac:dyDescent="0.35">
      <c r="B36" s="167" t="s">
        <v>206</v>
      </c>
      <c r="C36" s="118">
        <f>SUMIF(Aventri_2024IC[Detailed Description],LineItemTableAll[[#This Row],[Detailed Description]],Aventri_2024IC[Total Cost])</f>
        <v>0</v>
      </c>
      <c r="D36" s="118">
        <f>SUMIF(Aventri_2023IC[Detailed Description],LineItemTableAll[[#This Row],[Detailed Description]],Aventri_2023IC[Total Cost])</f>
        <v>0</v>
      </c>
      <c r="E36" s="118">
        <f>SUMIF(Aventri_2022IC[Detailed Description],LineItemTableAll[[#This Row],[Detailed Description]],Aventri_2022IC[Total Cost])</f>
        <v>0</v>
      </c>
      <c r="F36" s="118">
        <f>SUMIF(Aventri_2021_2023IA[Detailed Description],LineItemTableAll[[#This Row],[Detailed Description]],Aventri_2021_2023IA[Total Cost (2022)])</f>
        <v>0</v>
      </c>
      <c r="G36" s="118">
        <f>SUMIF(Aventri_2021_2023IA[Detailed Description],LineItemTableAll[[#This Row],[Detailed Description]],Aventri_2021_2023IA[Total Cost (2023)])</f>
        <v>0</v>
      </c>
      <c r="H36" s="118">
        <f>SUMIF(Aventri_2021_2023IA[Detailed Description],LineItemTableAll[[#This Row],[Detailed Description]],Aventri_2021_2023IA[Total Cost (2024)])</f>
        <v>0</v>
      </c>
      <c r="I36" s="118">
        <f>SUMIF(Aventri_2022COL[Detailed Description],LineItemTableAll[[#This Row],[Detailed Description]],Aventri_2022COL[Total Cost])</f>
        <v>0</v>
      </c>
      <c r="J36" s="118">
        <f>SUM(LineItemTableAll[[#This Row],[Aventri_2024IC]:[Aventri_2022COL]])</f>
        <v>0</v>
      </c>
      <c r="K36" s="157">
        <f>SUMIF(CompuSystems_2025IC[Detailed Description],LineItemTableAll[[#This Row],[Detailed Description]],CompuSystems_2025IC[Total Cost])</f>
        <v>800</v>
      </c>
      <c r="L36" s="157">
        <f>SUMIF(CompuSystems_2024IC[Detailed Description],LineItemTableAll[[#This Row],[Detailed Description]],CompuSystems_2024IC[Total Cost])</f>
        <v>800</v>
      </c>
      <c r="M36" s="157">
        <f>SUMIF(CompuSystems_2023IC[Detailed Description],LineItemTableAll[[#This Row],[Detailed Description]],CompuSystems_2023IC[Total Cost])</f>
        <v>800</v>
      </c>
      <c r="N36" s="157">
        <f>SUMIF(CompuSystems_2023_2025IA[Detailed Description],LineItemTableAll[[#This Row],[Detailed Description]],CompuSystems_2023_2025IA[Total Cost (2023)])</f>
        <v>0</v>
      </c>
      <c r="O36" s="157">
        <f>SUMIF(CompuSystems_2023_2025IA[Detailed Description],LineItemTableAll[[#This Row],[Detailed Description]],CompuSystems_2023_2025IA[Total Cost (2025)])</f>
        <v>0</v>
      </c>
      <c r="P36" s="157">
        <f>SUMIF(CompuSystems_2023_2025IA[Detailed Description],LineItemTableAll[[#This Row],[Detailed Description]],CompuSystems_2023_2025IA[Total Cost (2025)])</f>
        <v>0</v>
      </c>
      <c r="Q36" s="157">
        <f>SUMIF(CompuSystems_2025COL[Detailed Description],LineItemTableAll[[#This Row],[Detailed Description]],CompuSystems_2025COL[Total Cost])</f>
        <v>800</v>
      </c>
      <c r="R36" s="157">
        <f>SUM(LineItemTableAll[[#This Row],[CompuSystems2024IC]:[CompuSystems2022COL]])</f>
        <v>3200</v>
      </c>
      <c r="S36" s="157">
        <f>SUMIF(MCI_2025IC[Detailed Description],LineItemTableAll[[#This Row],[Detailed Description]],MCI_2025IC[Total Cost])</f>
        <v>2000</v>
      </c>
      <c r="T36" s="157">
        <f>SUMIF(MCI_2024IC[Detailed Description],LineItemTableAll[[#This Row],[Detailed Description]],MCI_2024IC[Total Cost])</f>
        <v>2000</v>
      </c>
      <c r="U36" s="157">
        <f>SUMIF(MCI_2023IC[Detailed Description],LineItemTableAll[[#This Row],[Detailed Description]],MCI_2023IC[Total Cost])</f>
        <v>2000</v>
      </c>
      <c r="V36" s="157">
        <f>SUMIF(MCI_2023_2025IA[Detailed Description],LineItemTableAll[[#This Row],[Detailed Description]],MCI_2023_2025IA[Total Cost (2023)])</f>
        <v>2000</v>
      </c>
      <c r="W36" s="157">
        <f>SUMIF(MCI_2023_2025IA[Detailed Description],LineItemTableAll[[#This Row],[Detailed Description]],MCI_2023_2025IA[Total Cost (2025)])</f>
        <v>2000</v>
      </c>
      <c r="X36" s="157">
        <f>SUMIF(MCI_2023_2025IA[Detailed Description],LineItemTableAll[[#This Row],[Detailed Description]],MCI_2023_2025IA[Total Cost (2025)])</f>
        <v>2000</v>
      </c>
      <c r="Y36" s="157">
        <f>SUMIF(MCI_2025COL[Detailed Description],LineItemTableAll[[#This Row],[Detailed Description]],MCI_2025COL[Total Cost])</f>
        <v>2000</v>
      </c>
      <c r="Z36" s="157">
        <f>SUM(LineItemTableAll[[#This Row],[MCI2024IC]:[MCI2022COL]])</f>
        <v>14000</v>
      </c>
    </row>
    <row r="37" spans="2:26" x14ac:dyDescent="0.35">
      <c r="B37" s="166" t="s">
        <v>191</v>
      </c>
      <c r="C37" s="118">
        <f>SUMIF(Aventri_2024IC[Detailed Description],LineItemTableAll[[#This Row],[Detailed Description]],Aventri_2024IC[Total Cost])</f>
        <v>23100</v>
      </c>
      <c r="D37" s="118">
        <f>SUMIF(Aventri_2023IC[Detailed Description],LineItemTableAll[[#This Row],[Detailed Description]],Aventri_2023IC[Total Cost])</f>
        <v>23100</v>
      </c>
      <c r="E37" s="118">
        <f>SUMIF(Aventri_2022IC[Detailed Description],LineItemTableAll[[#This Row],[Detailed Description]],Aventri_2022IC[Total Cost])</f>
        <v>23100</v>
      </c>
      <c r="F37" s="118">
        <f>SUMIF(Aventri_2021_2023IA[Detailed Description],LineItemTableAll[[#This Row],[Detailed Description]],Aventri_2021_2023IA[Total Cost (2022)])</f>
        <v>4620</v>
      </c>
      <c r="G37" s="118">
        <f>SUMIF(Aventri_2021_2023IA[Detailed Description],LineItemTableAll[[#This Row],[Detailed Description]],Aventri_2021_2023IA[Total Cost (2023)])</f>
        <v>4620</v>
      </c>
      <c r="H37" s="118">
        <f>SUMIF(Aventri_2021_2023IA[Detailed Description],LineItemTableAll[[#This Row],[Detailed Description]],Aventri_2021_2023IA[Total Cost (2024)])</f>
        <v>4620</v>
      </c>
      <c r="I37" s="118">
        <f>SUMIF(Aventri_2022COL[Detailed Description],LineItemTableAll[[#This Row],[Detailed Description]],Aventri_2022COL[Total Cost])</f>
        <v>0</v>
      </c>
      <c r="J37" s="118">
        <f>SUM(LineItemTableAll[[#This Row],[Aventri_2024IC]:[Aventri_2022COL]])</f>
        <v>83160</v>
      </c>
      <c r="K37" s="157">
        <f>SUMIF(CompuSystems_2025IC[Detailed Description],LineItemTableAll[[#This Row],[Detailed Description]],CompuSystems_2025IC[Total Cost])</f>
        <v>45000</v>
      </c>
      <c r="L37" s="157">
        <f>SUMIF(CompuSystems_2024IC[Detailed Description],LineItemTableAll[[#This Row],[Detailed Description]],CompuSystems_2024IC[Total Cost])</f>
        <v>35000</v>
      </c>
      <c r="M37" s="157">
        <f>SUMIF(CompuSystems_2023IC[Detailed Description],LineItemTableAll[[#This Row],[Detailed Description]],CompuSystems_2023IC[Total Cost])</f>
        <v>35000</v>
      </c>
      <c r="N37" s="157">
        <f>SUMIF(CompuSystems_2023_2025IA[Detailed Description],LineItemTableAll[[#This Row],[Detailed Description]],CompuSystems_2023_2025IA[Total Cost (2023)])</f>
        <v>7000</v>
      </c>
      <c r="O37" s="157">
        <f>SUMIF(CompuSystems_2023_2025IA[Detailed Description],LineItemTableAll[[#This Row],[Detailed Description]],CompuSystems_2023_2025IA[Total Cost (2025)])</f>
        <v>7000</v>
      </c>
      <c r="P37" s="157">
        <f>SUMIF(CompuSystems_2023_2025IA[Detailed Description],LineItemTableAll[[#This Row],[Detailed Description]],CompuSystems_2023_2025IA[Total Cost (2025)])</f>
        <v>7000</v>
      </c>
      <c r="Q37" s="157">
        <f>SUMIF(CompuSystems_2025COL[Detailed Description],LineItemTableAll[[#This Row],[Detailed Description]],CompuSystems_2025COL[Total Cost])</f>
        <v>0</v>
      </c>
      <c r="R37" s="157">
        <f>SUM(LineItemTableAll[[#This Row],[CompuSystems2024IC]:[CompuSystems2022COL]])</f>
        <v>136000</v>
      </c>
      <c r="S37" s="157">
        <f>SUMIF(MCI_2025IC[Detailed Description],LineItemTableAll[[#This Row],[Detailed Description]],MCI_2025IC[Total Cost])</f>
        <v>21000</v>
      </c>
      <c r="T37" s="157">
        <f>SUMIF(MCI_2024IC[Detailed Description],LineItemTableAll[[#This Row],[Detailed Description]],MCI_2024IC[Total Cost])</f>
        <v>24000</v>
      </c>
      <c r="U37" s="157">
        <f>SUMIF(MCI_2023IC[Detailed Description],LineItemTableAll[[#This Row],[Detailed Description]],MCI_2023IC[Total Cost])</f>
        <v>21000</v>
      </c>
      <c r="V37" s="157">
        <f>SUMIF(MCI_2023_2025IA[Detailed Description],LineItemTableAll[[#This Row],[Detailed Description]],MCI_2023_2025IA[Total Cost (2023)])</f>
        <v>4200</v>
      </c>
      <c r="W37" s="157">
        <f>SUMIF(MCI_2023_2025IA[Detailed Description],LineItemTableAll[[#This Row],[Detailed Description]],MCI_2023_2025IA[Total Cost (2025)])</f>
        <v>4200</v>
      </c>
      <c r="X37" s="157">
        <f>SUMIF(MCI_2023_2025IA[Detailed Description],LineItemTableAll[[#This Row],[Detailed Description]],MCI_2023_2025IA[Total Cost (2025)])</f>
        <v>4200</v>
      </c>
      <c r="Y37" s="157">
        <f>SUMIF(MCI_2025COL[Detailed Description],LineItemTableAll[[#This Row],[Detailed Description]],MCI_2025COL[Total Cost])</f>
        <v>0</v>
      </c>
      <c r="Z37" s="157">
        <f>SUM(LineItemTableAll[[#This Row],[MCI2024IC]:[MCI2022COL]])</f>
        <v>78600</v>
      </c>
    </row>
    <row r="38" spans="2:26" x14ac:dyDescent="0.35">
      <c r="B38" s="166" t="s">
        <v>199</v>
      </c>
      <c r="C38" s="118">
        <f>SUMIF(Aventri_2024IC[Detailed Description],LineItemTableAll[[#This Row],[Detailed Description]],Aventri_2024IC[Total Cost])</f>
        <v>3000</v>
      </c>
      <c r="D38" s="118">
        <f>SUMIF(Aventri_2023IC[Detailed Description],LineItemTableAll[[#This Row],[Detailed Description]],Aventri_2023IC[Total Cost])</f>
        <v>3000</v>
      </c>
      <c r="E38" s="118">
        <f>SUMIF(Aventri_2022IC[Detailed Description],LineItemTableAll[[#This Row],[Detailed Description]],Aventri_2022IC[Total Cost])</f>
        <v>3000</v>
      </c>
      <c r="F38" s="118">
        <f>SUMIF(Aventri_2021_2023IA[Detailed Description],LineItemTableAll[[#This Row],[Detailed Description]],Aventri_2021_2023IA[Total Cost (2022)])</f>
        <v>3000</v>
      </c>
      <c r="G38" s="118">
        <f>SUMIF(Aventri_2021_2023IA[Detailed Description],LineItemTableAll[[#This Row],[Detailed Description]],Aventri_2021_2023IA[Total Cost (2023)])</f>
        <v>3000</v>
      </c>
      <c r="H38" s="118">
        <f>SUMIF(Aventri_2021_2023IA[Detailed Description],LineItemTableAll[[#This Row],[Detailed Description]],Aventri_2021_2023IA[Total Cost (2024)])</f>
        <v>3000</v>
      </c>
      <c r="I38" s="118">
        <f>SUMIF(Aventri_2022COL[Detailed Description],LineItemTableAll[[#This Row],[Detailed Description]],Aventri_2022COL[Total Cost])</f>
        <v>0</v>
      </c>
      <c r="J38" s="118">
        <f>SUM(LineItemTableAll[[#This Row],[Aventri_2024IC]:[Aventri_2022COL]])</f>
        <v>18000</v>
      </c>
      <c r="K38" s="157">
        <f>SUMIF(CompuSystems_2025IC[Detailed Description],LineItemTableAll[[#This Row],[Detailed Description]],CompuSystems_2025IC[Total Cost])</f>
        <v>28250</v>
      </c>
      <c r="L38" s="157">
        <f>SUMIF(CompuSystems_2024IC[Detailed Description],LineItemTableAll[[#This Row],[Detailed Description]],CompuSystems_2024IC[Total Cost])</f>
        <v>28250</v>
      </c>
      <c r="M38" s="157">
        <f>SUMIF(CompuSystems_2023IC[Detailed Description],LineItemTableAll[[#This Row],[Detailed Description]],CompuSystems_2023IC[Total Cost])</f>
        <v>28250</v>
      </c>
      <c r="N38" s="157">
        <f>SUMIF(CompuSystems_2023_2025IA[Detailed Description],LineItemTableAll[[#This Row],[Detailed Description]],CompuSystems_2023_2025IA[Total Cost (2023)])</f>
        <v>10000</v>
      </c>
      <c r="O38" s="157">
        <f>SUMIF(CompuSystems_2023_2025IA[Detailed Description],LineItemTableAll[[#This Row],[Detailed Description]],CompuSystems_2023_2025IA[Total Cost (2025)])</f>
        <v>10000</v>
      </c>
      <c r="P38" s="157">
        <f>SUMIF(CompuSystems_2023_2025IA[Detailed Description],LineItemTableAll[[#This Row],[Detailed Description]],CompuSystems_2023_2025IA[Total Cost (2025)])</f>
        <v>10000</v>
      </c>
      <c r="Q38" s="157">
        <f>SUMIF(CompuSystems_2025COL[Detailed Description],LineItemTableAll[[#This Row],[Detailed Description]],CompuSystems_2025COL[Total Cost])</f>
        <v>0</v>
      </c>
      <c r="R38" s="157">
        <f>SUM(LineItemTableAll[[#This Row],[CompuSystems2024IC]:[CompuSystems2022COL]])</f>
        <v>114750</v>
      </c>
      <c r="S38" s="157">
        <f>SUMIF(MCI_2025IC[Detailed Description],LineItemTableAll[[#This Row],[Detailed Description]],MCI_2025IC[Total Cost])</f>
        <v>0</v>
      </c>
      <c r="T38" s="157">
        <f>SUMIF(MCI_2024IC[Detailed Description],LineItemTableAll[[#This Row],[Detailed Description]],MCI_2024IC[Total Cost])</f>
        <v>0</v>
      </c>
      <c r="U38" s="157">
        <f>SUMIF(MCI_2023IC[Detailed Description],LineItemTableAll[[#This Row],[Detailed Description]],MCI_2023IC[Total Cost])</f>
        <v>0</v>
      </c>
      <c r="V38" s="157">
        <f>SUMIF(MCI_2023_2025IA[Detailed Description],LineItemTableAll[[#This Row],[Detailed Description]],MCI_2023_2025IA[Total Cost (2023)])</f>
        <v>0</v>
      </c>
      <c r="W38" s="157">
        <f>SUMIF(MCI_2023_2025IA[Detailed Description],LineItemTableAll[[#This Row],[Detailed Description]],MCI_2023_2025IA[Total Cost (2025)])</f>
        <v>0</v>
      </c>
      <c r="X38" s="157">
        <f>SUMIF(MCI_2023_2025IA[Detailed Description],LineItemTableAll[[#This Row],[Detailed Description]],MCI_2023_2025IA[Total Cost (2025)])</f>
        <v>0</v>
      </c>
      <c r="Y38" s="157">
        <f>SUMIF(MCI_2025COL[Detailed Description],LineItemTableAll[[#This Row],[Detailed Description]],MCI_2025COL[Total Cost])</f>
        <v>0</v>
      </c>
      <c r="Z38" s="157">
        <f>SUM(LineItemTableAll[[#This Row],[MCI2024IC]:[MCI2022COL]])</f>
        <v>0</v>
      </c>
    </row>
    <row r="39" spans="2:26" x14ac:dyDescent="0.35">
      <c r="B39" s="167" t="s">
        <v>196</v>
      </c>
      <c r="C39" s="118">
        <f>SUMIF(Aventri_2024IC[Detailed Description],LineItemTableAll[[#This Row],[Detailed Description]],Aventri_2024IC[Total Cost])</f>
        <v>3000</v>
      </c>
      <c r="D39" s="118">
        <f>SUMIF(Aventri_2023IC[Detailed Description],LineItemTableAll[[#This Row],[Detailed Description]],Aventri_2023IC[Total Cost])</f>
        <v>3000</v>
      </c>
      <c r="E39" s="118">
        <f>SUMIF(Aventri_2022IC[Detailed Description],LineItemTableAll[[#This Row],[Detailed Description]],Aventri_2022IC[Total Cost])</f>
        <v>3000</v>
      </c>
      <c r="F39" s="118">
        <f>SUMIF(Aventri_2021_2023IA[Detailed Description],LineItemTableAll[[#This Row],[Detailed Description]],Aventri_2021_2023IA[Total Cost (2022)])</f>
        <v>3000</v>
      </c>
      <c r="G39" s="118">
        <f>SUMIF(Aventri_2021_2023IA[Detailed Description],LineItemTableAll[[#This Row],[Detailed Description]],Aventri_2021_2023IA[Total Cost (2023)])</f>
        <v>3000</v>
      </c>
      <c r="H39" s="118">
        <f>SUMIF(Aventri_2021_2023IA[Detailed Description],LineItemTableAll[[#This Row],[Detailed Description]],Aventri_2021_2023IA[Total Cost (2024)])</f>
        <v>3000</v>
      </c>
      <c r="I39" s="118">
        <f>SUMIF(Aventri_2022COL[Detailed Description],LineItemTableAll[[#This Row],[Detailed Description]],Aventri_2022COL[Total Cost])</f>
        <v>3000</v>
      </c>
      <c r="J39" s="118">
        <f>SUM(LineItemTableAll[[#This Row],[Aventri_2024IC]:[Aventri_2022COL]])</f>
        <v>21000</v>
      </c>
      <c r="K39" s="157">
        <f>SUMIF(CompuSystems_2025IC[Detailed Description],LineItemTableAll[[#This Row],[Detailed Description]],CompuSystems_2025IC[Total Cost])</f>
        <v>8400</v>
      </c>
      <c r="L39" s="157">
        <f>SUMIF(CompuSystems_2024IC[Detailed Description],LineItemTableAll[[#This Row],[Detailed Description]],CompuSystems_2024IC[Total Cost])</f>
        <v>3500</v>
      </c>
      <c r="M39" s="157">
        <f>SUMIF(CompuSystems_2023IC[Detailed Description],LineItemTableAll[[#This Row],[Detailed Description]],CompuSystems_2023IC[Total Cost])</f>
        <v>8540</v>
      </c>
      <c r="N39" s="157">
        <f>SUMIF(CompuSystems_2023_2025IA[Detailed Description],LineItemTableAll[[#This Row],[Detailed Description]],CompuSystems_2023_2025IA[Total Cost (2023)])</f>
        <v>3500</v>
      </c>
      <c r="O39" s="157">
        <f>SUMIF(CompuSystems_2023_2025IA[Detailed Description],LineItemTableAll[[#This Row],[Detailed Description]],CompuSystems_2023_2025IA[Total Cost (2025)])</f>
        <v>3500</v>
      </c>
      <c r="P39" s="157">
        <f>SUMIF(CompuSystems_2023_2025IA[Detailed Description],LineItemTableAll[[#This Row],[Detailed Description]],CompuSystems_2023_2025IA[Total Cost (2025)])</f>
        <v>3500</v>
      </c>
      <c r="Q39" s="157">
        <f>SUMIF(CompuSystems_2025COL[Detailed Description],LineItemTableAll[[#This Row],[Detailed Description]],CompuSystems_2025COL[Total Cost])</f>
        <v>3500</v>
      </c>
      <c r="R39" s="157">
        <f>SUM(LineItemTableAll[[#This Row],[CompuSystems2024IC]:[CompuSystems2022COL]])</f>
        <v>34440</v>
      </c>
      <c r="S39" s="157">
        <f>SUMIF(MCI_2025IC[Detailed Description],LineItemTableAll[[#This Row],[Detailed Description]],MCI_2025IC[Total Cost])</f>
        <v>3000</v>
      </c>
      <c r="T39" s="157">
        <f>SUMIF(MCI_2024IC[Detailed Description],LineItemTableAll[[#This Row],[Detailed Description]],MCI_2024IC[Total Cost])</f>
        <v>3000</v>
      </c>
      <c r="U39" s="157">
        <f>SUMIF(MCI_2023IC[Detailed Description],LineItemTableAll[[#This Row],[Detailed Description]],MCI_2023IC[Total Cost])</f>
        <v>3000</v>
      </c>
      <c r="V39" s="157">
        <f>SUMIF(MCI_2023_2025IA[Detailed Description],LineItemTableAll[[#This Row],[Detailed Description]],MCI_2023_2025IA[Total Cost (2023)])</f>
        <v>1000</v>
      </c>
      <c r="W39" s="157">
        <f>SUMIF(MCI_2023_2025IA[Detailed Description],LineItemTableAll[[#This Row],[Detailed Description]],MCI_2023_2025IA[Total Cost (2025)])</f>
        <v>1000</v>
      </c>
      <c r="X39" s="157">
        <f>SUMIF(MCI_2023_2025IA[Detailed Description],LineItemTableAll[[#This Row],[Detailed Description]],MCI_2023_2025IA[Total Cost (2025)])</f>
        <v>1000</v>
      </c>
      <c r="Y39" s="157">
        <f>SUMIF(MCI_2025COL[Detailed Description],LineItemTableAll[[#This Row],[Detailed Description]],MCI_2025COL[Total Cost])</f>
        <v>1000</v>
      </c>
      <c r="Z39" s="157">
        <f>SUM(LineItemTableAll[[#This Row],[MCI2024IC]:[MCI2022COL]])</f>
        <v>13000</v>
      </c>
    </row>
    <row r="40" spans="2:26" x14ac:dyDescent="0.35">
      <c r="B40" s="197" t="s">
        <v>193</v>
      </c>
      <c r="C40" s="119">
        <f>SUMIF(Aventri_2024IC[Detailed Description],LineItemTableAll[[#This Row],[Detailed Description]],Aventri_2024IC[Total Cost])</f>
        <v>5325</v>
      </c>
      <c r="D40" s="119">
        <f>SUMIF(Aventri_2023IC[Detailed Description],LineItemTableAll[[#This Row],[Detailed Description]],Aventri_2023IC[Total Cost])</f>
        <v>5325</v>
      </c>
      <c r="E40" s="119">
        <f>SUMIF(Aventri_2022IC[Detailed Description],LineItemTableAll[[#This Row],[Detailed Description]],Aventri_2022IC[Total Cost])</f>
        <v>5325</v>
      </c>
      <c r="F40" s="119">
        <f>SUMIF(Aventri_2021_2023IA[Detailed Description],LineItemTableAll[[#This Row],[Detailed Description]],Aventri_2021_2023IA[Total Cost (2022)])</f>
        <v>750</v>
      </c>
      <c r="G40" s="119">
        <f>SUMIF(Aventri_2021_2023IA[Detailed Description],LineItemTableAll[[#This Row],[Detailed Description]],Aventri_2021_2023IA[Total Cost (2023)])</f>
        <v>750</v>
      </c>
      <c r="H40" s="119">
        <f>SUMIF(Aventri_2021_2023IA[Detailed Description],LineItemTableAll[[#This Row],[Detailed Description]],Aventri_2021_2023IA[Total Cost (2024)])</f>
        <v>750</v>
      </c>
      <c r="I40" s="119">
        <f>SUMIF(Aventri_2022COL[Detailed Description],LineItemTableAll[[#This Row],[Detailed Description]],Aventri_2022COL[Total Cost])</f>
        <v>375</v>
      </c>
      <c r="J40" s="119">
        <f>SUM(LineItemTableAll[[#This Row],[Aventri_2024IC]:[Aventri_2022COL]])</f>
        <v>18600</v>
      </c>
      <c r="K40" s="198">
        <f>SUMIF(CompuSystems_2025IC[Detailed Description],LineItemTableAll[[#This Row],[Detailed Description]],CompuSystems_2025IC[Total Cost])</f>
        <v>5475</v>
      </c>
      <c r="L40" s="198">
        <f>SUMIF(CompuSystems_2024IC[Detailed Description],LineItemTableAll[[#This Row],[Detailed Description]],CompuSystems_2024IC[Total Cost])</f>
        <v>7950</v>
      </c>
      <c r="M40" s="198">
        <f>SUMIF(CompuSystems_2023IC[Detailed Description],LineItemTableAll[[#This Row],[Detailed Description]],CompuSystems_2023IC[Total Cost])</f>
        <v>3750</v>
      </c>
      <c r="N40" s="198">
        <f>SUMIF(CompuSystems_2023_2025IA[Detailed Description],LineItemTableAll[[#This Row],[Detailed Description]],CompuSystems_2023_2025IA[Total Cost (2023)])</f>
        <v>750</v>
      </c>
      <c r="O40" s="198">
        <f>SUMIF(CompuSystems_2023_2025IA[Detailed Description],LineItemTableAll[[#This Row],[Detailed Description]],CompuSystems_2023_2025IA[Total Cost (2025)])</f>
        <v>750</v>
      </c>
      <c r="P40" s="198">
        <f>SUMIF(CompuSystems_2023_2025IA[Detailed Description],LineItemTableAll[[#This Row],[Detailed Description]],CompuSystems_2023_2025IA[Total Cost (2025)])</f>
        <v>750</v>
      </c>
      <c r="Q40" s="198">
        <f>SUMIF(CompuSystems_2025COL[Detailed Description],LineItemTableAll[[#This Row],[Detailed Description]],CompuSystems_2025COL[Total Cost])</f>
        <v>375</v>
      </c>
      <c r="R40" s="198">
        <f>SUM(LineItemTableAll[[#This Row],[CompuSystems2024IC]:[CompuSystems2022COL]])</f>
        <v>19800</v>
      </c>
      <c r="S40" s="198">
        <f>SUMIF(MCI_2025IC[Detailed Description],LineItemTableAll[[#This Row],[Detailed Description]],MCI_2025IC[Total Cost])</f>
        <v>5325</v>
      </c>
      <c r="T40" s="198">
        <f>SUMIF(MCI_2024IC[Detailed Description],LineItemTableAll[[#This Row],[Detailed Description]],MCI_2024IC[Total Cost])</f>
        <v>5325</v>
      </c>
      <c r="U40" s="198">
        <f>SUMIF(MCI_2023IC[Detailed Description],LineItemTableAll[[#This Row],[Detailed Description]],MCI_2023IC[Total Cost])</f>
        <v>7950</v>
      </c>
      <c r="V40" s="198">
        <f>SUMIF(MCI_2023_2025IA[Detailed Description],LineItemTableAll[[#This Row],[Detailed Description]],MCI_2023_2025IA[Total Cost (2023)])</f>
        <v>750</v>
      </c>
      <c r="W40" s="198">
        <f>SUMIF(MCI_2023_2025IA[Detailed Description],LineItemTableAll[[#This Row],[Detailed Description]],MCI_2023_2025IA[Total Cost (2025)])</f>
        <v>750</v>
      </c>
      <c r="X40" s="198">
        <f>SUMIF(MCI_2023_2025IA[Detailed Description],LineItemTableAll[[#This Row],[Detailed Description]],MCI_2023_2025IA[Total Cost (2025)])</f>
        <v>750</v>
      </c>
      <c r="Y40" s="198">
        <f>SUMIF(MCI_2025COL[Detailed Description],LineItemTableAll[[#This Row],[Detailed Description]],MCI_2025COL[Total Cost])</f>
        <v>375</v>
      </c>
      <c r="Z40" s="198">
        <f>SUM(LineItemTableAll[[#This Row],[MCI2024IC]:[MCI2022COL]])</f>
        <v>21225</v>
      </c>
    </row>
    <row r="41" spans="2:26" x14ac:dyDescent="0.35">
      <c r="B41" s="160" t="s">
        <v>28</v>
      </c>
      <c r="C41" s="158">
        <f>SUBTOTAL(109,LineItemTableAll[Aventri_2024IC])</f>
        <v>191980.87</v>
      </c>
      <c r="D41" s="158">
        <f>SUBTOTAL(109,LineItemTableAll[Aventri_2023IC])</f>
        <v>192520.87</v>
      </c>
      <c r="E41" s="158">
        <f>SUBTOTAL(109,LineItemTableAll[Aventri_2022IC])</f>
        <v>179837.87</v>
      </c>
      <c r="F41" s="158">
        <f>SUBTOTAL(109,LineItemTableAll[Aventri_2022IA])</f>
        <v>27117.95</v>
      </c>
      <c r="G41" s="158">
        <f>SUBTOTAL(109,LineItemTableAll[Aventri_2023IA])</f>
        <v>27297.95</v>
      </c>
      <c r="H41" s="158">
        <f>SUBTOTAL(109,LineItemTableAll[Aventri_2024])</f>
        <v>27297.95</v>
      </c>
      <c r="I41" s="158">
        <f>SUBTOTAL(109,LineItemTableAll[Aventri_2022COL])</f>
        <v>12390.03</v>
      </c>
      <c r="J41" s="158">
        <f>SUBTOTAL(109,LineItemTableAll[Aventri_Total Contract])</f>
        <v>658443.49</v>
      </c>
      <c r="K41" s="158">
        <f>SUBTOTAL(109,LineItemTableAll[CompuSystems2024IC])</f>
        <v>200975</v>
      </c>
      <c r="L41" s="158">
        <f>SUBTOTAL(109,LineItemTableAll[CompuSystems2023IC])</f>
        <v>172340</v>
      </c>
      <c r="M41" s="158">
        <f>SUBTOTAL(109,LineItemTableAll[CompuSystems2022IC])</f>
        <v>164349</v>
      </c>
      <c r="N41" s="158">
        <f>SUBTOTAL(109,LineItemTableAll[CompuSystems2022IA])</f>
        <v>44707.08</v>
      </c>
      <c r="O41" s="158">
        <f>SUBTOTAL(109,LineItemTableAll[CompuSystems2023I])</f>
        <v>44887.08</v>
      </c>
      <c r="P41" s="158">
        <f>SUBTOTAL(109,LineItemTableAll[CompuSystems2024IA])</f>
        <v>44887.08</v>
      </c>
      <c r="Q41" s="158">
        <f>SUBTOTAL(109,LineItemTableAll[CompuSystems2022COL])</f>
        <v>24897.16</v>
      </c>
      <c r="R41" s="158">
        <f>SUBTOTAL(109,LineItemTableAll[CompuSystemsTotal Contract])</f>
        <v>697042.4</v>
      </c>
      <c r="S41" s="158">
        <f>SUBTOTAL(109,LineItemTableAll[MCI2024IC])</f>
        <v>177555</v>
      </c>
      <c r="T41" s="158">
        <f>SUBTOTAL(109,LineItemTableAll[MCI2023IC])</f>
        <v>186095</v>
      </c>
      <c r="U41" s="158">
        <f>SUBTOTAL(109,LineItemTableAll[MCI2022IC])</f>
        <v>186913</v>
      </c>
      <c r="V41" s="158">
        <f>SUBTOTAL(109,LineItemTableAll[MCI2022IA])</f>
        <v>28312.080000000002</v>
      </c>
      <c r="W41" s="158">
        <f>SUBTOTAL(109,LineItemTableAll[MCI2023IA])</f>
        <v>28492.080000000002</v>
      </c>
      <c r="X41" s="158">
        <f>SUBTOTAL(109,LineItemTableAll[MCI2024IA])</f>
        <v>28492.080000000002</v>
      </c>
      <c r="Y41" s="158">
        <f>SUBTOTAL(109,LineItemTableAll[MCI2022COL])</f>
        <v>25834.16</v>
      </c>
      <c r="Z41" s="158">
        <f>SUBTOTAL(109,LineItemTableAll[MCITotal Contract])</f>
        <v>661693.4</v>
      </c>
    </row>
    <row r="43" spans="2:26" x14ac:dyDescent="0.35">
      <c r="Z43" s="130"/>
    </row>
    <row r="44" spans="2:26" x14ac:dyDescent="0.35">
      <c r="B44" s="130"/>
    </row>
    <row r="45" spans="2:26" x14ac:dyDescent="0.35">
      <c r="B45" s="130"/>
    </row>
    <row r="46" spans="2:26" x14ac:dyDescent="0.35">
      <c r="B46" s="130"/>
    </row>
  </sheetData>
  <mergeCells count="3">
    <mergeCell ref="K2:R2"/>
    <mergeCell ref="S2:Z2"/>
    <mergeCell ref="C2:J2"/>
  </mergeCells>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1:V39"/>
  <sheetViews>
    <sheetView topLeftCell="A14" zoomScale="60" zoomScaleNormal="60" workbookViewId="0">
      <selection activeCell="D30" sqref="D30"/>
    </sheetView>
  </sheetViews>
  <sheetFormatPr defaultRowHeight="14.5" x14ac:dyDescent="0.35"/>
  <cols>
    <col min="2" max="2" width="12.453125" bestFit="1" customWidth="1"/>
    <col min="3" max="3" width="17.1796875" bestFit="1" customWidth="1"/>
    <col min="4" max="6" width="22.08984375" bestFit="1" customWidth="1"/>
    <col min="7" max="7" width="22.1796875" bestFit="1" customWidth="1"/>
    <col min="8" max="8" width="23.1796875" bestFit="1" customWidth="1"/>
    <col min="9" max="9" width="22.1796875" bestFit="1" customWidth="1"/>
    <col min="10" max="10" width="23.90625" bestFit="1" customWidth="1"/>
    <col min="11" max="11" width="28.81640625" bestFit="1" customWidth="1"/>
    <col min="12" max="12" width="22.08984375" bestFit="1" customWidth="1"/>
    <col min="13" max="13" width="16.54296875" customWidth="1"/>
    <col min="14" max="14" width="28.1796875" bestFit="1" customWidth="1"/>
    <col min="15" max="15" width="34" bestFit="1" customWidth="1"/>
    <col min="16" max="16" width="24.1796875" bestFit="1" customWidth="1"/>
    <col min="17" max="17" width="22.1796875" bestFit="1" customWidth="1"/>
    <col min="18" max="18" width="23.90625" bestFit="1" customWidth="1"/>
    <col min="19" max="19" width="28.81640625" bestFit="1" customWidth="1"/>
    <col min="20" max="22" width="12.453125" bestFit="1" customWidth="1"/>
    <col min="23" max="23" width="12.54296875" bestFit="1" customWidth="1"/>
    <col min="24" max="24" width="13.54296875" bestFit="1" customWidth="1"/>
    <col min="25" max="25" width="12.54296875" bestFit="1" customWidth="1"/>
    <col min="26" max="26" width="14.08984375" bestFit="1" customWidth="1"/>
    <col min="27" max="27" width="19" bestFit="1" customWidth="1"/>
  </cols>
  <sheetData>
    <row r="1" spans="3:22" hidden="1" x14ac:dyDescent="0.35">
      <c r="D1" s="114"/>
      <c r="E1" s="114"/>
      <c r="F1" s="114"/>
      <c r="G1" s="114"/>
      <c r="H1" s="114"/>
      <c r="I1" s="114"/>
      <c r="J1" s="114"/>
      <c r="K1" s="114"/>
    </row>
    <row r="2" spans="3:22" ht="15" hidden="1" customHeight="1" x14ac:dyDescent="0.35">
      <c r="C2" s="248" t="s">
        <v>29</v>
      </c>
      <c r="D2" s="248"/>
      <c r="E2" s="248"/>
      <c r="F2" s="248"/>
      <c r="G2" s="248"/>
      <c r="H2" s="248"/>
      <c r="I2" s="248"/>
      <c r="J2" s="248"/>
      <c r="K2" s="248"/>
    </row>
    <row r="3" spans="3:22" hidden="1" x14ac:dyDescent="0.35">
      <c r="C3" t="s">
        <v>152</v>
      </c>
      <c r="D3" t="s">
        <v>278</v>
      </c>
      <c r="E3" t="s">
        <v>277</v>
      </c>
      <c r="F3" t="s">
        <v>276</v>
      </c>
      <c r="G3" t="s">
        <v>279</v>
      </c>
      <c r="H3" t="s">
        <v>280</v>
      </c>
      <c r="I3" t="s">
        <v>281</v>
      </c>
      <c r="J3" t="s">
        <v>282</v>
      </c>
      <c r="K3" t="s">
        <v>283</v>
      </c>
    </row>
    <row r="4" spans="3:22" hidden="1" x14ac:dyDescent="0.35">
      <c r="C4" t="s">
        <v>195</v>
      </c>
      <c r="D4" s="114">
        <f>SUMIF(Aventri_2022IC[Type],AvenrtiCategoryTable[[#This Row],[Type]],Aventri_2022IC[Total Cost])</f>
        <v>9000</v>
      </c>
      <c r="E4" s="114">
        <f>SUMIF(Aventri_2023IC[Type],AvenrtiCategoryTable[[#This Row],[Type]],Aventri_2023IC[Total Cost])</f>
        <v>9000</v>
      </c>
      <c r="F4" s="114">
        <f>SUMIF(Aventri_2024IC[Type],AvenrtiCategoryTable[[#This Row],[Type]],Aventri_2024IC[Total Cost])</f>
        <v>9000</v>
      </c>
      <c r="G4" s="114">
        <f>SUMIF(Aventri_2021_2023IA[Type],AvenrtiCategoryTable[[#This Row],[Type]],Aventri_2021_2023IA[Total Cost (2022)])</f>
        <v>6000</v>
      </c>
      <c r="H4" s="114">
        <f>SUMIF(Aventri_2021_2023IA[Type],AvenrtiCategoryTable[[#This Row],[Type]],Aventri_2021_2023IA[Total Cost (2023)])</f>
        <v>6000</v>
      </c>
      <c r="I4" s="114">
        <f>SUMIF(Aventri_2021_2023IA[Type],AvenrtiCategoryTable[[#This Row],[Type]],Aventri_2021_2023IA[Total Cost (2024)])</f>
        <v>6000</v>
      </c>
      <c r="J4" s="114">
        <f>SUMIF(Aventri_2022COL[Type],AvenrtiCategoryTable[[#This Row],[Type]],Aventri_2022COL[Total Cost])</f>
        <v>3000</v>
      </c>
      <c r="K4" s="114">
        <f>SUM(AvenrtiCategoryTable[[#This Row],[Aventri_2022IC]:[Aventri_2022COL]])</f>
        <v>48000</v>
      </c>
      <c r="L4" s="116"/>
    </row>
    <row r="5" spans="3:22" hidden="1" x14ac:dyDescent="0.35">
      <c r="C5" t="s">
        <v>169</v>
      </c>
      <c r="D5" s="114">
        <f>SUMIF(Aventri_2022IC[Type],AvenrtiCategoryTable[[#This Row],[Type]],Aventri_2022IC[Total Cost])</f>
        <v>29500</v>
      </c>
      <c r="E5" s="114">
        <f>SUMIF(Aventri_2023IC[Type],AvenrtiCategoryTable[[#This Row],[Type]],Aventri_2023IC[Total Cost])</f>
        <v>27500</v>
      </c>
      <c r="F5" s="114">
        <f>SUMIF(Aventri_2024IC[Type],AvenrtiCategoryTable[[#This Row],[Type]],Aventri_2024IC[Total Cost])</f>
        <v>27500</v>
      </c>
      <c r="G5" s="114">
        <f>SUMIF(Aventri_2021_2023IA[Type],AvenrtiCategoryTable[[#This Row],[Type]],Aventri_2021_2023IA[Total Cost (2022)])</f>
        <v>3775</v>
      </c>
      <c r="H5" s="114">
        <f>SUMIF(Aventri_2021_2023IA[Type],AvenrtiCategoryTable[[#This Row],[Type]],Aventri_2021_2023IA[Total Cost (2023)])</f>
        <v>3775</v>
      </c>
      <c r="I5" s="114">
        <f>SUMIF(Aventri_2021_2023IA[Type],AvenrtiCategoryTable[[#This Row],[Type]],Aventri_2021_2023IA[Total Cost (2024)])</f>
        <v>3775</v>
      </c>
      <c r="J5" s="114">
        <f>SUMIF(Aventri_2022COL[Type],AvenrtiCategoryTable[[#This Row],[Type]],Aventri_2022COL[Total Cost])</f>
        <v>1075</v>
      </c>
      <c r="K5" s="114">
        <f>SUM(AvenrtiCategoryTable[[#This Row],[Aventri_2022IC]:[Aventri_2022COL]])</f>
        <v>96900</v>
      </c>
      <c r="L5" s="116"/>
    </row>
    <row r="6" spans="3:22" hidden="1" x14ac:dyDescent="0.35">
      <c r="C6" t="s">
        <v>204</v>
      </c>
      <c r="D6" s="114">
        <f>SUMIF(Aventri_2022IC[Type],AvenrtiCategoryTable[[#This Row],[Type]],Aventri_2022IC[Total Cost])</f>
        <v>3000</v>
      </c>
      <c r="E6" s="114">
        <f>SUMIF(Aventri_2023IC[Type],AvenrtiCategoryTable[[#This Row],[Type]],Aventri_2023IC[Total Cost])</f>
        <v>3000</v>
      </c>
      <c r="F6" s="114">
        <f>SUMIF(Aventri_2024IC[Type],AvenrtiCategoryTable[[#This Row],[Type]],Aventri_2024IC[Total Cost])</f>
        <v>3000</v>
      </c>
      <c r="G6" s="114">
        <f>SUMIF(Aventri_2021_2023IA[Type],AvenrtiCategoryTable[[#This Row],[Type]],Aventri_2021_2023IA[Total Cost (2022)])</f>
        <v>3000</v>
      </c>
      <c r="H6" s="114">
        <f>SUMIF(Aventri_2021_2023IA[Type],AvenrtiCategoryTable[[#This Row],[Type]],Aventri_2021_2023IA[Total Cost (2023)])</f>
        <v>3000</v>
      </c>
      <c r="I6" s="114">
        <f>SUMIF(Aventri_2021_2023IA[Type],AvenrtiCategoryTable[[#This Row],[Type]],Aventri_2021_2023IA[Total Cost (2024)])</f>
        <v>3000</v>
      </c>
      <c r="J6" s="114">
        <f>SUMIF(Aventri_2022COL[Type],AvenrtiCategoryTable[[#This Row],[Type]],Aventri_2022COL[Total Cost])</f>
        <v>3000</v>
      </c>
      <c r="K6" s="114">
        <f>SUM(AvenrtiCategoryTable[[#This Row],[Aventri_2022IC]:[Aventri_2022COL]])</f>
        <v>21000</v>
      </c>
      <c r="L6" s="116"/>
    </row>
    <row r="7" spans="3:22" hidden="1" x14ac:dyDescent="0.35">
      <c r="C7" t="s">
        <v>182</v>
      </c>
      <c r="D7" s="114">
        <f>SUMIF(Aventri_2022IC[Type],AvenrtiCategoryTable[[#This Row],[Type]],Aventri_2022IC[Total Cost])</f>
        <v>0</v>
      </c>
      <c r="E7" s="114">
        <f>SUMIF(Aventri_2023IC[Type],AvenrtiCategoryTable[[#This Row],[Type]],Aventri_2023IC[Total Cost])</f>
        <v>17000</v>
      </c>
      <c r="F7" s="114">
        <f>SUMIF(Aventri_2024IC[Type],AvenrtiCategoryTable[[#This Row],[Type]],Aventri_2024IC[Total Cost])</f>
        <v>17000</v>
      </c>
      <c r="G7" s="114">
        <f>SUMIF(Aventri_2021_2023IA[Type],AvenrtiCategoryTable[[#This Row],[Type]],Aventri_2021_2023IA[Total Cost (2022)])</f>
        <v>1275</v>
      </c>
      <c r="H7" s="114">
        <f>SUMIF(Aventri_2021_2023IA[Type],AvenrtiCategoryTable[[#This Row],[Type]],Aventri_2021_2023IA[Total Cost (2023)])</f>
        <v>1275</v>
      </c>
      <c r="I7" s="114">
        <f>SUMIF(Aventri_2021_2023IA[Type],AvenrtiCategoryTable[[#This Row],[Type]],Aventri_2021_2023IA[Total Cost (2024)])</f>
        <v>1275</v>
      </c>
      <c r="J7" s="114">
        <f>SUMIF(Aventri_2022COL[Type],AvenrtiCategoryTable[[#This Row],[Type]],Aventri_2022COL[Total Cost])</f>
        <v>1020</v>
      </c>
      <c r="K7" s="114">
        <f>SUM(AvenrtiCategoryTable[[#This Row],[Aventri_2022IC]:[Aventri_2022COL]])</f>
        <v>38845</v>
      </c>
      <c r="L7" s="116"/>
    </row>
    <row r="8" spans="3:22" hidden="1" x14ac:dyDescent="0.35">
      <c r="C8" t="s">
        <v>190</v>
      </c>
      <c r="D8" s="114">
        <f>SUMIF(Aventri_2022IC[Type],AvenrtiCategoryTable[[#This Row],[Type]],Aventri_2022IC[Total Cost])</f>
        <v>32814</v>
      </c>
      <c r="E8" s="114">
        <f>SUMIF(Aventri_2023IC[Type],AvenrtiCategoryTable[[#This Row],[Type]],Aventri_2023IC[Total Cost])</f>
        <v>32745</v>
      </c>
      <c r="F8" s="114">
        <f>SUMIF(Aventri_2024IC[Type],AvenrtiCategoryTable[[#This Row],[Type]],Aventri_2024IC[Total Cost])</f>
        <v>32205</v>
      </c>
      <c r="G8" s="114">
        <f>SUMIF(Aventri_2021_2023IA[Type],AvenrtiCategoryTable[[#This Row],[Type]],Aventri_2021_2023IA[Total Cost (2022)])</f>
        <v>9492.08</v>
      </c>
      <c r="H8" s="114">
        <f>SUMIF(Aventri_2021_2023IA[Type],AvenrtiCategoryTable[[#This Row],[Type]],Aventri_2021_2023IA[Total Cost (2023)])</f>
        <v>9672.08</v>
      </c>
      <c r="I8" s="114">
        <f>SUMIF(Aventri_2021_2023IA[Type],AvenrtiCategoryTable[[#This Row],[Type]],Aventri_2021_2023IA[Total Cost (2024)])</f>
        <v>9672.08</v>
      </c>
      <c r="J8" s="114">
        <f>SUMIF(Aventri_2022COL[Type],AvenrtiCategoryTable[[#This Row],[Type]],Aventri_2022COL[Total Cost])</f>
        <v>819.16000000000008</v>
      </c>
      <c r="K8" s="114">
        <f>SUM(AvenrtiCategoryTable[[#This Row],[Aventri_2022IC]:[Aventri_2022COL]])</f>
        <v>127419.40000000001</v>
      </c>
      <c r="L8" s="116"/>
    </row>
    <row r="9" spans="3:22" hidden="1" x14ac:dyDescent="0.35">
      <c r="C9" t="s">
        <v>185</v>
      </c>
      <c r="D9" s="114">
        <f>SUMIF(Aventri_2022IC[Type],AvenrtiCategoryTable[[#This Row],[Type]],Aventri_2022IC[Total Cost])</f>
        <v>350.87</v>
      </c>
      <c r="E9" s="114">
        <f>SUMIF(Aventri_2023IC[Type],AvenrtiCategoryTable[[#This Row],[Type]],Aventri_2023IC[Total Cost])</f>
        <v>350.87</v>
      </c>
      <c r="F9" s="114">
        <f>SUMIF(Aventri_2024IC[Type],AvenrtiCategoryTable[[#This Row],[Type]],Aventri_2024IC[Total Cost])</f>
        <v>350.87</v>
      </c>
      <c r="G9" s="114">
        <f>SUMIF(Aventri_2021_2023IA[Type],AvenrtiCategoryTable[[#This Row],[Type]],Aventri_2021_2023IA[Total Cost (2022)])</f>
        <v>350.87</v>
      </c>
      <c r="H9" s="114">
        <f>SUMIF(Aventri_2021_2023IA[Type],AvenrtiCategoryTable[[#This Row],[Type]],Aventri_2021_2023IA[Total Cost (2023)])</f>
        <v>350.87</v>
      </c>
      <c r="I9" s="114">
        <f>SUMIF(Aventri_2021_2023IA[Type],AvenrtiCategoryTable[[#This Row],[Type]],Aventri_2021_2023IA[Total Cost (2024)])</f>
        <v>350.87</v>
      </c>
      <c r="J9" s="114">
        <f>SUMIF(Aventri_2022COL[Type],AvenrtiCategoryTable[[#This Row],[Type]],Aventri_2022COL[Total Cost])</f>
        <v>350.87</v>
      </c>
      <c r="K9" s="114">
        <f>SUM(AvenrtiCategoryTable[[#This Row],[Aventri_2022IC]:[Aventri_2022COL]])</f>
        <v>2456.0899999999997</v>
      </c>
      <c r="L9" s="116"/>
    </row>
    <row r="10" spans="3:22" hidden="1" x14ac:dyDescent="0.35">
      <c r="C10" t="s">
        <v>158</v>
      </c>
      <c r="D10" s="114">
        <f>SUMIF(Aventri_2022IC[Type],AvenrtiCategoryTable[[#This Row],[Type]],Aventri_2022IC[Total Cost])</f>
        <v>99100</v>
      </c>
      <c r="E10" s="114">
        <f>SUMIF(Aventri_2023IC[Type],AvenrtiCategoryTable[[#This Row],[Type]],Aventri_2023IC[Total Cost])</f>
        <v>99100</v>
      </c>
      <c r="F10" s="114">
        <f>SUMIF(Aventri_2024IC[Type],AvenrtiCategoryTable[[#This Row],[Type]],Aventri_2024IC[Total Cost])</f>
        <v>99100</v>
      </c>
      <c r="G10" s="114">
        <f>SUMIF(Aventri_2021_2023IA[Type],AvenrtiCategoryTable[[#This Row],[Type]],Aventri_2021_2023IA[Total Cost (2022)])</f>
        <v>0</v>
      </c>
      <c r="H10" s="114">
        <f>SUMIF(Aventri_2021_2023IA[Type],AvenrtiCategoryTable[[#This Row],[Type]],Aventri_2021_2023IA[Total Cost (2023)])</f>
        <v>0</v>
      </c>
      <c r="I10" s="114">
        <f>SUMIF(Aventri_2021_2023IA[Type],AvenrtiCategoryTable[[#This Row],[Type]],Aventri_2021_2023IA[Total Cost (2024)])</f>
        <v>0</v>
      </c>
      <c r="J10" s="114">
        <f>SUMIF(Aventri_2022COL[Type],AvenrtiCategoryTable[[#This Row],[Type]],Aventri_2022COL[Total Cost])</f>
        <v>0</v>
      </c>
      <c r="K10" s="114">
        <f>SUM(AvenrtiCategoryTable[[#This Row],[Aventri_2022IC]:[Aventri_2022COL]])</f>
        <v>297300</v>
      </c>
      <c r="L10" s="116"/>
    </row>
    <row r="11" spans="3:22" hidden="1" x14ac:dyDescent="0.35">
      <c r="C11" t="s">
        <v>176</v>
      </c>
      <c r="D11" s="114">
        <f>SUMIF(Aventri_2022IC[Type],AvenrtiCategoryTable[[#This Row],[Type]],Aventri_2022IC[Total Cost])</f>
        <v>425</v>
      </c>
      <c r="E11" s="114">
        <f>SUMIF(Aventri_2023IC[Type],AvenrtiCategoryTable[[#This Row],[Type]],Aventri_2023IC[Total Cost])</f>
        <v>425</v>
      </c>
      <c r="F11" s="114">
        <f>SUMIF(Aventri_2024IC[Type],AvenrtiCategoryTable[[#This Row],[Type]],Aventri_2024IC[Total Cost])</f>
        <v>425</v>
      </c>
      <c r="G11" s="114">
        <f>SUMIF(Aventri_2021_2023IA[Type],AvenrtiCategoryTable[[#This Row],[Type]],Aventri_2021_2023IA[Total Cost (2022)])</f>
        <v>425</v>
      </c>
      <c r="H11" s="114">
        <f>SUMIF(Aventri_2021_2023IA[Type],AvenrtiCategoryTable[[#This Row],[Type]],Aventri_2021_2023IA[Total Cost (2023)])</f>
        <v>425</v>
      </c>
      <c r="I11" s="114">
        <f>SUMIF(Aventri_2021_2023IA[Type],AvenrtiCategoryTable[[#This Row],[Type]],Aventri_2021_2023IA[Total Cost (2024)])</f>
        <v>425</v>
      </c>
      <c r="J11" s="114">
        <f>SUMIF(Aventri_2022COL[Type],AvenrtiCategoryTable[[#This Row],[Type]],Aventri_2022COL[Total Cost])</f>
        <v>325</v>
      </c>
      <c r="K11" s="114">
        <f>SUM(AvenrtiCategoryTable[[#This Row],[Aventri_2022IC]:[Aventri_2022COL]])</f>
        <v>2875</v>
      </c>
      <c r="L11" s="116"/>
    </row>
    <row r="12" spans="3:22" hidden="1" x14ac:dyDescent="0.35">
      <c r="C12" t="s">
        <v>201</v>
      </c>
      <c r="D12" s="114">
        <f>SUMIF(Aventri_2022IC[Type],AvenrtiCategoryTable[[#This Row],[Type]],Aventri_2022IC[Total Cost])</f>
        <v>5648</v>
      </c>
      <c r="E12" s="114">
        <f>SUMIF(Aventri_2023IC[Type],AvenrtiCategoryTable[[#This Row],[Type]],Aventri_2023IC[Total Cost])</f>
        <v>3400</v>
      </c>
      <c r="F12" s="114">
        <f>SUMIF(Aventri_2024IC[Type],AvenrtiCategoryTable[[#This Row],[Type]],Aventri_2024IC[Total Cost])</f>
        <v>3400</v>
      </c>
      <c r="G12" s="114">
        <f>SUMIF(Aventri_2021_2023IA[Type],AvenrtiCategoryTable[[#This Row],[Type]],Aventri_2021_2023IA[Total Cost (2022)])</f>
        <v>2800</v>
      </c>
      <c r="H12" s="114">
        <f>SUMIF(Aventri_2021_2023IA[Type],AvenrtiCategoryTable[[#This Row],[Type]],Aventri_2021_2023IA[Total Cost (2023)])</f>
        <v>2800</v>
      </c>
      <c r="I12" s="114">
        <f>SUMIF(Aventri_2021_2023IA[Type],AvenrtiCategoryTable[[#This Row],[Type]],Aventri_2021_2023IA[Total Cost (2024)])</f>
        <v>2800</v>
      </c>
      <c r="J12" s="114">
        <f>SUMIF(Aventri_2022COL[Type],AvenrtiCategoryTable[[#This Row],[Type]],Aventri_2022COL[Total Cost])</f>
        <v>2800</v>
      </c>
      <c r="K12" s="114">
        <f>SUM(AvenrtiCategoryTable[[#This Row],[Aventri_2022IC]:[Aventri_2022COL]])</f>
        <v>23648</v>
      </c>
      <c r="L12" s="116"/>
    </row>
    <row r="13" spans="3:22" hidden="1" x14ac:dyDescent="0.35">
      <c r="C13" s="115" t="s">
        <v>28</v>
      </c>
      <c r="D13" s="115">
        <f>SUBTOTAL(109,AvenrtiCategoryTable[Aventri_2022IC])</f>
        <v>0</v>
      </c>
      <c r="E13" s="115">
        <f>SUBTOTAL(109,AvenrtiCategoryTable[Aventri_2023IC])</f>
        <v>0</v>
      </c>
      <c r="F13" s="115">
        <f>SUBTOTAL(109,AvenrtiCategoryTable[Aventri_2024IC])</f>
        <v>0</v>
      </c>
      <c r="G13" s="115">
        <f>SUBTOTAL(109,AvenrtiCategoryTable[Aventri_2022IA])</f>
        <v>0</v>
      </c>
      <c r="H13" s="115">
        <f>SUBTOTAL(109,AvenrtiCategoryTable[Aventri_2023IA])</f>
        <v>0</v>
      </c>
      <c r="I13" s="115">
        <f>SUBTOTAL(109,AvenrtiCategoryTable[Aventri_2024])</f>
        <v>0</v>
      </c>
      <c r="J13" s="115">
        <f>SUBTOTAL(109,AvenrtiCategoryTable[Aventri_2022COL])</f>
        <v>0</v>
      </c>
      <c r="K13" s="115">
        <f>SUBTOTAL(109,AvenrtiCategoryTable[Aventri_Total Contract])</f>
        <v>0</v>
      </c>
      <c r="V13" s="116"/>
    </row>
    <row r="15" spans="3:22" x14ac:dyDescent="0.35">
      <c r="C15" s="249" t="s">
        <v>381</v>
      </c>
      <c r="D15" s="249"/>
      <c r="E15" s="249"/>
      <c r="F15" s="249"/>
      <c r="G15" s="249"/>
      <c r="H15" s="249"/>
      <c r="I15" s="249"/>
      <c r="J15" s="249"/>
      <c r="K15" s="249"/>
    </row>
    <row r="16" spans="3:22" x14ac:dyDescent="0.35">
      <c r="C16" t="s">
        <v>152</v>
      </c>
      <c r="D16" t="s">
        <v>393</v>
      </c>
      <c r="E16" t="s">
        <v>394</v>
      </c>
      <c r="F16" t="s">
        <v>395</v>
      </c>
      <c r="G16" t="s">
        <v>396</v>
      </c>
      <c r="H16" t="s">
        <v>397</v>
      </c>
      <c r="I16" t="s">
        <v>398</v>
      </c>
      <c r="J16" t="s">
        <v>399</v>
      </c>
      <c r="K16" t="s">
        <v>400</v>
      </c>
    </row>
    <row r="17" spans="3:12" x14ac:dyDescent="0.35">
      <c r="C17" t="s">
        <v>195</v>
      </c>
      <c r="D17" s="114">
        <f>SUMIF(CompuSystems_2023IC[Type],CompuSystemsCategoryTable[[#This Row],[Type]],CompuSystems_2023IC[Total Cost])</f>
        <v>61290</v>
      </c>
      <c r="E17" s="114">
        <f>SUMIF(CompuSystems_2024IC[Type],CompuSystemsCategoryTable[[#This Row],[Type]],CompuSystems_2024IC[Total Cost])</f>
        <v>31750</v>
      </c>
      <c r="F17" s="115">
        <f>SUMIF(CompuSystems_2025IC[[Type ]],CompuSystemsCategoryTable[[#This Row],[Type]],CompuSystems_2025IC[Total Cost])</f>
        <v>36650</v>
      </c>
      <c r="G17" s="115">
        <f>SUMIF(CompuSystems_2023_2025IA[Type],CompuSystemsCategoryTable[[#This Row],[Type]],CompuSystems_2023_2025IA[Total Cost (2023)])</f>
        <v>13500</v>
      </c>
      <c r="H17" s="115">
        <f>SUMIF(CompuSystems_2023_2025IA[Type],CompuSystemsCategoryTable[[#This Row],[Type]],CompuSystems_2023_2025IA[Total Cost (2024)])</f>
        <v>13500</v>
      </c>
      <c r="I17" s="115">
        <f>SUMIF(CompuSystems_2023_2025IA[Type],CompuSystemsCategoryTable[[#This Row],[Type]],CompuSystems_2023_2025IA[Total Cost (2025)])</f>
        <v>13500</v>
      </c>
      <c r="J17" s="114">
        <f>SUMIF(CompuSystems_2025COL[Type],CompuSystemsCategoryTable[[#This Row],[Type]],CompuSystems_2025COL[Total Cost])</f>
        <v>13500</v>
      </c>
      <c r="K17" s="115">
        <f>SUM(CompuSystemsCategoryTable[[#This Row],[Vendor A2023IC]:[Vendor A2025COL]])</f>
        <v>183690</v>
      </c>
      <c r="L17" s="116"/>
    </row>
    <row r="18" spans="3:12" x14ac:dyDescent="0.35">
      <c r="C18" t="s">
        <v>169</v>
      </c>
      <c r="D18" s="114">
        <f>SUMIF(CompuSystems_2023IC[Type],CompuSystemsCategoryTable[[#This Row],[Type]],CompuSystems_2023IC[Total Cost])</f>
        <v>36450</v>
      </c>
      <c r="E18" s="114">
        <f>SUMIF(CompuSystems_2024IC[Type],CompuSystemsCategoryTable[[#This Row],[Type]],CompuSystems_2024IC[Total Cost])</f>
        <v>36450</v>
      </c>
      <c r="F18" s="115">
        <f>SUMIF(CompuSystems_2025IC[[Type ]],CompuSystemsCategoryTable[[#This Row],[Type]],CompuSystems_2025IC[Total Cost])</f>
        <v>50200</v>
      </c>
      <c r="G18" s="115">
        <f>SUMIF(CompuSystems_2023_2025IA[Type],CompuSystemsCategoryTable[[#This Row],[Type]],CompuSystems_2023_2025IA[Total Cost (2023)])</f>
        <v>3400</v>
      </c>
      <c r="H18" s="115">
        <f>SUMIF(CompuSystems_2023_2025IA[Type],CompuSystemsCategoryTable[[#This Row],[Type]],CompuSystems_2023_2025IA[Total Cost (2024)])</f>
        <v>3400</v>
      </c>
      <c r="I18" s="115">
        <f>SUMIF(CompuSystems_2023_2025IA[Type],CompuSystemsCategoryTable[[#This Row],[Type]],CompuSystems_2023_2025IA[Total Cost (2025)])</f>
        <v>3400</v>
      </c>
      <c r="J18" s="114">
        <f>SUMIF(CompuSystems_2025COL[Type],CompuSystemsCategoryTable[[#This Row],[Type]],CompuSystems_2025COL[Total Cost])</f>
        <v>1550</v>
      </c>
      <c r="K18" s="115">
        <f>SUM(CompuSystemsCategoryTable[[#This Row],[Vendor A2023IC]:[Vendor A2025COL]])</f>
        <v>134850</v>
      </c>
    </row>
    <row r="19" spans="3:12" x14ac:dyDescent="0.35">
      <c r="C19" t="s">
        <v>204</v>
      </c>
      <c r="D19" s="114">
        <f>SUMIF(CompuSystems_2023IC[Type],CompuSystemsCategoryTable[[#This Row],[Type]],CompuSystems_2023IC[Total Cost])</f>
        <v>34550</v>
      </c>
      <c r="E19" s="114">
        <f>SUMIF(CompuSystems_2024IC[Type],CompuSystemsCategoryTable[[#This Row],[Type]],CompuSystems_2024IC[Total Cost])</f>
        <v>34550</v>
      </c>
      <c r="F19" s="115">
        <f>SUMIF(CompuSystems_2025IC[[Type ]],CompuSystemsCategoryTable[[#This Row],[Type]],CompuSystems_2025IC[Total Cost])</f>
        <v>34550</v>
      </c>
      <c r="G19" s="115">
        <f>SUMIF(CompuSystems_2023_2025IA[Type],CompuSystemsCategoryTable[[#This Row],[Type]],CompuSystems_2023_2025IA[Total Cost (2023)])</f>
        <v>9750</v>
      </c>
      <c r="H19" s="115">
        <f>SUMIF(CompuSystems_2023_2025IA[Type],CompuSystemsCategoryTable[[#This Row],[Type]],CompuSystems_2023_2025IA[Total Cost (2024)])</f>
        <v>9750</v>
      </c>
      <c r="I19" s="115">
        <f>SUMIF(CompuSystems_2023_2025IA[Type],CompuSystemsCategoryTable[[#This Row],[Type]],CompuSystems_2023_2025IA[Total Cost (2025)])</f>
        <v>9750</v>
      </c>
      <c r="J19" s="114">
        <f>SUMIF(CompuSystems_2025COL[Type],CompuSystemsCategoryTable[[#This Row],[Type]],CompuSystems_2025COL[Total Cost])</f>
        <v>8300</v>
      </c>
      <c r="K19" s="115">
        <f>SUM(CompuSystemsCategoryTable[[#This Row],[Vendor A2023IC]:[Vendor A2025COL]])</f>
        <v>141200</v>
      </c>
    </row>
    <row r="20" spans="3:12" x14ac:dyDescent="0.35">
      <c r="C20" t="s">
        <v>182</v>
      </c>
      <c r="D20" s="114">
        <f>SUMIF(CompuSystems_2023IC[Type],CompuSystemsCategoryTable[[#This Row],[Type]],CompuSystems_2023IC[Total Cost])</f>
        <v>3720</v>
      </c>
      <c r="E20" s="114">
        <f>SUMIF(CompuSystems_2024IC[Type],CompuSystemsCategoryTable[[#This Row],[Type]],CompuSystems_2024IC[Total Cost])</f>
        <v>3720</v>
      </c>
      <c r="F20" s="115">
        <f>SUMIF(CompuSystems_2025IC[[Type ]],CompuSystemsCategoryTable[[#This Row],[Type]],CompuSystems_2025IC[Total Cost])</f>
        <v>3720</v>
      </c>
      <c r="G20" s="115">
        <f>SUMIF(CompuSystems_2023_2025IA[Type],CompuSystemsCategoryTable[[#This Row],[Type]],CompuSystems_2023_2025IA[Total Cost (2023)])</f>
        <v>285</v>
      </c>
      <c r="H20" s="115">
        <f>SUMIF(CompuSystems_2023_2025IA[Type],CompuSystemsCategoryTable[[#This Row],[Type]],CompuSystems_2023_2025IA[Total Cost (2024)])</f>
        <v>285</v>
      </c>
      <c r="I20" s="115">
        <f>SUMIF(CompuSystems_2023_2025IA[Type],CompuSystemsCategoryTable[[#This Row],[Type]],CompuSystems_2023_2025IA[Total Cost (2025)])</f>
        <v>285</v>
      </c>
      <c r="J20" s="114">
        <f>SUMIF(CompuSystems_2025COL[Type],CompuSystemsCategoryTable[[#This Row],[Type]],CompuSystems_2025COL[Total Cost])</f>
        <v>228</v>
      </c>
      <c r="K20" s="115">
        <f>SUM(CompuSystemsCategoryTable[[#This Row],[Vendor A2023IC]:[Vendor A2025COL]])</f>
        <v>12243</v>
      </c>
    </row>
    <row r="21" spans="3:12" x14ac:dyDescent="0.35">
      <c r="C21" t="s">
        <v>190</v>
      </c>
      <c r="D21" s="114">
        <f>SUMIF(CompuSystems_2023IC[Type],CompuSystemsCategoryTable[[#This Row],[Type]],CompuSystems_2023IC[Total Cost])</f>
        <v>45239</v>
      </c>
      <c r="E21" s="114">
        <f>SUMIF(CompuSystems_2024IC[Type],CompuSystemsCategoryTable[[#This Row],[Type]],CompuSystems_2024IC[Total Cost])</f>
        <v>49370</v>
      </c>
      <c r="F21" s="115">
        <f>SUMIF(CompuSystems_2025IC[[Type ]],CompuSystemsCategoryTable[[#This Row],[Type]],CompuSystems_2025IC[Total Cost])</f>
        <v>56355</v>
      </c>
      <c r="G21" s="115">
        <f>SUMIF(CompuSystems_2023_2025IA[Type],CompuSystemsCategoryTable[[#This Row],[Type]],CompuSystems_2023_2025IA[Total Cost (2023)])</f>
        <v>13272.08</v>
      </c>
      <c r="H21" s="115">
        <f>SUMIF(CompuSystems_2023_2025IA[Type],CompuSystemsCategoryTable[[#This Row],[Type]],CompuSystems_2023_2025IA[Total Cost (2024)])</f>
        <v>13272.08</v>
      </c>
      <c r="I21" s="115">
        <f>SUMIF(CompuSystems_2023_2025IA[Type],CompuSystemsCategoryTable[[#This Row],[Type]],CompuSystems_2023_2025IA[Total Cost (2025)])</f>
        <v>13452.08</v>
      </c>
      <c r="J21" s="114">
        <f>SUMIF(CompuSystems_2025COL[Type],CompuSystemsCategoryTable[[#This Row],[Type]],CompuSystems_2025COL[Total Cost])</f>
        <v>819.16000000000008</v>
      </c>
      <c r="K21" s="115">
        <f>SUM(CompuSystemsCategoryTable[[#This Row],[Vendor A2023IC]:[Vendor A2025COL]])</f>
        <v>191779.39999999997</v>
      </c>
    </row>
    <row r="22" spans="3:12" x14ac:dyDescent="0.35">
      <c r="C22" t="s">
        <v>185</v>
      </c>
      <c r="D22" s="114">
        <f>SUMIF(CompuSystems_2023IC[Type],CompuSystemsCategoryTable[[#This Row],[Type]],CompuSystems_2023IC[Total Cost])</f>
        <v>1500</v>
      </c>
      <c r="E22" s="114">
        <f>SUMIF(CompuSystems_2024IC[Type],CompuSystemsCategoryTable[[#This Row],[Type]],CompuSystems_2024IC[Total Cost])</f>
        <v>1500</v>
      </c>
      <c r="F22" s="115">
        <f>SUMIF(CompuSystems_2025IC[[Type ]],CompuSystemsCategoryTable[[#This Row],[Type]],CompuSystems_2025IC[Total Cost])</f>
        <v>1500</v>
      </c>
      <c r="G22" s="115">
        <f>SUMIF(CompuSystems_2023_2025IA[Type],CompuSystemsCategoryTable[[#This Row],[Type]],CompuSystems_2023_2025IA[Total Cost (2023)])</f>
        <v>0</v>
      </c>
      <c r="H22" s="115">
        <f>SUMIF(CompuSystems_2023_2025IA[Type],CompuSystemsCategoryTable[[#This Row],[Type]],CompuSystems_2023_2025IA[Total Cost (2024)])</f>
        <v>0</v>
      </c>
      <c r="I22" s="115">
        <f>SUMIF(CompuSystems_2023_2025IA[Type],CompuSystemsCategoryTable[[#This Row],[Type]],CompuSystems_2023_2025IA[Total Cost (2025)])</f>
        <v>0</v>
      </c>
      <c r="J22" s="114">
        <f>SUMIF(CompuSystems_2025COL[Type],CompuSystemsCategoryTable[[#This Row],[Type]],CompuSystems_2025COL[Total Cost])</f>
        <v>0</v>
      </c>
      <c r="K22" s="115">
        <f>SUM(CompuSystemsCategoryTable[[#This Row],[Vendor A2023IC]:[Vendor A2025COL]])</f>
        <v>4500</v>
      </c>
    </row>
    <row r="23" spans="3:12" x14ac:dyDescent="0.35">
      <c r="C23" t="s">
        <v>158</v>
      </c>
      <c r="D23" s="114">
        <f>SUMIF(CompuSystems_2023IC[Type],CompuSystemsCategoryTable[[#This Row],[Type]],CompuSystems_2023IC[Total Cost])</f>
        <v>0</v>
      </c>
      <c r="E23" s="114">
        <f>SUMIF(CompuSystems_2024IC[Type],CompuSystemsCategoryTable[[#This Row],[Type]],CompuSystems_2024IC[Total Cost])</f>
        <v>0</v>
      </c>
      <c r="F23" s="114">
        <f>SUMIF(CompuSystems_2025IC[[Type ]],CompuSystemsCategoryTable[[#This Row],[Type]],CompuSystems_2025IC[Total Cost])</f>
        <v>0</v>
      </c>
      <c r="G23" s="114">
        <f>SUMIF(CompuSystems_2023_2025IA[Type],CompuSystemsCategoryTable[[#This Row],[Type]],CompuSystems_2023_2025IA[Total Cost (2023)])</f>
        <v>0</v>
      </c>
      <c r="H23" s="114">
        <f>SUMIF(CompuSystems_2023_2025IA[Type],CompuSystemsCategoryTable[[#This Row],[Type]],CompuSystems_2023_2025IA[Total Cost (2024)])</f>
        <v>0</v>
      </c>
      <c r="I23" s="114">
        <f>SUMIF(CompuSystems_2023_2025IA[Type],CompuSystemsCategoryTable[[#This Row],[Type]],CompuSystems_2023_2025IA[Total Cost (2025)])</f>
        <v>0</v>
      </c>
      <c r="J23" s="114">
        <f>SUMIF(CompuSystems_2025COL[Type],CompuSystemsCategoryTable[[#This Row],[Type]],CompuSystems_2025COL[Total Cost])</f>
        <v>0</v>
      </c>
      <c r="K23" s="114">
        <f>SUM(CompuSystemsCategoryTable[[#This Row],[Vendor A2023IC]:[Vendor A2025COL]])</f>
        <v>0</v>
      </c>
    </row>
    <row r="24" spans="3:12" x14ac:dyDescent="0.35">
      <c r="C24" t="s">
        <v>176</v>
      </c>
      <c r="D24" s="114">
        <f>SUMIF(CompuSystems_2023IC[Type],CompuSystemsCategoryTable[[#This Row],[Type]],CompuSystems_2023IC[Total Cost])</f>
        <v>0</v>
      </c>
      <c r="E24" s="114">
        <f>SUMIF(CompuSystems_2024IC[Type],CompuSystemsCategoryTable[[#This Row],[Type]],CompuSystems_2024IC[Total Cost])</f>
        <v>0</v>
      </c>
      <c r="F24" s="115">
        <f>SUMIF(CompuSystems_2025IC[[Type ]],CompuSystemsCategoryTable[[#This Row],[Type]],CompuSystems_2025IC[Total Cost])</f>
        <v>0</v>
      </c>
      <c r="G24" s="115">
        <f>SUMIF(CompuSystems_2023_2025IA[Type],CompuSystemsCategoryTable[[#This Row],[Type]],CompuSystems_2023_2025IA[Total Cost (2023)])</f>
        <v>0</v>
      </c>
      <c r="H24" s="115">
        <f>SUMIF(CompuSystems_2023_2025IA[Type],CompuSystemsCategoryTable[[#This Row],[Type]],CompuSystems_2023_2025IA[Total Cost (2024)])</f>
        <v>0</v>
      </c>
      <c r="I24" s="115">
        <f>SUMIF(CompuSystems_2023_2025IA[Type],CompuSystemsCategoryTable[[#This Row],[Type]],CompuSystems_2023_2025IA[Total Cost (2025)])</f>
        <v>0</v>
      </c>
      <c r="J24" s="114">
        <f>SUMIF(CompuSystems_2025COL[Type],CompuSystemsCategoryTable[[#This Row],[Type]],CompuSystems_2025COL[Total Cost])</f>
        <v>0</v>
      </c>
      <c r="K24" s="115">
        <f>SUM(CompuSystemsCategoryTable[[#This Row],[Vendor A2023IC]:[Vendor A2025COL]])</f>
        <v>0</v>
      </c>
    </row>
    <row r="25" spans="3:12" x14ac:dyDescent="0.35">
      <c r="C25" t="s">
        <v>201</v>
      </c>
      <c r="D25" s="114">
        <f>SUMIF(CompuSystems_2023IC[Type],CompuSystemsCategoryTable[[#This Row],[Type]],CompuSystems_2023IC[Total Cost])</f>
        <v>4000</v>
      </c>
      <c r="E25" s="114">
        <f>SUMIF(CompuSystems_2024IC[Type],CompuSystemsCategoryTable[[#This Row],[Type]],CompuSystems_2024IC[Total Cost])</f>
        <v>15000</v>
      </c>
      <c r="F25" s="115">
        <f>SUMIF(CompuSystems_2025IC[[Type ]],CompuSystemsCategoryTable[[#This Row],[Type]],CompuSystems_2025IC[Total Cost])</f>
        <v>18000</v>
      </c>
      <c r="G25" s="115">
        <f>SUMIF(CompuSystems_2023_2025IA[Type],CompuSystemsCategoryTable[[#This Row],[Type]],CompuSystems_2023_2025IA[Total Cost (2023)])</f>
        <v>4500</v>
      </c>
      <c r="H25" s="115">
        <f>SUMIF(CompuSystems_2023_2025IA[Type],CompuSystemsCategoryTable[[#This Row],[Type]],CompuSystems_2023_2025IA[Total Cost (2024)])</f>
        <v>4500</v>
      </c>
      <c r="I25" s="115">
        <f>SUMIF(CompuSystems_2023_2025IA[Type],CompuSystemsCategoryTable[[#This Row],[Type]],CompuSystems_2023_2025IA[Total Cost (2025)])</f>
        <v>4500</v>
      </c>
      <c r="J25" s="114">
        <f>SUMIF(CompuSystems_2025COL[Type],CompuSystemsCategoryTable[[#This Row],[Type]],CompuSystems_2025COL[Total Cost])</f>
        <v>500</v>
      </c>
      <c r="K25" s="115">
        <f>SUM(CompuSystemsCategoryTable[[#This Row],[Vendor A2023IC]:[Vendor A2025COL]])</f>
        <v>51000</v>
      </c>
    </row>
    <row r="26" spans="3:12" x14ac:dyDescent="0.35">
      <c r="C26" t="s">
        <v>28</v>
      </c>
      <c r="D26" s="115">
        <f>SUBTOTAL(109,CompuSystemsCategoryTable[Vendor A2023IC])</f>
        <v>186749</v>
      </c>
      <c r="E26" s="115">
        <f>SUBTOTAL(109,CompuSystemsCategoryTable[Vendor A2024IC])</f>
        <v>172340</v>
      </c>
      <c r="F26" s="115">
        <f>SUBTOTAL(109,CompuSystemsCategoryTable[Vendor A2025IC])</f>
        <v>200975</v>
      </c>
      <c r="G26" s="115">
        <f>SUBTOTAL(109,CompuSystemsCategoryTable[Vendor A2023IA])</f>
        <v>44707.08</v>
      </c>
      <c r="H26" s="115">
        <f>SUBTOTAL(109,CompuSystemsCategoryTable[Vendor A2024IA])</f>
        <v>44707.08</v>
      </c>
      <c r="I26" s="115">
        <f>SUBTOTAL(109,CompuSystemsCategoryTable[Vendor A2025IA])</f>
        <v>44887.08</v>
      </c>
      <c r="J26" s="115">
        <f>SUBTOTAL(109,CompuSystemsCategoryTable[Vendor A2025COL])</f>
        <v>24897.16</v>
      </c>
      <c r="K26" s="115">
        <f>SUBTOTAL(109,CompuSystemsCategoryTable[Vendor ATotal Contract])</f>
        <v>719262.39999999991</v>
      </c>
    </row>
    <row r="28" spans="3:12" x14ac:dyDescent="0.35">
      <c r="C28" s="247" t="s">
        <v>401</v>
      </c>
      <c r="D28" s="247"/>
      <c r="E28" s="247"/>
      <c r="F28" s="247"/>
      <c r="G28" s="247"/>
      <c r="H28" s="247"/>
      <c r="I28" s="247"/>
      <c r="J28" s="247"/>
      <c r="K28" s="247"/>
    </row>
    <row r="29" spans="3:12" x14ac:dyDescent="0.35">
      <c r="C29" t="s">
        <v>152</v>
      </c>
      <c r="D29" t="s">
        <v>402</v>
      </c>
      <c r="E29" t="s">
        <v>403</v>
      </c>
      <c r="F29" t="s">
        <v>404</v>
      </c>
      <c r="G29" t="s">
        <v>405</v>
      </c>
      <c r="H29" t="s">
        <v>406</v>
      </c>
      <c r="I29" t="s">
        <v>407</v>
      </c>
      <c r="J29" t="s">
        <v>408</v>
      </c>
      <c r="K29" t="s">
        <v>409</v>
      </c>
    </row>
    <row r="30" spans="3:12" x14ac:dyDescent="0.35">
      <c r="C30" t="s">
        <v>195</v>
      </c>
      <c r="D30" s="114">
        <f>SUMIF(MCI_2023IC[Type],MCICategoryTable[[#This Row],[Type]],MCI_2023IC[Total Cost])</f>
        <v>13500</v>
      </c>
      <c r="E30" s="114">
        <f>SUMIF(MCI_2024IC[Type],MCICategoryTable[[#This Row],[Type]],MCI_2024IC[Total Cost])</f>
        <v>6000</v>
      </c>
      <c r="F30" s="114">
        <f>SUMIF(MCI_2025IC[[Type ]],MCICategoryTable[[#This Row],[Type]],MCI_2025IC[Total Cost])</f>
        <v>6000</v>
      </c>
      <c r="G30" s="114">
        <f>SUMIF(MCI_2023_2025IA[Type],MCICategoryTable[[#This Row],[Type]],MCI_2023_2025IA[Total Cost (2023)])</f>
        <v>2000</v>
      </c>
      <c r="H30" s="114">
        <f>SUMIF(MCI_2023_2025IA[Type],MCICategoryTable[[#This Row],[Type]],MCI_2023_2025IA[Total Cost (2024)])</f>
        <v>2000</v>
      </c>
      <c r="I30" s="114">
        <f>SUMIF(MCI_2023_2025IA[Type],MCICategoryTable[[#This Row],[Type]],MCI_2023_2025IA[Total Cost (2025)])</f>
        <v>2000</v>
      </c>
      <c r="J30" s="114">
        <f>SUMIF(MCI_2025COL[Type],MCICategoryTable[[#This Row],[Type]],MCI_2025COL[Total Cost])</f>
        <v>2000</v>
      </c>
      <c r="K30" s="114">
        <f>SUM(MCICategoryTable[[#This Row],[Vendor B2023IC]:[Vendor B2025COL]])</f>
        <v>33500</v>
      </c>
    </row>
    <row r="31" spans="3:12" x14ac:dyDescent="0.35">
      <c r="C31" t="s">
        <v>169</v>
      </c>
      <c r="D31" s="114">
        <f>SUMIF(MCI_2023IC[Type],MCICategoryTable[[#This Row],[Type]],MCI_2023IC[Total Cost])</f>
        <v>27500</v>
      </c>
      <c r="E31" s="114">
        <f>SUMIF(MCI_2024IC[Type],MCICategoryTable[[#This Row],[Type]],MCI_2024IC[Total Cost])</f>
        <v>35000</v>
      </c>
      <c r="F31" s="114">
        <f>SUMIF(MCI_2025IC[[Type ]],MCICategoryTable[[#This Row],[Type]],MCI_2025IC[Total Cost])</f>
        <v>30000</v>
      </c>
      <c r="G31" s="114">
        <f>SUMIF(MCI_2023_2025IA[Type],MCICategoryTable[[#This Row],[Type]],MCI_2023_2025IA[Total Cost (2023)])</f>
        <v>3800</v>
      </c>
      <c r="H31" s="114">
        <f>SUMIF(MCI_2023_2025IA[Type],MCICategoryTable[[#This Row],[Type]],MCI_2023_2025IA[Total Cost (2024)])</f>
        <v>3800</v>
      </c>
      <c r="I31" s="114">
        <f>SUMIF(MCI_2023_2025IA[Type],MCICategoryTable[[#This Row],[Type]],MCI_2023_2025IA[Total Cost (2025)])</f>
        <v>3800</v>
      </c>
      <c r="J31" s="114">
        <f>SUMIF(MCI_2025COL[Type],MCICategoryTable[[#This Row],[Type]],MCI_2025COL[Total Cost])</f>
        <v>1100</v>
      </c>
      <c r="K31" s="114">
        <f>SUM(MCICategoryTable[[#This Row],[Vendor B2023IC]:[Vendor B2025COL]])</f>
        <v>105000</v>
      </c>
    </row>
    <row r="32" spans="3:12" x14ac:dyDescent="0.35">
      <c r="C32" t="s">
        <v>204</v>
      </c>
      <c r="D32" s="114">
        <f>SUMIF(MCI_2023IC[Type],MCICategoryTable[[#This Row],[Type]],MCI_2023IC[Total Cost])</f>
        <v>27000</v>
      </c>
      <c r="E32" s="114">
        <f>SUMIF(MCI_2024IC[Type],MCICategoryTable[[#This Row],[Type]],MCI_2024IC[Total Cost])</f>
        <v>27000</v>
      </c>
      <c r="F32" s="114">
        <f>SUMIF(MCI_2025IC[[Type ]],MCICategoryTable[[#This Row],[Type]],MCI_2025IC[Total Cost])</f>
        <v>27000</v>
      </c>
      <c r="G32" s="114">
        <f>SUMIF(MCI_2023_2025IA[Type],MCICategoryTable[[#This Row],[Type]],MCI_2023_2025IA[Total Cost (2023)])</f>
        <v>3875</v>
      </c>
      <c r="H32" s="114">
        <f>SUMIF(MCI_2023_2025IA[Type],MCICategoryTable[[#This Row],[Type]],MCI_2023_2025IA[Total Cost (2024)])</f>
        <v>3875</v>
      </c>
      <c r="I32" s="114">
        <f>SUMIF(MCI_2023_2025IA[Type],MCICategoryTable[[#This Row],[Type]],MCI_2023_2025IA[Total Cost (2025)])</f>
        <v>3875</v>
      </c>
      <c r="J32" s="114">
        <f>SUMIF(MCI_2025COL[Type],MCICategoryTable[[#This Row],[Type]],MCI_2025COL[Total Cost])</f>
        <v>3500</v>
      </c>
      <c r="K32" s="114">
        <f>SUM(MCICategoryTable[[#This Row],[Vendor B2023IC]:[Vendor B2025COL]])</f>
        <v>96125</v>
      </c>
    </row>
    <row r="33" spans="3:11" x14ac:dyDescent="0.35">
      <c r="C33" t="s">
        <v>182</v>
      </c>
      <c r="D33" s="114">
        <f>SUMIF(MCI_2023IC[Type],MCICategoryTable[[#This Row],[Type]],MCI_2023IC[Total Cost])</f>
        <v>13000</v>
      </c>
      <c r="E33" s="114">
        <f>SUMIF(MCI_2024IC[Type],MCICategoryTable[[#This Row],[Type]],MCI_2024IC[Total Cost])</f>
        <v>13000</v>
      </c>
      <c r="F33" s="114">
        <f>SUMIF(MCI_2025IC[[Type ]],MCICategoryTable[[#This Row],[Type]],MCI_2025IC[Total Cost])</f>
        <v>13000</v>
      </c>
      <c r="G33" s="114">
        <f>SUMIF(MCI_2023_2025IA[Type],MCICategoryTable[[#This Row],[Type]],MCI_2023_2025IA[Total Cost (2023)])</f>
        <v>2265</v>
      </c>
      <c r="H33" s="114">
        <f>SUMIF(MCI_2023_2025IA[Type],MCICategoryTable[[#This Row],[Type]],MCI_2023_2025IA[Total Cost (2024)])</f>
        <v>2265</v>
      </c>
      <c r="I33" s="114">
        <f>SUMIF(MCI_2023_2025IA[Type],MCICategoryTable[[#This Row],[Type]],MCI_2023_2025IA[Total Cost (2025)])</f>
        <v>2265</v>
      </c>
      <c r="J33" s="114">
        <f>SUMIF(MCI_2025COL[Type],MCICategoryTable[[#This Row],[Type]],MCI_2025COL[Total Cost])</f>
        <v>2265</v>
      </c>
      <c r="K33" s="114">
        <f>SUM(MCICategoryTable[[#This Row],[Vendor B2023IC]:[Vendor B2025COL]])</f>
        <v>48060</v>
      </c>
    </row>
    <row r="34" spans="3:11" x14ac:dyDescent="0.35">
      <c r="C34" t="s">
        <v>190</v>
      </c>
      <c r="D34" s="114">
        <f>SUMIF(MCI_2023IC[Type],MCICategoryTable[[#This Row],[Type]],MCI_2023IC[Total Cost])</f>
        <v>33339</v>
      </c>
      <c r="E34" s="114">
        <f>SUMIF(MCI_2024IC[Type],MCICategoryTable[[#This Row],[Type]],MCI_2024IC[Total Cost])</f>
        <v>33645</v>
      </c>
      <c r="F34" s="114">
        <f>SUMIF(MCI_2025IC[[Type ]],MCICategoryTable[[#This Row],[Type]],MCI_2025IC[Total Cost])</f>
        <v>30105</v>
      </c>
      <c r="G34" s="114">
        <f>SUMIF(MCI_2023_2025IA[Type],MCICategoryTable[[#This Row],[Type]],MCI_2023_2025IA[Total Cost (2023)])</f>
        <v>9072.08</v>
      </c>
      <c r="H34" s="114">
        <f>SUMIF(MCI_2023_2025IA[Type],MCICategoryTable[[#This Row],[Type]],MCI_2023_2025IA[Total Cost (2024)])</f>
        <v>9072.08</v>
      </c>
      <c r="I34" s="114">
        <f>SUMIF(MCI_2023_2025IA[Type],MCICategoryTable[[#This Row],[Type]],MCI_2023_2025IA[Total Cost (2025)])</f>
        <v>9252.08</v>
      </c>
      <c r="J34" s="114">
        <f>SUMIF(MCI_2025COL[Type],MCICategoryTable[[#This Row],[Type]],MCI_2025COL[Total Cost])</f>
        <v>819.16000000000008</v>
      </c>
      <c r="K34" s="114">
        <f>SUM(MCICategoryTable[[#This Row],[Vendor B2023IC]:[Vendor B2025COL]])</f>
        <v>125304.40000000001</v>
      </c>
    </row>
    <row r="35" spans="3:11" x14ac:dyDescent="0.35">
      <c r="C35" t="s">
        <v>185</v>
      </c>
      <c r="D35" s="114">
        <f>SUMIF(MCI_2023IC[Type],MCICategoryTable[[#This Row],[Type]],MCI_2023IC[Total Cost])</f>
        <v>0</v>
      </c>
      <c r="E35" s="114">
        <f>SUMIF(MCI_2024IC[Type],MCICategoryTable[[#This Row],[Type]],MCI_2024IC[Total Cost])</f>
        <v>0</v>
      </c>
      <c r="F35" s="114">
        <f>SUMIF(MCI_2025IC[[Type ]],MCICategoryTable[[#This Row],[Type]],MCI_2025IC[Total Cost])</f>
        <v>0</v>
      </c>
      <c r="G35" s="114">
        <f>SUMIF(MCI_2023_2025IA[Type],MCICategoryTable[[#This Row],[Type]],MCI_2023_2025IA[Total Cost (2023)])</f>
        <v>0</v>
      </c>
      <c r="H35" s="114">
        <f>SUMIF(MCI_2023_2025IA[Type],MCICategoryTable[[#This Row],[Type]],MCI_2023_2025IA[Total Cost (2024)])</f>
        <v>0</v>
      </c>
      <c r="I35" s="114">
        <f>SUMIF(MCI_2023_2025IA[Type],MCICategoryTable[[#This Row],[Type]],MCI_2023_2025IA[Total Cost (2025)])</f>
        <v>0</v>
      </c>
      <c r="J35" s="114">
        <f>SUMIF(MCI_2025COL[Type],MCICategoryTable[[#This Row],[Type]],MCI_2025COL[Total Cost])</f>
        <v>0</v>
      </c>
      <c r="K35" s="114">
        <f>SUM(MCICategoryTable[[#This Row],[Vendor B2023IC]:[Vendor B2025COL]])</f>
        <v>0</v>
      </c>
    </row>
    <row r="36" spans="3:11" x14ac:dyDescent="0.35">
      <c r="C36" t="s">
        <v>158</v>
      </c>
      <c r="D36" s="114">
        <f>SUMIF(MCI_2023IC[Type],MCICategoryTable[[#This Row],[Type]],MCI_2023IC[Total Cost])</f>
        <v>69750</v>
      </c>
      <c r="E36" s="114">
        <f>SUMIF(MCI_2024IC[Type],MCICategoryTable[[#This Row],[Type]],MCI_2024IC[Total Cost])</f>
        <v>69750</v>
      </c>
      <c r="F36" s="114">
        <f>SUMIF(MCI_2025IC[[Type ]],MCICategoryTable[[#This Row],[Type]],MCI_2025IC[Total Cost])</f>
        <v>69750</v>
      </c>
      <c r="G36" s="114">
        <f>SUMIF(MCI_2023_2025IA[Type],MCICategoryTable[[#This Row],[Type]],MCI_2023_2025IA[Total Cost (2023)])</f>
        <v>4500</v>
      </c>
      <c r="H36" s="114">
        <f>SUMIF(MCI_2023_2025IA[Type],MCICategoryTable[[#This Row],[Type]],MCI_2023_2025IA[Total Cost (2024)])</f>
        <v>4500</v>
      </c>
      <c r="I36" s="114">
        <f>SUMIF(MCI_2023_2025IA[Type],MCICategoryTable[[#This Row],[Type]],MCI_2023_2025IA[Total Cost (2025)])</f>
        <v>4500</v>
      </c>
      <c r="J36" s="114">
        <f>SUMIF(MCI_2025COL[Type],MCICategoryTable[[#This Row],[Type]],MCI_2025COL[Total Cost])</f>
        <v>13350</v>
      </c>
      <c r="K36" s="114">
        <f>SUM(MCICategoryTable[[#This Row],[Vendor B2023IC]:[Vendor B2025COL]])</f>
        <v>236100</v>
      </c>
    </row>
    <row r="37" spans="3:11" x14ac:dyDescent="0.35">
      <c r="C37" t="s">
        <v>176</v>
      </c>
      <c r="D37" s="114">
        <f>SUMIF(MCI_2023IC[Type],MCICategoryTable[[#This Row],[Type]],MCI_2023IC[Total Cost])</f>
        <v>0</v>
      </c>
      <c r="E37" s="114">
        <f>SUMIF(MCI_2024IC[Type],MCICategoryTable[[#This Row],[Type]],MCI_2024IC[Total Cost])</f>
        <v>0</v>
      </c>
      <c r="F37" s="114">
        <f>SUMIF(MCI_2025IC[[Type ]],MCICategoryTable[[#This Row],[Type]],MCI_2025IC[Total Cost])</f>
        <v>0</v>
      </c>
      <c r="G37" s="114">
        <f>SUMIF(MCI_2023_2025IA[Type],MCICategoryTable[[#This Row],[Type]],MCI_2023_2025IA[Total Cost (2023)])</f>
        <v>0</v>
      </c>
      <c r="H37" s="114">
        <f>SUMIF(MCI_2023_2025IA[Type],MCICategoryTable[[#This Row],[Type]],MCI_2023_2025IA[Total Cost (2024)])</f>
        <v>0</v>
      </c>
      <c r="I37" s="114">
        <f>SUMIF(MCI_2023_2025IA[Type],MCICategoryTable[[#This Row],[Type]],MCI_2023_2025IA[Total Cost (2025)])</f>
        <v>0</v>
      </c>
      <c r="J37" s="114">
        <f>SUMIF(MCI_2025COL[Type],MCICategoryTable[[#This Row],[Type]],MCI_2025COL[Total Cost])</f>
        <v>0</v>
      </c>
      <c r="K37" s="114">
        <f>SUM(MCICategoryTable[[#This Row],[Vendor B2023IC]:[Vendor B2025COL]])</f>
        <v>0</v>
      </c>
    </row>
    <row r="38" spans="3:11" x14ac:dyDescent="0.35">
      <c r="C38" t="s">
        <v>201</v>
      </c>
      <c r="D38" s="114">
        <f>SUMIF(MCI_2023IC[Type],MCICategoryTable[[#This Row],[Type]],MCI_2023IC[Total Cost])</f>
        <v>2824</v>
      </c>
      <c r="E38" s="114">
        <f>SUMIF(MCI_2024IC[Type],MCICategoryTable[[#This Row],[Type]],MCI_2024IC[Total Cost])</f>
        <v>1700</v>
      </c>
      <c r="F38" s="114">
        <f>SUMIF(MCI_2025IC[[Type ]],MCICategoryTable[[#This Row],[Type]],MCI_2025IC[Total Cost])</f>
        <v>1700</v>
      </c>
      <c r="G38" s="114">
        <f>SUMIF(MCI_2023_2025IA[Type],MCICategoryTable[[#This Row],[Type]],MCI_2023_2025IA[Total Cost (2023)])</f>
        <v>2800</v>
      </c>
      <c r="H38" s="114">
        <f>SUMIF(MCI_2023_2025IA[Type],MCICategoryTable[[#This Row],[Type]],MCI_2023_2025IA[Total Cost (2024)])</f>
        <v>2800</v>
      </c>
      <c r="I38" s="114">
        <f>SUMIF(MCI_2023_2025IA[Type],MCICategoryTable[[#This Row],[Type]],MCI_2023_2025IA[Total Cost (2025)])</f>
        <v>2800</v>
      </c>
      <c r="J38" s="114">
        <f>SUMIF(MCI_2025COL[Type],MCICategoryTable[[#This Row],[Type]],MCI_2025COL[Total Cost])</f>
        <v>2800</v>
      </c>
      <c r="K38" s="114">
        <f>SUM(MCICategoryTable[[#This Row],[Vendor B2023IC]:[Vendor B2025COL]])</f>
        <v>17424</v>
      </c>
    </row>
    <row r="39" spans="3:11" x14ac:dyDescent="0.35">
      <c r="C39" t="s">
        <v>28</v>
      </c>
      <c r="D39" s="115">
        <f>SUBTOTAL(109,MCICategoryTable[Vendor B2023IC])</f>
        <v>186913</v>
      </c>
      <c r="E39" s="115">
        <f>SUBTOTAL(109,MCICategoryTable[Vendor B2024IC])</f>
        <v>186095</v>
      </c>
      <c r="F39" s="115">
        <f>SUBTOTAL(109,MCICategoryTable[Vendor B2025IC])</f>
        <v>177555</v>
      </c>
      <c r="G39" s="115">
        <f>SUBTOTAL(109,MCICategoryTable[Vendor B2023IA])</f>
        <v>28312.080000000002</v>
      </c>
      <c r="H39" s="115">
        <f>SUBTOTAL(109,MCICategoryTable[Vendor B2024IA])</f>
        <v>28312.080000000002</v>
      </c>
      <c r="I39" s="115">
        <f>SUBTOTAL(109,MCICategoryTable[Vendor B2025IA])</f>
        <v>28492.080000000002</v>
      </c>
      <c r="J39" s="115">
        <f>SUBTOTAL(109,MCICategoryTable[Vendor B2025COL])</f>
        <v>25834.16</v>
      </c>
      <c r="K39" s="115">
        <f>SUBTOTAL(109,MCICategoryTable[Vendor BTotal Contract])</f>
        <v>661513.4</v>
      </c>
    </row>
  </sheetData>
  <mergeCells count="3">
    <mergeCell ref="C28:K28"/>
    <mergeCell ref="C2:K2"/>
    <mergeCell ref="C15:K15"/>
  </mergeCells>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Z13"/>
  <sheetViews>
    <sheetView topLeftCell="M1" workbookViewId="0">
      <selection activeCell="X17" sqref="X17"/>
    </sheetView>
  </sheetViews>
  <sheetFormatPr defaultRowHeight="14.5" x14ac:dyDescent="0.35"/>
  <cols>
    <col min="2" max="2" width="16.1796875" bestFit="1" customWidth="1"/>
    <col min="3" max="5" width="15.90625" customWidth="1"/>
    <col min="6" max="7" width="16" customWidth="1"/>
    <col min="8" max="8" width="14.1796875" customWidth="1"/>
    <col min="9" max="9" width="17.54296875" customWidth="1"/>
    <col min="10" max="10" width="22.36328125" bestFit="1" customWidth="1"/>
    <col min="11" max="14" width="21.81640625" customWidth="1"/>
    <col min="15" max="15" width="22.81640625" customWidth="1"/>
    <col min="16" max="16" width="21.81640625" customWidth="1"/>
    <col min="17" max="17" width="23.453125" customWidth="1"/>
    <col min="18" max="18" width="28.1796875" bestFit="1" customWidth="1"/>
    <col min="19" max="22" width="12.1796875" customWidth="1"/>
    <col min="23" max="23" width="13.1796875" customWidth="1"/>
    <col min="24" max="24" width="12.1796875" customWidth="1"/>
    <col min="25" max="25" width="13.81640625" customWidth="1"/>
    <col min="26" max="26" width="18.54296875" bestFit="1" customWidth="1"/>
    <col min="28" max="28" width="17.90625" bestFit="1" customWidth="1"/>
    <col min="29" max="29" width="6.81640625" bestFit="1" customWidth="1"/>
  </cols>
  <sheetData>
    <row r="2" spans="2:26" x14ac:dyDescent="0.35">
      <c r="C2" s="248" t="s">
        <v>274</v>
      </c>
      <c r="D2" s="248"/>
      <c r="E2" s="248"/>
      <c r="F2" s="248"/>
      <c r="G2" s="248"/>
      <c r="H2" s="248"/>
      <c r="I2" s="248"/>
      <c r="J2" s="248"/>
      <c r="K2" s="249" t="s">
        <v>2</v>
      </c>
      <c r="L2" s="249"/>
      <c r="M2" s="249"/>
      <c r="N2" s="249"/>
      <c r="O2" s="249"/>
      <c r="P2" s="249"/>
      <c r="Q2" s="249"/>
      <c r="R2" s="249"/>
      <c r="S2" s="247" t="s">
        <v>30</v>
      </c>
      <c r="T2" s="247"/>
      <c r="U2" s="247"/>
      <c r="V2" s="247"/>
      <c r="W2" s="247"/>
      <c r="X2" s="247"/>
      <c r="Y2" s="247"/>
      <c r="Z2" s="247"/>
    </row>
    <row r="3" spans="2:26" x14ac:dyDescent="0.35">
      <c r="B3" t="s">
        <v>152</v>
      </c>
      <c r="C3" t="s">
        <v>276</v>
      </c>
      <c r="D3" t="s">
        <v>277</v>
      </c>
      <c r="E3" t="s">
        <v>278</v>
      </c>
      <c r="F3" t="s">
        <v>279</v>
      </c>
      <c r="G3" t="s">
        <v>280</v>
      </c>
      <c r="H3" t="s">
        <v>281</v>
      </c>
      <c r="I3" t="s">
        <v>282</v>
      </c>
      <c r="J3" t="s">
        <v>283</v>
      </c>
      <c r="K3" t="s">
        <v>284</v>
      </c>
      <c r="L3" t="s">
        <v>285</v>
      </c>
      <c r="M3" t="s">
        <v>286</v>
      </c>
      <c r="N3" t="s">
        <v>311</v>
      </c>
      <c r="O3" t="s">
        <v>287</v>
      </c>
      <c r="P3" t="s">
        <v>313</v>
      </c>
      <c r="Q3" t="s">
        <v>288</v>
      </c>
      <c r="R3" t="s">
        <v>289</v>
      </c>
      <c r="S3" t="s">
        <v>294</v>
      </c>
      <c r="T3" t="s">
        <v>295</v>
      </c>
      <c r="U3" t="s">
        <v>296</v>
      </c>
      <c r="V3" t="s">
        <v>314</v>
      </c>
      <c r="W3" t="s">
        <v>316</v>
      </c>
      <c r="X3" t="s">
        <v>315</v>
      </c>
      <c r="Y3" t="s">
        <v>300</v>
      </c>
      <c r="Z3" t="s">
        <v>301</v>
      </c>
    </row>
    <row r="4" spans="2:26" x14ac:dyDescent="0.35">
      <c r="B4" t="s">
        <v>158</v>
      </c>
      <c r="C4" s="114">
        <f>SUMIF(Aventri_2024IC[Type],CategoryComparisonAll[[#This Row],[Type]],Aventri_2024IC[Total Cost])</f>
        <v>99100</v>
      </c>
      <c r="D4" s="114">
        <f>SUMIF(Aventri_2023IC[Type],CategoryComparisonAll[[#This Row],[Type]],Aventri_2023IC[Total Cost])</f>
        <v>99100</v>
      </c>
      <c r="E4" s="114">
        <f>SUMIF(Aventri_2022IC[Type],CategoryComparisonAll[[#This Row],[Type]],Aventri_2022IC[Total Cost])</f>
        <v>99100</v>
      </c>
      <c r="F4" s="114">
        <f>SUMIF(Aventri_2021_2023IA[Type],CategoryComparisonAll[[#This Row],[Type]],Aventri_2021_2023IA[Total Cost (2022)])</f>
        <v>0</v>
      </c>
      <c r="G4" s="114">
        <f>SUMIF(Aventri_2021_2023IA[Type],CategoryComparisonAll[[#This Row],[Type]],Aventri_2021_2023IA[Total Cost (2023)])</f>
        <v>0</v>
      </c>
      <c r="H4" s="114">
        <f>SUMIF(Aventri_2021_2023IA[Type],CategoryComparisonAll[[#This Row],[Type]],Aventri_2021_2023IA[Total Cost (2024)])</f>
        <v>0</v>
      </c>
      <c r="I4" s="114">
        <f>SUMIF(Aventri_2022COL[Type],CategoryComparisonAll[[#This Row],[Type]],Aventri_2022COL[Total Cost])</f>
        <v>0</v>
      </c>
      <c r="J4" s="114">
        <f>SUM(CategoryComparisonAll[[#This Row],[Aventri_2024IC]:[Aventri_2022COL]])</f>
        <v>297300</v>
      </c>
      <c r="K4" s="114">
        <f>SUMIF(CompuSystems_2025IC[[Type ]],CategoryComparisonAll[[#This Row],[Type]],CompuSystems_2025IC[Total Cost])</f>
        <v>0</v>
      </c>
      <c r="L4" s="114">
        <f>SUMIF(CompuSystems_2024IC[Type],CategoryComparisonAll[[#This Row],[Type]],CompuSystems_2024IC[Total Cost])</f>
        <v>0</v>
      </c>
      <c r="M4" s="114">
        <f>SUMIF(CompuSystems_2023IC[Type],CategoryComparisonAll[[#This Row],[Type]],CompuSystems_2023IC[Total Cost])</f>
        <v>0</v>
      </c>
      <c r="N4" s="114">
        <f>SUMIF(CompuSystems_2023_2025IA[Type],CategoryComparisonAll[[#This Row],[Type]],CompuSystems_2023_2025IA[Total Cost (2023)])</f>
        <v>0</v>
      </c>
      <c r="O4" s="114">
        <f>SUMIF(CompuSystems_2023_2025IA[Type],CategoryComparisonAll[[#This Row],[Type]],CompuSystems_2023_2025IA[Total Cost (2024)])</f>
        <v>0</v>
      </c>
      <c r="P4" s="114">
        <f>SUMIF(CompuSystems_2023_2025IA[Type],CategoryComparisonAll[[#This Row],[Type]],CompuSystems_2023_2025IA[Total Cost (2025)])</f>
        <v>0</v>
      </c>
      <c r="Q4" s="114">
        <f>SUMIF(CompuSystems_2025COL[Type],CategoryComparisonAll[[#This Row],[Type]],CompuSystems_2025COL[Total Cost])</f>
        <v>0</v>
      </c>
      <c r="R4" s="114">
        <f>SUM(CategoryComparisonAll[[#This Row],[CompuSystems2024IC]:[CompuSystems2022COL]])</f>
        <v>0</v>
      </c>
      <c r="S4" s="114">
        <f>SUMIF(MCI_2025IC[[Type ]],CategoryComparisonAll[[#This Row],[Type]],MCI_2025IC[Total Cost])</f>
        <v>69750</v>
      </c>
      <c r="T4" s="114">
        <f>SUMIF(MCI_2024IC[Type],CategoryComparisonAll[[#This Row],[Type]],MCI_2024IC[Total Cost])</f>
        <v>69750</v>
      </c>
      <c r="U4" s="114">
        <f>SUMIF(MCI_2023IC[Type],CategoryComparisonAll[[#This Row],[Type]],MCI_2023IC[Total Cost])</f>
        <v>69750</v>
      </c>
      <c r="V4" s="114">
        <f>SUMIF(MCI_2023_2025IA[Type],CategoryComparisonAll[[#This Row],[Type]],MCI_2023_2025IA[Total Cost (2023)])</f>
        <v>4500</v>
      </c>
      <c r="W4" s="114">
        <f>SUMIF(MCI_2023_2025IA[Type],CategoryComparisonAll[[#This Row],[Type]],MCI_2023_2025IA[Total Cost (2024)])</f>
        <v>4500</v>
      </c>
      <c r="X4" s="114">
        <f>SUMIF(MCI_2023_2025IA[Type],CategoryComparisonAll[[#This Row],[Type]],MCI_2023_2025IA[Total Cost (2025)])</f>
        <v>4500</v>
      </c>
      <c r="Y4" s="114">
        <f>SUMIF(MCI_2025COL[Type],CategoryComparisonAll[[#This Row],[Type]],MCI_2025COL[Total Cost])</f>
        <v>13350</v>
      </c>
      <c r="Z4" s="114">
        <f>SUM(CategoryComparisonAll[[#This Row],[MCI2024IC]:[MCI2022COL]])</f>
        <v>236100</v>
      </c>
    </row>
    <row r="5" spans="2:26" x14ac:dyDescent="0.35">
      <c r="B5" t="s">
        <v>169</v>
      </c>
      <c r="C5" s="114">
        <f>SUMIF(Aventri_2024IC[Type],CategoryComparisonAll[[#This Row],[Type]],Aventri_2024IC[Total Cost])</f>
        <v>27500</v>
      </c>
      <c r="D5" s="114">
        <f>SUMIF(Aventri_2023IC[Type],CategoryComparisonAll[[#This Row],[Type]],Aventri_2023IC[Total Cost])</f>
        <v>27500</v>
      </c>
      <c r="E5" s="114">
        <f>SUMIF(Aventri_2022IC[Type],CategoryComparisonAll[[#This Row],[Type]],Aventri_2022IC[Total Cost])</f>
        <v>29500</v>
      </c>
      <c r="F5" s="114">
        <f>SUMIF(Aventri_2021_2023IA[Type],CategoryComparisonAll[[#This Row],[Type]],Aventri_2021_2023IA[Total Cost (2022)])</f>
        <v>3775</v>
      </c>
      <c r="G5" s="114">
        <f>SUMIF(Aventri_2021_2023IA[Type],CategoryComparisonAll[[#This Row],[Type]],Aventri_2021_2023IA[Total Cost (2023)])</f>
        <v>3775</v>
      </c>
      <c r="H5" s="114">
        <f>SUMIF(Aventri_2021_2023IA[Type],CategoryComparisonAll[[#This Row],[Type]],Aventri_2021_2023IA[Total Cost (2024)])</f>
        <v>3775</v>
      </c>
      <c r="I5" s="114">
        <f>SUMIF(Aventri_2022COL[Type],CategoryComparisonAll[[#This Row],[Type]],Aventri_2022COL[Total Cost])</f>
        <v>1075</v>
      </c>
      <c r="J5" s="114">
        <f>SUM(CategoryComparisonAll[[#This Row],[Aventri_2024IC]:[Aventri_2022COL]])</f>
        <v>96900</v>
      </c>
      <c r="K5" s="114">
        <f>SUMIF(CompuSystems_2025IC[[Type ]],CategoryComparisonAll[[#This Row],[Type]],CompuSystems_2025IC[Total Cost])</f>
        <v>50200</v>
      </c>
      <c r="L5" s="114">
        <f>SUMIF(CompuSystems_2024IC[Type],CategoryComparisonAll[[#This Row],[Type]],CompuSystems_2024IC[Total Cost])</f>
        <v>36450</v>
      </c>
      <c r="M5" s="114">
        <f>SUMIF(CompuSystems_2023IC[Type],CategoryComparisonAll[[#This Row],[Type]],CompuSystems_2023IC[Total Cost])</f>
        <v>36450</v>
      </c>
      <c r="N5" s="114">
        <f>SUMIF(CompuSystems_2023_2025IA[Type],CategoryComparisonAll[[#This Row],[Type]],CompuSystems_2023_2025IA[Total Cost (2023)])</f>
        <v>3400</v>
      </c>
      <c r="O5" s="114">
        <f>SUMIF(CompuSystems_2023_2025IA[Type],CategoryComparisonAll[[#This Row],[Type]],CompuSystems_2023_2025IA[Total Cost (2024)])</f>
        <v>3400</v>
      </c>
      <c r="P5" s="114">
        <f>SUMIF(CompuSystems_2023_2025IA[Type],CategoryComparisonAll[[#This Row],[Type]],CompuSystems_2023_2025IA[Total Cost (2025)])</f>
        <v>3400</v>
      </c>
      <c r="Q5" s="114">
        <f>SUMIF(CompuSystems_2025COL[Type],CategoryComparisonAll[[#This Row],[Type]],CompuSystems_2025COL[Total Cost])</f>
        <v>1550</v>
      </c>
      <c r="R5" s="114">
        <f>SUM(CategoryComparisonAll[[#This Row],[CompuSystems2024IC]:[CompuSystems2022COL]])</f>
        <v>134850</v>
      </c>
      <c r="S5" s="114">
        <f>SUMIF(MCI_2025IC[[Type ]],CategoryComparisonAll[[#This Row],[Type]],MCI_2025IC[Total Cost])</f>
        <v>30000</v>
      </c>
      <c r="T5" s="114">
        <f>SUMIF(MCI_2024IC[Type],CategoryComparisonAll[[#This Row],[Type]],MCI_2024IC[Total Cost])</f>
        <v>35000</v>
      </c>
      <c r="U5" s="114">
        <f>SUMIF(MCI_2023IC[Type],CategoryComparisonAll[[#This Row],[Type]],MCI_2023IC[Total Cost])</f>
        <v>27500</v>
      </c>
      <c r="V5" s="114">
        <f>SUMIF(MCI_2023_2025IA[Type],CategoryComparisonAll[[#This Row],[Type]],MCI_2023_2025IA[Total Cost (2023)])</f>
        <v>3800</v>
      </c>
      <c r="W5" s="114">
        <f>SUMIF(MCI_2023_2025IA[Type],CategoryComparisonAll[[#This Row],[Type]],MCI_2023_2025IA[Total Cost (2024)])</f>
        <v>3800</v>
      </c>
      <c r="X5" s="114">
        <f>SUMIF(MCI_2023_2025IA[Type],CategoryComparisonAll[[#This Row],[Type]],MCI_2023_2025IA[Total Cost (2025)])</f>
        <v>3800</v>
      </c>
      <c r="Y5" s="114">
        <f>SUMIF(MCI_2025COL[Type],CategoryComparisonAll[[#This Row],[Type]],MCI_2025COL[Total Cost])</f>
        <v>1100</v>
      </c>
      <c r="Z5" s="114">
        <f>SUM(CategoryComparisonAll[[#This Row],[MCI2024IC]:[MCI2022COL]])</f>
        <v>105000</v>
      </c>
    </row>
    <row r="6" spans="2:26" x14ac:dyDescent="0.35">
      <c r="B6" t="s">
        <v>176</v>
      </c>
      <c r="C6" s="114">
        <f>SUMIF(Aventri_2024IC[Type],CategoryComparisonAll[[#This Row],[Type]],Aventri_2024IC[Total Cost])</f>
        <v>425</v>
      </c>
      <c r="D6" s="114">
        <f>SUMIF(Aventri_2023IC[Type],CategoryComparisonAll[[#This Row],[Type]],Aventri_2023IC[Total Cost])</f>
        <v>425</v>
      </c>
      <c r="E6" s="114">
        <f>SUMIF(Aventri_2022IC[Type],CategoryComparisonAll[[#This Row],[Type]],Aventri_2022IC[Total Cost])</f>
        <v>425</v>
      </c>
      <c r="F6" s="114">
        <f>SUMIF(Aventri_2021_2023IA[Type],CategoryComparisonAll[[#This Row],[Type]],Aventri_2021_2023IA[Total Cost (2022)])</f>
        <v>425</v>
      </c>
      <c r="G6" s="114">
        <f>SUMIF(Aventri_2021_2023IA[Type],CategoryComparisonAll[[#This Row],[Type]],Aventri_2021_2023IA[Total Cost (2023)])</f>
        <v>425</v>
      </c>
      <c r="H6" s="114">
        <f>SUMIF(Aventri_2021_2023IA[Type],CategoryComparisonAll[[#This Row],[Type]],Aventri_2021_2023IA[Total Cost (2024)])</f>
        <v>425</v>
      </c>
      <c r="I6" s="114">
        <f>SUMIF(Aventri_2022COL[Type],CategoryComparisonAll[[#This Row],[Type]],Aventri_2022COL[Total Cost])</f>
        <v>325</v>
      </c>
      <c r="J6" s="114">
        <f>SUM(CategoryComparisonAll[[#This Row],[Aventri_2024IC]:[Aventri_2022COL]])</f>
        <v>2875</v>
      </c>
      <c r="K6" s="114">
        <f>SUMIF(CompuSystems_2025IC[[Type ]],CategoryComparisonAll[[#This Row],[Type]],CompuSystems_2025IC[Total Cost])</f>
        <v>0</v>
      </c>
      <c r="L6" s="114">
        <f>SUMIF(CompuSystems_2024IC[Type],CategoryComparisonAll[[#This Row],[Type]],CompuSystems_2024IC[Total Cost])</f>
        <v>0</v>
      </c>
      <c r="M6" s="114">
        <f>SUMIF(CompuSystems_2023IC[Type],CategoryComparisonAll[[#This Row],[Type]],CompuSystems_2023IC[Total Cost])</f>
        <v>0</v>
      </c>
      <c r="N6" s="114">
        <f>SUMIF(CompuSystems_2023_2025IA[Type],CategoryComparisonAll[[#This Row],[Type]],CompuSystems_2023_2025IA[Total Cost (2023)])</f>
        <v>0</v>
      </c>
      <c r="O6" s="114">
        <f>SUMIF(CompuSystems_2023_2025IA[Type],CategoryComparisonAll[[#This Row],[Type]],CompuSystems_2023_2025IA[Total Cost (2024)])</f>
        <v>0</v>
      </c>
      <c r="P6" s="114">
        <f>SUMIF(CompuSystems_2023_2025IA[Type],CategoryComparisonAll[[#This Row],[Type]],CompuSystems_2023_2025IA[Total Cost (2025)])</f>
        <v>0</v>
      </c>
      <c r="Q6" s="114">
        <f>SUMIF(CompuSystems_2025COL[Type],CategoryComparisonAll[[#This Row],[Type]],CompuSystems_2025COL[Total Cost])</f>
        <v>0</v>
      </c>
      <c r="R6" s="114">
        <f>SUM(CategoryComparisonAll[[#This Row],[CompuSystems2024IC]:[CompuSystems2022COL]])</f>
        <v>0</v>
      </c>
      <c r="S6" s="114">
        <f>SUMIF(MCI_2025IC[[Type ]],CategoryComparisonAll[[#This Row],[Type]],MCI_2025IC[Total Cost])</f>
        <v>0</v>
      </c>
      <c r="T6" s="114">
        <f>SUMIF(MCI_2024IC[Type],CategoryComparisonAll[[#This Row],[Type]],MCI_2024IC[Total Cost])</f>
        <v>0</v>
      </c>
      <c r="U6" s="114">
        <f>SUMIF(MCI_2023IC[Type],CategoryComparisonAll[[#This Row],[Type]],MCI_2023IC[Total Cost])</f>
        <v>0</v>
      </c>
      <c r="V6" s="114">
        <f>SUMIF(MCI_2023_2025IA[Type],CategoryComparisonAll[[#This Row],[Type]],MCI_2023_2025IA[Total Cost (2023)])</f>
        <v>0</v>
      </c>
      <c r="W6" s="114">
        <f>SUMIF(MCI_2023_2025IA[Type],CategoryComparisonAll[[#This Row],[Type]],MCI_2023_2025IA[Total Cost (2024)])</f>
        <v>0</v>
      </c>
      <c r="X6" s="114">
        <f>SUMIF(MCI_2023_2025IA[Type],CategoryComparisonAll[[#This Row],[Type]],MCI_2023_2025IA[Total Cost (2025)])</f>
        <v>0</v>
      </c>
      <c r="Y6" s="114">
        <f>SUMIF(MCI_2025COL[Type],CategoryComparisonAll[[#This Row],[Type]],MCI_2025COL[Total Cost])</f>
        <v>0</v>
      </c>
      <c r="Z6" s="114">
        <f>SUM(CategoryComparisonAll[[#This Row],[MCI2024IC]:[MCI2022COL]])</f>
        <v>0</v>
      </c>
    </row>
    <row r="7" spans="2:26" x14ac:dyDescent="0.35">
      <c r="B7" t="s">
        <v>182</v>
      </c>
      <c r="C7" s="114">
        <f>SUMIF(Aventri_2024IC[Type],CategoryComparisonAll[[#This Row],[Type]],Aventri_2024IC[Total Cost])</f>
        <v>17000</v>
      </c>
      <c r="D7" s="114">
        <f>SUMIF(Aventri_2023IC[Type],CategoryComparisonAll[[#This Row],[Type]],Aventri_2023IC[Total Cost])</f>
        <v>17000</v>
      </c>
      <c r="E7" s="114">
        <f>SUMIF(Aventri_2022IC[Type],CategoryComparisonAll[[#This Row],[Type]],Aventri_2022IC[Total Cost])</f>
        <v>0</v>
      </c>
      <c r="F7" s="114">
        <f>SUMIF(Aventri_2021_2023IA[Type],CategoryComparisonAll[[#This Row],[Type]],Aventri_2021_2023IA[Total Cost (2022)])</f>
        <v>1275</v>
      </c>
      <c r="G7" s="114">
        <f>SUMIF(Aventri_2021_2023IA[Type],CategoryComparisonAll[[#This Row],[Type]],Aventri_2021_2023IA[Total Cost (2023)])</f>
        <v>1275</v>
      </c>
      <c r="H7" s="114">
        <f>SUMIF(Aventri_2021_2023IA[Type],CategoryComparisonAll[[#This Row],[Type]],Aventri_2021_2023IA[Total Cost (2024)])</f>
        <v>1275</v>
      </c>
      <c r="I7" s="114">
        <f>SUMIF(Aventri_2022COL[Type],CategoryComparisonAll[[#This Row],[Type]],Aventri_2022COL[Total Cost])</f>
        <v>1020</v>
      </c>
      <c r="J7" s="114">
        <f>SUM(CategoryComparisonAll[[#This Row],[Aventri_2024IC]:[Aventri_2022COL]])</f>
        <v>38845</v>
      </c>
      <c r="K7" s="114">
        <f>SUMIF(CompuSystems_2025IC[[Type ]],CategoryComparisonAll[[#This Row],[Type]],CompuSystems_2025IC[Total Cost])</f>
        <v>3720</v>
      </c>
      <c r="L7" s="114">
        <f>SUMIF(CompuSystems_2024IC[Type],CategoryComparisonAll[[#This Row],[Type]],CompuSystems_2024IC[Total Cost])</f>
        <v>3720</v>
      </c>
      <c r="M7" s="114">
        <f>SUMIF(CompuSystems_2023IC[Type],CategoryComparisonAll[[#This Row],[Type]],CompuSystems_2023IC[Total Cost])</f>
        <v>3720</v>
      </c>
      <c r="N7" s="114">
        <f>SUMIF(CompuSystems_2023_2025IA[Type],CategoryComparisonAll[[#This Row],[Type]],CompuSystems_2023_2025IA[Total Cost (2023)])</f>
        <v>285</v>
      </c>
      <c r="O7" s="114">
        <f>SUMIF(CompuSystems_2023_2025IA[Type],CategoryComparisonAll[[#This Row],[Type]],CompuSystems_2023_2025IA[Total Cost (2024)])</f>
        <v>285</v>
      </c>
      <c r="P7" s="114">
        <f>SUMIF(CompuSystems_2023_2025IA[Type],CategoryComparisonAll[[#This Row],[Type]],CompuSystems_2023_2025IA[Total Cost (2025)])</f>
        <v>285</v>
      </c>
      <c r="Q7" s="114">
        <f>SUMIF(CompuSystems_2025COL[Type],CategoryComparisonAll[[#This Row],[Type]],CompuSystems_2025COL[Total Cost])</f>
        <v>228</v>
      </c>
      <c r="R7" s="114">
        <f>SUM(CategoryComparisonAll[[#This Row],[CompuSystems2024IC]:[CompuSystems2022COL]])</f>
        <v>12243</v>
      </c>
      <c r="S7" s="114">
        <f>SUMIF(MCI_2025IC[[Type ]],CategoryComparisonAll[[#This Row],[Type]],MCI_2025IC[Total Cost])</f>
        <v>13000</v>
      </c>
      <c r="T7" s="114">
        <f>SUMIF(MCI_2024IC[Type],CategoryComparisonAll[[#This Row],[Type]],MCI_2024IC[Total Cost])</f>
        <v>13000</v>
      </c>
      <c r="U7" s="114">
        <f>SUMIF(MCI_2023IC[Type],CategoryComparisonAll[[#This Row],[Type]],MCI_2023IC[Total Cost])</f>
        <v>13000</v>
      </c>
      <c r="V7" s="114">
        <f>SUMIF(MCI_2023_2025IA[Type],CategoryComparisonAll[[#This Row],[Type]],MCI_2023_2025IA[Total Cost (2023)])</f>
        <v>2265</v>
      </c>
      <c r="W7" s="114">
        <f>SUMIF(MCI_2023_2025IA[Type],CategoryComparisonAll[[#This Row],[Type]],MCI_2023_2025IA[Total Cost (2024)])</f>
        <v>2265</v>
      </c>
      <c r="X7" s="114">
        <f>SUMIF(MCI_2023_2025IA[Type],CategoryComparisonAll[[#This Row],[Type]],MCI_2023_2025IA[Total Cost (2025)])</f>
        <v>2265</v>
      </c>
      <c r="Y7" s="114">
        <f>SUMIF(MCI_2025COL[Type],CategoryComparisonAll[[#This Row],[Type]],MCI_2025COL[Total Cost])</f>
        <v>2265</v>
      </c>
      <c r="Z7" s="114">
        <f>SUM(CategoryComparisonAll[[#This Row],[MCI2024IC]:[MCI2022COL]])</f>
        <v>48060</v>
      </c>
    </row>
    <row r="8" spans="2:26" x14ac:dyDescent="0.35">
      <c r="B8" t="s">
        <v>185</v>
      </c>
      <c r="C8" s="114">
        <f>SUMIF(Aventri_2024IC[Type],CategoryComparisonAll[[#This Row],[Type]],Aventri_2024IC[Total Cost])</f>
        <v>350.87</v>
      </c>
      <c r="D8" s="114">
        <f>SUMIF(Aventri_2023IC[Type],CategoryComparisonAll[[#This Row],[Type]],Aventri_2023IC[Total Cost])</f>
        <v>350.87</v>
      </c>
      <c r="E8" s="114">
        <f>SUMIF(Aventri_2022IC[Type],CategoryComparisonAll[[#This Row],[Type]],Aventri_2022IC[Total Cost])</f>
        <v>350.87</v>
      </c>
      <c r="F8" s="114">
        <f>SUMIF(Aventri_2021_2023IA[Type],CategoryComparisonAll[[#This Row],[Type]],Aventri_2021_2023IA[Total Cost (2022)])</f>
        <v>350.87</v>
      </c>
      <c r="G8" s="114">
        <f>SUMIF(Aventri_2021_2023IA[Type],CategoryComparisonAll[[#This Row],[Type]],Aventri_2021_2023IA[Total Cost (2023)])</f>
        <v>350.87</v>
      </c>
      <c r="H8" s="114">
        <f>SUMIF(Aventri_2021_2023IA[Type],CategoryComparisonAll[[#This Row],[Type]],Aventri_2021_2023IA[Total Cost (2024)])</f>
        <v>350.87</v>
      </c>
      <c r="I8" s="114">
        <f>SUMIF(Aventri_2022COL[Type],CategoryComparisonAll[[#This Row],[Type]],Aventri_2022COL[Total Cost])</f>
        <v>350.87</v>
      </c>
      <c r="J8" s="114">
        <f>SUM(CategoryComparisonAll[[#This Row],[Aventri_2024IC]:[Aventri_2022COL]])</f>
        <v>2456.0899999999997</v>
      </c>
      <c r="K8" s="114">
        <f>SUMIF(CompuSystems_2025IC[[Type ]],CategoryComparisonAll[[#This Row],[Type]],CompuSystems_2025IC[Total Cost])</f>
        <v>1500</v>
      </c>
      <c r="L8" s="114">
        <f>SUMIF(CompuSystems_2024IC[Type],CategoryComparisonAll[[#This Row],[Type]],CompuSystems_2024IC[Total Cost])</f>
        <v>1500</v>
      </c>
      <c r="M8" s="114">
        <f>SUMIF(CompuSystems_2023IC[Type],CategoryComparisonAll[[#This Row],[Type]],CompuSystems_2023IC[Total Cost])</f>
        <v>1500</v>
      </c>
      <c r="N8" s="114">
        <f>SUMIF(CompuSystems_2023_2025IA[Type],CategoryComparisonAll[[#This Row],[Type]],CompuSystems_2023_2025IA[Total Cost (2023)])</f>
        <v>0</v>
      </c>
      <c r="O8" s="114">
        <f>SUMIF(CompuSystems_2023_2025IA[Type],CategoryComparisonAll[[#This Row],[Type]],CompuSystems_2023_2025IA[Total Cost (2024)])</f>
        <v>0</v>
      </c>
      <c r="P8" s="114">
        <f>SUMIF(CompuSystems_2023_2025IA[Type],CategoryComparisonAll[[#This Row],[Type]],CompuSystems_2023_2025IA[Total Cost (2025)])</f>
        <v>0</v>
      </c>
      <c r="Q8" s="114">
        <f>SUMIF(CompuSystems_2025COL[Type],CategoryComparisonAll[[#This Row],[Type]],CompuSystems_2025COL[Total Cost])</f>
        <v>0</v>
      </c>
      <c r="R8" s="114">
        <f>SUM(CategoryComparisonAll[[#This Row],[CompuSystems2024IC]:[CompuSystems2022COL]])</f>
        <v>4500</v>
      </c>
      <c r="S8" s="114">
        <f>SUMIF(MCI_2025IC[[Type ]],CategoryComparisonAll[[#This Row],[Type]],MCI_2025IC[Total Cost])</f>
        <v>0</v>
      </c>
      <c r="T8" s="114">
        <f>SUMIF(MCI_2024IC[Type],CategoryComparisonAll[[#This Row],[Type]],MCI_2024IC[Total Cost])</f>
        <v>0</v>
      </c>
      <c r="U8" s="114">
        <f>SUMIF(MCI_2023IC[Type],CategoryComparisonAll[[#This Row],[Type]],MCI_2023IC[Total Cost])</f>
        <v>0</v>
      </c>
      <c r="V8" s="114">
        <f>SUMIF(MCI_2023_2025IA[Type],CategoryComparisonAll[[#This Row],[Type]],MCI_2023_2025IA[Total Cost (2023)])</f>
        <v>0</v>
      </c>
      <c r="W8" s="114">
        <f>SUMIF(MCI_2023_2025IA[Type],CategoryComparisonAll[[#This Row],[Type]],MCI_2023_2025IA[Total Cost (2024)])</f>
        <v>0</v>
      </c>
      <c r="X8" s="114">
        <f>SUMIF(MCI_2023_2025IA[Type],CategoryComparisonAll[[#This Row],[Type]],MCI_2023_2025IA[Total Cost (2025)])</f>
        <v>0</v>
      </c>
      <c r="Y8" s="114">
        <f>SUMIF(MCI_2025COL[Type],CategoryComparisonAll[[#This Row],[Type]],MCI_2025COL[Total Cost])</f>
        <v>0</v>
      </c>
      <c r="Z8" s="114">
        <f>SUM(CategoryComparisonAll[[#This Row],[MCI2024IC]:[MCI2022COL]])</f>
        <v>0</v>
      </c>
    </row>
    <row r="9" spans="2:26" x14ac:dyDescent="0.35">
      <c r="B9" t="s">
        <v>190</v>
      </c>
      <c r="C9" s="114">
        <f>SUMIF(Aventri_2024IC[Type],CategoryComparisonAll[[#This Row],[Type]],Aventri_2024IC[Total Cost])</f>
        <v>32205</v>
      </c>
      <c r="D9" s="114">
        <f>SUMIF(Aventri_2023IC[Type],CategoryComparisonAll[[#This Row],[Type]],Aventri_2023IC[Total Cost])</f>
        <v>32745</v>
      </c>
      <c r="E9" s="114">
        <f>SUMIF(Aventri_2022IC[Type],CategoryComparisonAll[[#This Row],[Type]],Aventri_2022IC[Total Cost])</f>
        <v>32814</v>
      </c>
      <c r="F9" s="114">
        <f>SUMIF(Aventri_2021_2023IA[Type],CategoryComparisonAll[[#This Row],[Type]],Aventri_2021_2023IA[Total Cost (2022)])</f>
        <v>9492.08</v>
      </c>
      <c r="G9" s="114">
        <f>SUMIF(Aventri_2021_2023IA[Type],CategoryComparisonAll[[#This Row],[Type]],Aventri_2021_2023IA[Total Cost (2023)])</f>
        <v>9672.08</v>
      </c>
      <c r="H9" s="114">
        <f>SUMIF(Aventri_2021_2023IA[Type],CategoryComparisonAll[[#This Row],[Type]],Aventri_2021_2023IA[Total Cost (2024)])</f>
        <v>9672.08</v>
      </c>
      <c r="I9" s="114">
        <f>SUMIF(Aventri_2022COL[Type],CategoryComparisonAll[[#This Row],[Type]],Aventri_2022COL[Total Cost])</f>
        <v>819.16000000000008</v>
      </c>
      <c r="J9" s="114">
        <f>SUM(CategoryComparisonAll[[#This Row],[Aventri_2024IC]:[Aventri_2022COL]])</f>
        <v>127419.40000000001</v>
      </c>
      <c r="K9" s="114">
        <f>SUMIF(CompuSystems_2025IC[[Type ]],CategoryComparisonAll[[#This Row],[Type]],CompuSystems_2025IC[Total Cost])</f>
        <v>56355</v>
      </c>
      <c r="L9" s="114">
        <f>SUMIF(CompuSystems_2024IC[Type],CategoryComparisonAll[[#This Row],[Type]],CompuSystems_2024IC[Total Cost])</f>
        <v>49370</v>
      </c>
      <c r="M9" s="114">
        <f>SUMIF(CompuSystems_2023IC[Type],CategoryComparisonAll[[#This Row],[Type]],CompuSystems_2023IC[Total Cost])</f>
        <v>45239</v>
      </c>
      <c r="N9" s="114">
        <f>SUMIF(CompuSystems_2023_2025IA[Type],CategoryComparisonAll[[#This Row],[Type]],CompuSystems_2023_2025IA[Total Cost (2023)])</f>
        <v>13272.08</v>
      </c>
      <c r="O9" s="114">
        <f>SUMIF(CompuSystems_2023_2025IA[Type],CategoryComparisonAll[[#This Row],[Type]],CompuSystems_2023_2025IA[Total Cost (2024)])</f>
        <v>13272.08</v>
      </c>
      <c r="P9" s="114">
        <f>SUMIF(CompuSystems_2023_2025IA[Type],CategoryComparisonAll[[#This Row],[Type]],CompuSystems_2023_2025IA[Total Cost (2025)])</f>
        <v>13452.08</v>
      </c>
      <c r="Q9" s="114">
        <f>SUMIF(CompuSystems_2025COL[Type],CategoryComparisonAll[[#This Row],[Type]],CompuSystems_2025COL[Total Cost])</f>
        <v>819.16000000000008</v>
      </c>
      <c r="R9" s="114">
        <f>SUM(CategoryComparisonAll[[#This Row],[CompuSystems2024IC]:[CompuSystems2022COL]])</f>
        <v>191779.39999999997</v>
      </c>
      <c r="S9" s="114">
        <f>SUMIF(MCI_2025IC[[Type ]],CategoryComparisonAll[[#This Row],[Type]],MCI_2025IC[Total Cost])</f>
        <v>30105</v>
      </c>
      <c r="T9" s="114">
        <f>SUMIF(MCI_2024IC[Type],CategoryComparisonAll[[#This Row],[Type]],MCI_2024IC[Total Cost])</f>
        <v>33645</v>
      </c>
      <c r="U9" s="114">
        <f>SUMIF(MCI_2023IC[Type],CategoryComparisonAll[[#This Row],[Type]],MCI_2023IC[Total Cost])</f>
        <v>33339</v>
      </c>
      <c r="V9" s="114">
        <f>SUMIF(MCI_2023_2025IA[Type],CategoryComparisonAll[[#This Row],[Type]],MCI_2023_2025IA[Total Cost (2023)])</f>
        <v>9072.08</v>
      </c>
      <c r="W9" s="114">
        <f>SUMIF(MCI_2023_2025IA[Type],CategoryComparisonAll[[#This Row],[Type]],MCI_2023_2025IA[Total Cost (2024)])</f>
        <v>9072.08</v>
      </c>
      <c r="X9" s="114">
        <f>SUMIF(MCI_2023_2025IA[Type],CategoryComparisonAll[[#This Row],[Type]],MCI_2023_2025IA[Total Cost (2025)])</f>
        <v>9252.08</v>
      </c>
      <c r="Y9" s="114">
        <f>SUMIF(MCI_2025COL[Type],CategoryComparisonAll[[#This Row],[Type]],MCI_2025COL[Total Cost])</f>
        <v>819.16000000000008</v>
      </c>
      <c r="Z9" s="114">
        <f>SUM(CategoryComparisonAll[[#This Row],[MCI2024IC]:[MCI2022COL]])</f>
        <v>125304.40000000001</v>
      </c>
    </row>
    <row r="10" spans="2:26" x14ac:dyDescent="0.35">
      <c r="B10" t="s">
        <v>195</v>
      </c>
      <c r="C10" s="114">
        <f>SUMIF(Aventri_2024IC[Type],CategoryComparisonAll[[#This Row],[Type]],Aventri_2024IC[Total Cost])</f>
        <v>9000</v>
      </c>
      <c r="D10" s="114">
        <f>SUMIF(Aventri_2023IC[Type],CategoryComparisonAll[[#This Row],[Type]],Aventri_2023IC[Total Cost])</f>
        <v>9000</v>
      </c>
      <c r="E10" s="114">
        <f>SUMIF(Aventri_2022IC[Type],CategoryComparisonAll[[#This Row],[Type]],Aventri_2022IC[Total Cost])</f>
        <v>9000</v>
      </c>
      <c r="F10" s="114">
        <f>SUMIF(Aventri_2021_2023IA[Type],CategoryComparisonAll[[#This Row],[Type]],Aventri_2021_2023IA[Total Cost (2022)])</f>
        <v>6000</v>
      </c>
      <c r="G10" s="114">
        <f>SUMIF(Aventri_2021_2023IA[Type],CategoryComparisonAll[[#This Row],[Type]],Aventri_2021_2023IA[Total Cost (2023)])</f>
        <v>6000</v>
      </c>
      <c r="H10" s="114">
        <f>SUMIF(Aventri_2021_2023IA[Type],CategoryComparisonAll[[#This Row],[Type]],Aventri_2021_2023IA[Total Cost (2024)])</f>
        <v>6000</v>
      </c>
      <c r="I10" s="114">
        <f>SUMIF(Aventri_2022COL[Type],CategoryComparisonAll[[#This Row],[Type]],Aventri_2022COL[Total Cost])</f>
        <v>3000</v>
      </c>
      <c r="J10" s="114">
        <f>SUM(CategoryComparisonAll[[#This Row],[Aventri_2024IC]:[Aventri_2022COL]])</f>
        <v>48000</v>
      </c>
      <c r="K10" s="114">
        <f>SUMIF(CompuSystems_2025IC[[Type ]],CategoryComparisonAll[[#This Row],[Type]],CompuSystems_2025IC[Total Cost])</f>
        <v>36650</v>
      </c>
      <c r="L10" s="114">
        <f>SUMIF(CompuSystems_2024IC[Type],CategoryComparisonAll[[#This Row],[Type]],CompuSystems_2024IC[Total Cost])</f>
        <v>31750</v>
      </c>
      <c r="M10" s="114">
        <f>SUMIF(CompuSystems_2023IC[Type],CategoryComparisonAll[[#This Row],[Type]],CompuSystems_2023IC[Total Cost])</f>
        <v>61290</v>
      </c>
      <c r="N10" s="114">
        <f>SUMIF(CompuSystems_2023_2025IA[Type],CategoryComparisonAll[[#This Row],[Type]],CompuSystems_2023_2025IA[Total Cost (2023)])</f>
        <v>13500</v>
      </c>
      <c r="O10" s="114">
        <f>SUMIF(CompuSystems_2023_2025IA[Type],CategoryComparisonAll[[#This Row],[Type]],CompuSystems_2023_2025IA[Total Cost (2024)])</f>
        <v>13500</v>
      </c>
      <c r="P10" s="114">
        <f>SUMIF(CompuSystems_2023_2025IA[Type],CategoryComparisonAll[[#This Row],[Type]],CompuSystems_2023_2025IA[Total Cost (2025)])</f>
        <v>13500</v>
      </c>
      <c r="Q10" s="114">
        <f>SUMIF(CompuSystems_2025COL[Type],CategoryComparisonAll[[#This Row],[Type]],CompuSystems_2025COL[Total Cost])</f>
        <v>13500</v>
      </c>
      <c r="R10" s="114">
        <f>SUM(CategoryComparisonAll[[#This Row],[CompuSystems2024IC]:[CompuSystems2022COL]])</f>
        <v>183690</v>
      </c>
      <c r="S10" s="114">
        <f>SUMIF(MCI_2025IC[[Type ]],CategoryComparisonAll[[#This Row],[Type]],MCI_2025IC[Total Cost])</f>
        <v>6000</v>
      </c>
      <c r="T10" s="114">
        <f>SUMIF(MCI_2024IC[Type],CategoryComparisonAll[[#This Row],[Type]],MCI_2024IC[Total Cost])</f>
        <v>6000</v>
      </c>
      <c r="U10" s="114">
        <f>SUMIF(MCI_2023IC[Type],CategoryComparisonAll[[#This Row],[Type]],MCI_2023IC[Total Cost])</f>
        <v>13500</v>
      </c>
      <c r="V10" s="114">
        <f>SUMIF(MCI_2023_2025IA[Type],CategoryComparisonAll[[#This Row],[Type]],MCI_2023_2025IA[Total Cost (2023)])</f>
        <v>2000</v>
      </c>
      <c r="W10" s="114">
        <f>SUMIF(MCI_2023_2025IA[Type],CategoryComparisonAll[[#This Row],[Type]],MCI_2023_2025IA[Total Cost (2024)])</f>
        <v>2000</v>
      </c>
      <c r="X10" s="114">
        <f>SUMIF(MCI_2023_2025IA[Type],CategoryComparisonAll[[#This Row],[Type]],MCI_2023_2025IA[Total Cost (2025)])</f>
        <v>2000</v>
      </c>
      <c r="Y10" s="114">
        <f>SUMIF(MCI_2025COL[Type],CategoryComparisonAll[[#This Row],[Type]],MCI_2025COL[Total Cost])</f>
        <v>2000</v>
      </c>
      <c r="Z10" s="114">
        <f>SUM(CategoryComparisonAll[[#This Row],[MCI2024IC]:[MCI2022COL]])</f>
        <v>33500</v>
      </c>
    </row>
    <row r="11" spans="2:26" x14ac:dyDescent="0.35">
      <c r="B11" t="s">
        <v>201</v>
      </c>
      <c r="C11" s="114">
        <f>SUMIF(Aventri_2024IC[Type],CategoryComparisonAll[[#This Row],[Type]],Aventri_2024IC[Total Cost])</f>
        <v>3400</v>
      </c>
      <c r="D11" s="114">
        <f>SUMIF(Aventri_2023IC[Type],CategoryComparisonAll[[#This Row],[Type]],Aventri_2023IC[Total Cost])</f>
        <v>3400</v>
      </c>
      <c r="E11" s="114">
        <f>SUMIF(Aventri_2022IC[Type],CategoryComparisonAll[[#This Row],[Type]],Aventri_2022IC[Total Cost])</f>
        <v>5648</v>
      </c>
      <c r="F11" s="114">
        <f>SUMIF(Aventri_2021_2023IA[Type],CategoryComparisonAll[[#This Row],[Type]],Aventri_2021_2023IA[Total Cost (2022)])</f>
        <v>2800</v>
      </c>
      <c r="G11" s="114">
        <f>SUMIF(Aventri_2021_2023IA[Type],CategoryComparisonAll[[#This Row],[Type]],Aventri_2021_2023IA[Total Cost (2023)])</f>
        <v>2800</v>
      </c>
      <c r="H11" s="114">
        <f>SUMIF(Aventri_2021_2023IA[Type],CategoryComparisonAll[[#This Row],[Type]],Aventri_2021_2023IA[Total Cost (2024)])</f>
        <v>2800</v>
      </c>
      <c r="I11" s="114">
        <f>SUMIF(Aventri_2022COL[Type],CategoryComparisonAll[[#This Row],[Type]],Aventri_2022COL[Total Cost])</f>
        <v>2800</v>
      </c>
      <c r="J11" s="114">
        <f>SUM(CategoryComparisonAll[[#This Row],[Aventri_2024IC]:[Aventri_2022COL]])</f>
        <v>23648</v>
      </c>
      <c r="K11" s="114">
        <f>SUMIF(CompuSystems_2025IC[[Type ]],CategoryComparisonAll[[#This Row],[Type]],CompuSystems_2025IC[Total Cost])</f>
        <v>18000</v>
      </c>
      <c r="L11" s="114">
        <f>SUMIF(CompuSystems_2024IC[Type],CategoryComparisonAll[[#This Row],[Type]],CompuSystems_2024IC[Total Cost])</f>
        <v>15000</v>
      </c>
      <c r="M11" s="114">
        <f>SUMIF(CompuSystems_2023IC[Type],CategoryComparisonAll[[#This Row],[Type]],CompuSystems_2023IC[Total Cost])</f>
        <v>4000</v>
      </c>
      <c r="N11" s="114">
        <f>SUMIF(CompuSystems_2023_2025IA[Type],CategoryComparisonAll[[#This Row],[Type]],CompuSystems_2023_2025IA[Total Cost (2023)])</f>
        <v>4500</v>
      </c>
      <c r="O11" s="114">
        <f>SUMIF(CompuSystems_2023_2025IA[Type],CategoryComparisonAll[[#This Row],[Type]],CompuSystems_2023_2025IA[Total Cost (2024)])</f>
        <v>4500</v>
      </c>
      <c r="P11" s="114">
        <f>SUMIF(CompuSystems_2023_2025IA[Type],CategoryComparisonAll[[#This Row],[Type]],CompuSystems_2023_2025IA[Total Cost (2025)])</f>
        <v>4500</v>
      </c>
      <c r="Q11" s="114">
        <f>SUMIF(CompuSystems_2025COL[Type],CategoryComparisonAll[[#This Row],[Type]],CompuSystems_2025COL[Total Cost])</f>
        <v>500</v>
      </c>
      <c r="R11" s="114">
        <f>SUM(CategoryComparisonAll[[#This Row],[CompuSystems2024IC]:[CompuSystems2022COL]])</f>
        <v>51000</v>
      </c>
      <c r="S11" s="114">
        <f>SUMIF(MCI_2025IC[[Type ]],CategoryComparisonAll[[#This Row],[Type]],MCI_2025IC[Total Cost])</f>
        <v>1700</v>
      </c>
      <c r="T11" s="114">
        <f>SUMIF(MCI_2024IC[Type],CategoryComparisonAll[[#This Row],[Type]],MCI_2024IC[Total Cost])</f>
        <v>1700</v>
      </c>
      <c r="U11" s="114">
        <f>SUMIF(MCI_2023IC[Type],CategoryComparisonAll[[#This Row],[Type]],MCI_2023IC[Total Cost])</f>
        <v>2824</v>
      </c>
      <c r="V11" s="114">
        <f>SUMIF(MCI_2023_2025IA[Type],CategoryComparisonAll[[#This Row],[Type]],MCI_2023_2025IA[Total Cost (2023)])</f>
        <v>2800</v>
      </c>
      <c r="W11" s="114">
        <f>SUMIF(MCI_2023_2025IA[Type],CategoryComparisonAll[[#This Row],[Type]],MCI_2023_2025IA[Total Cost (2024)])</f>
        <v>2800</v>
      </c>
      <c r="X11" s="114">
        <f>SUMIF(MCI_2023_2025IA[Type],CategoryComparisonAll[[#This Row],[Type]],MCI_2023_2025IA[Total Cost (2025)])</f>
        <v>2800</v>
      </c>
      <c r="Y11" s="114">
        <f>SUMIF(MCI_2025COL[Type],CategoryComparisonAll[[#This Row],[Type]],MCI_2025COL[Total Cost])</f>
        <v>2800</v>
      </c>
      <c r="Z11" s="114">
        <f>SUM(CategoryComparisonAll[[#This Row],[MCI2024IC]:[MCI2022COL]])</f>
        <v>17424</v>
      </c>
    </row>
    <row r="12" spans="2:26" x14ac:dyDescent="0.35">
      <c r="B12" t="s">
        <v>204</v>
      </c>
      <c r="C12" s="114">
        <f>SUMIF(Aventri_2024IC[Type],CategoryComparisonAll[[#This Row],[Type]],Aventri_2024IC[Total Cost])</f>
        <v>3000</v>
      </c>
      <c r="D12" s="114">
        <f>SUMIF(Aventri_2023IC[Type],CategoryComparisonAll[[#This Row],[Type]],Aventri_2023IC[Total Cost])</f>
        <v>3000</v>
      </c>
      <c r="E12" s="114">
        <f>SUMIF(Aventri_2022IC[Type],CategoryComparisonAll[[#This Row],[Type]],Aventri_2022IC[Total Cost])</f>
        <v>3000</v>
      </c>
      <c r="F12" s="114">
        <f>SUMIF(Aventri_2021_2023IA[Type],CategoryComparisonAll[[#This Row],[Type]],Aventri_2021_2023IA[Total Cost (2022)])</f>
        <v>3000</v>
      </c>
      <c r="G12" s="114">
        <f>SUMIF(Aventri_2021_2023IA[Type],CategoryComparisonAll[[#This Row],[Type]],Aventri_2021_2023IA[Total Cost (2023)])</f>
        <v>3000</v>
      </c>
      <c r="H12" s="114">
        <f>SUMIF(Aventri_2021_2023IA[Type],CategoryComparisonAll[[#This Row],[Type]],Aventri_2021_2023IA[Total Cost (2024)])</f>
        <v>3000</v>
      </c>
      <c r="I12" s="114">
        <f>SUMIF(Aventri_2022COL[Type],CategoryComparisonAll[[#This Row],[Type]],Aventri_2022COL[Total Cost])</f>
        <v>3000</v>
      </c>
      <c r="J12" s="114">
        <f>SUM(CategoryComparisonAll[[#This Row],[Aventri_2024IC]:[Aventri_2022COL]])</f>
        <v>21000</v>
      </c>
      <c r="K12" s="114">
        <f>SUMIF(CompuSystems_2025IC[[Type ]],CategoryComparisonAll[[#This Row],[Type]],CompuSystems_2025IC[Total Cost])</f>
        <v>34550</v>
      </c>
      <c r="L12" s="114">
        <f>SUMIF(CompuSystems_2024IC[Type],CategoryComparisonAll[[#This Row],[Type]],CompuSystems_2024IC[Total Cost])</f>
        <v>34550</v>
      </c>
      <c r="M12" s="114">
        <f>SUMIF(CompuSystems_2023IC[Type],CategoryComparisonAll[[#This Row],[Type]],CompuSystems_2023IC[Total Cost])</f>
        <v>34550</v>
      </c>
      <c r="N12" s="114">
        <f>SUMIF(CompuSystems_2023_2025IA[Type],CategoryComparisonAll[[#This Row],[Type]],CompuSystems_2023_2025IA[Total Cost (2023)])</f>
        <v>9750</v>
      </c>
      <c r="O12" s="114">
        <f>SUMIF(CompuSystems_2023_2025IA[Type],CategoryComparisonAll[[#This Row],[Type]],CompuSystems_2023_2025IA[Total Cost (2024)])</f>
        <v>9750</v>
      </c>
      <c r="P12" s="114">
        <f>SUMIF(CompuSystems_2023_2025IA[Type],CategoryComparisonAll[[#This Row],[Type]],CompuSystems_2023_2025IA[Total Cost (2025)])</f>
        <v>9750</v>
      </c>
      <c r="Q12" s="114">
        <f>SUMIF(CompuSystems_2025COL[Type],CategoryComparisonAll[[#This Row],[Type]],CompuSystems_2025COL[Total Cost])</f>
        <v>8300</v>
      </c>
      <c r="R12" s="114">
        <f>SUM(CategoryComparisonAll[[#This Row],[CompuSystems2024IC]:[CompuSystems2022COL]])</f>
        <v>141200</v>
      </c>
      <c r="S12" s="114">
        <f>SUMIF(MCI_2025IC[[Type ]],CategoryComparisonAll[[#This Row],[Type]],MCI_2025IC[Total Cost])</f>
        <v>27000</v>
      </c>
      <c r="T12" s="114">
        <f>SUMIF(MCI_2024IC[Type],CategoryComparisonAll[[#This Row],[Type]],MCI_2024IC[Total Cost])</f>
        <v>27000</v>
      </c>
      <c r="U12" s="114">
        <f>SUMIF(MCI_2023IC[Type],CategoryComparisonAll[[#This Row],[Type]],MCI_2023IC[Total Cost])</f>
        <v>27000</v>
      </c>
      <c r="V12" s="114">
        <f>SUMIF(MCI_2023_2025IA[Type],CategoryComparisonAll[[#This Row],[Type]],MCI_2023_2025IA[Total Cost (2023)])</f>
        <v>3875</v>
      </c>
      <c r="W12" s="114">
        <f>SUMIF(MCI_2023_2025IA[Type],CategoryComparisonAll[[#This Row],[Type]],MCI_2023_2025IA[Total Cost (2024)])</f>
        <v>3875</v>
      </c>
      <c r="X12" s="114">
        <f>SUMIF(MCI_2023_2025IA[Type],CategoryComparisonAll[[#This Row],[Type]],MCI_2023_2025IA[Total Cost (2025)])</f>
        <v>3875</v>
      </c>
      <c r="Y12" s="114">
        <f>SUMIF(MCI_2025COL[Type],CategoryComparisonAll[[#This Row],[Type]],MCI_2025COL[Total Cost])</f>
        <v>3500</v>
      </c>
      <c r="Z12" s="114">
        <f>SUM(CategoryComparisonAll[[#This Row],[MCI2024IC]:[MCI2022COL]])</f>
        <v>96125</v>
      </c>
    </row>
    <row r="13" spans="2:26" x14ac:dyDescent="0.35">
      <c r="B13" s="115" t="s">
        <v>28</v>
      </c>
      <c r="C13" s="115">
        <f>SUBTOTAL(109,CategoryComparisonAll[Aventri_2024IC])</f>
        <v>191980.87</v>
      </c>
      <c r="D13" s="115">
        <f>SUBTOTAL(109,CategoryComparisonAll[Aventri_2023IC])</f>
        <v>192520.87</v>
      </c>
      <c r="E13" s="115">
        <f>SUBTOTAL(109,CategoryComparisonAll[Aventri_2022IC])</f>
        <v>179837.87</v>
      </c>
      <c r="F13" s="115">
        <f>SUBTOTAL(109,CategoryComparisonAll[Aventri_2022IA])</f>
        <v>27117.95</v>
      </c>
      <c r="G13" s="115">
        <f>SUBTOTAL(109,CategoryComparisonAll[Aventri_2023IA])</f>
        <v>27297.95</v>
      </c>
      <c r="H13" s="115">
        <f>SUBTOTAL(109,CategoryComparisonAll[Aventri_2024])</f>
        <v>27297.95</v>
      </c>
      <c r="I13" s="115">
        <f>SUBTOTAL(109,CategoryComparisonAll[Aventri_2022COL])</f>
        <v>12390.029999999999</v>
      </c>
      <c r="J13" s="115">
        <f>SUBTOTAL(109,CategoryComparisonAll[Aventri_Total Contract])</f>
        <v>658443.49</v>
      </c>
      <c r="K13" s="115">
        <f>SUBTOTAL(109,CategoryComparisonAll[CompuSystems2024IC])</f>
        <v>200975</v>
      </c>
      <c r="L13" s="115">
        <f>SUBTOTAL(109,CategoryComparisonAll[CompuSystems2023IC])</f>
        <v>172340</v>
      </c>
      <c r="M13" s="115">
        <f>SUBTOTAL(109,CategoryComparisonAll[CompuSystems2022IC])</f>
        <v>186749</v>
      </c>
      <c r="N13" s="115">
        <f>SUBTOTAL(109,CategoryComparisonAll[CompuSystems2022IA])</f>
        <v>44707.08</v>
      </c>
      <c r="O13" s="115">
        <f>SUBTOTAL(109,CategoryComparisonAll[CompuSystems2023IA])</f>
        <v>44707.08</v>
      </c>
      <c r="P13" s="115">
        <f>SUBTOTAL(109,CategoryComparisonAll[CompuSystems2024IA])</f>
        <v>44887.08</v>
      </c>
      <c r="Q13" s="115">
        <f>SUBTOTAL(109,CategoryComparisonAll[CompuSystems2022COL])</f>
        <v>24897.16</v>
      </c>
      <c r="R13" s="115">
        <f>SUBTOTAL(109,CategoryComparisonAll[CompuSystemsTotal Contract])</f>
        <v>719262.39999999991</v>
      </c>
      <c r="S13" s="115">
        <f>SUBTOTAL(109,CategoryComparisonAll[MCI2024IC])</f>
        <v>177555</v>
      </c>
      <c r="T13" s="115">
        <f>SUBTOTAL(109,CategoryComparisonAll[MCI2023IC])</f>
        <v>186095</v>
      </c>
      <c r="U13" s="115">
        <f>SUBTOTAL(109,CategoryComparisonAll[MCI2022IC])</f>
        <v>186913</v>
      </c>
      <c r="V13" s="115">
        <f>SUBTOTAL(109,CategoryComparisonAll[MCI2022IA])</f>
        <v>28312.080000000002</v>
      </c>
      <c r="W13" s="115">
        <f>SUBTOTAL(109,CategoryComparisonAll[MCI2023I])</f>
        <v>28312.080000000002</v>
      </c>
      <c r="X13" s="115">
        <f>SUBTOTAL(109,CategoryComparisonAll[MCI2024IA])</f>
        <v>28492.080000000002</v>
      </c>
      <c r="Y13" s="115">
        <f>SUBTOTAL(109,CategoryComparisonAll[MCI2022COL])</f>
        <v>25834.16</v>
      </c>
      <c r="Z13" s="115">
        <f>SUBTOTAL(109,CategoryComparisonAll[MCITotal Contract])</f>
        <v>661513.4</v>
      </c>
    </row>
  </sheetData>
  <mergeCells count="3">
    <mergeCell ref="S2:Z2"/>
    <mergeCell ref="C2:J2"/>
    <mergeCell ref="K2:R2"/>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B51"/>
  <sheetViews>
    <sheetView topLeftCell="R1" zoomScale="90" zoomScaleNormal="90" workbookViewId="0">
      <selection activeCell="V5" sqref="V5:V39"/>
    </sheetView>
  </sheetViews>
  <sheetFormatPr defaultColWidth="8.81640625" defaultRowHeight="14.5" x14ac:dyDescent="0.35"/>
  <cols>
    <col min="2" max="2" width="9.453125" hidden="1" customWidth="1"/>
    <col min="3" max="3" width="12.54296875" hidden="1" customWidth="1"/>
    <col min="4" max="4" width="16.1796875" hidden="1" customWidth="1"/>
    <col min="5" max="5" width="51.1796875" hidden="1" customWidth="1"/>
    <col min="6" max="6" width="26.1796875" hidden="1" customWidth="1"/>
    <col min="7" max="7" width="12.81640625" hidden="1" customWidth="1"/>
    <col min="8" max="8" width="17.54296875" hidden="1" customWidth="1"/>
    <col min="9" max="9" width="140.1796875" hidden="1" customWidth="1"/>
    <col min="10" max="10" width="0" hidden="1" customWidth="1"/>
    <col min="12" max="12" width="9.453125" bestFit="1" customWidth="1"/>
    <col min="13" max="13" width="13.6328125" bestFit="1" customWidth="1"/>
    <col min="14" max="14" width="22.26953125" customWidth="1"/>
    <col min="15" max="15" width="64.54296875" bestFit="1" customWidth="1"/>
    <col min="16" max="16" width="26.1796875" bestFit="1" customWidth="1"/>
    <col min="17" max="17" width="12.81640625" bestFit="1" customWidth="1"/>
    <col min="18" max="18" width="17.54296875" bestFit="1" customWidth="1"/>
    <col min="19" max="19" width="29" bestFit="1" customWidth="1"/>
    <col min="20" max="20" width="27.81640625" customWidth="1"/>
    <col min="21" max="21" width="9.453125" bestFit="1" customWidth="1"/>
    <col min="22" max="22" width="12.54296875" bestFit="1" customWidth="1"/>
    <col min="23" max="23" width="16.1796875" bestFit="1" customWidth="1"/>
    <col min="24" max="24" width="30.81640625" bestFit="1" customWidth="1"/>
    <col min="25" max="25" width="26.1796875" bestFit="1" customWidth="1"/>
    <col min="26" max="26" width="12.81640625" bestFit="1" customWidth="1"/>
    <col min="27" max="27" width="17.54296875" bestFit="1" customWidth="1"/>
    <col min="28" max="28" width="49.81640625" bestFit="1" customWidth="1"/>
  </cols>
  <sheetData>
    <row r="2" spans="2:28" ht="14.5" customHeight="1" x14ac:dyDescent="0.35">
      <c r="B2" s="248" t="s">
        <v>29</v>
      </c>
      <c r="C2" s="248"/>
      <c r="D2" s="248"/>
      <c r="E2" s="248"/>
      <c r="F2" s="248"/>
      <c r="G2" s="248"/>
      <c r="H2" s="248"/>
      <c r="I2" s="248"/>
      <c r="L2" s="249" t="s">
        <v>381</v>
      </c>
      <c r="M2" s="249"/>
      <c r="N2" s="249"/>
      <c r="O2" s="249"/>
      <c r="P2" s="249"/>
      <c r="Q2" s="249"/>
      <c r="R2" s="249"/>
      <c r="S2" s="249"/>
      <c r="U2" s="247" t="s">
        <v>401</v>
      </c>
      <c r="V2" s="247"/>
      <c r="W2" s="247"/>
      <c r="X2" s="247"/>
      <c r="Y2" s="247"/>
      <c r="Z2" s="247"/>
      <c r="AA2" s="247"/>
      <c r="AB2" s="247"/>
    </row>
    <row r="3" spans="2:28" ht="18.5" x14ac:dyDescent="0.45">
      <c r="B3" s="250" t="s">
        <v>236</v>
      </c>
      <c r="C3" s="250"/>
      <c r="D3" s="250"/>
      <c r="E3" s="250"/>
      <c r="F3" s="250"/>
      <c r="G3" s="250"/>
      <c r="H3" s="250"/>
      <c r="I3" s="251"/>
      <c r="L3" s="250" t="s">
        <v>340</v>
      </c>
      <c r="M3" s="250"/>
      <c r="N3" s="250"/>
      <c r="O3" s="250"/>
      <c r="P3" s="250"/>
      <c r="Q3" s="250"/>
      <c r="R3" s="250"/>
      <c r="S3" s="251"/>
      <c r="U3" s="250" t="s">
        <v>340</v>
      </c>
      <c r="V3" s="250"/>
      <c r="W3" s="250"/>
      <c r="X3" s="250"/>
      <c r="Y3" s="250"/>
      <c r="Z3" s="250"/>
      <c r="AA3" s="250"/>
      <c r="AB3" s="251"/>
    </row>
    <row r="4" spans="2:28" ht="31" x14ac:dyDescent="0.35">
      <c r="B4" t="s">
        <v>141</v>
      </c>
      <c r="C4" t="s">
        <v>22</v>
      </c>
      <c r="D4" s="50" t="s">
        <v>152</v>
      </c>
      <c r="E4" s="50" t="s">
        <v>153</v>
      </c>
      <c r="F4" s="51" t="s">
        <v>237</v>
      </c>
      <c r="G4" s="52" t="s">
        <v>155</v>
      </c>
      <c r="H4" s="51" t="s">
        <v>156</v>
      </c>
      <c r="I4" s="51" t="s">
        <v>157</v>
      </c>
      <c r="L4" t="s">
        <v>141</v>
      </c>
      <c r="M4" t="s">
        <v>22</v>
      </c>
      <c r="N4" s="50" t="s">
        <v>152</v>
      </c>
      <c r="O4" s="50" t="s">
        <v>153</v>
      </c>
      <c r="P4" s="51" t="s">
        <v>154</v>
      </c>
      <c r="Q4" s="52" t="s">
        <v>155</v>
      </c>
      <c r="R4" s="51" t="s">
        <v>156</v>
      </c>
      <c r="S4" s="97" t="s">
        <v>157</v>
      </c>
      <c r="U4" t="s">
        <v>141</v>
      </c>
      <c r="V4" t="s">
        <v>22</v>
      </c>
      <c r="W4" s="50" t="s">
        <v>152</v>
      </c>
      <c r="X4" s="50" t="s">
        <v>153</v>
      </c>
      <c r="Y4" s="51" t="s">
        <v>154</v>
      </c>
      <c r="Z4" s="52" t="s">
        <v>155</v>
      </c>
      <c r="AA4" s="51" t="s">
        <v>156</v>
      </c>
      <c r="AB4" s="51" t="s">
        <v>157</v>
      </c>
    </row>
    <row r="5" spans="2:28" x14ac:dyDescent="0.35">
      <c r="B5" t="s">
        <v>271</v>
      </c>
      <c r="C5" t="s">
        <v>29</v>
      </c>
      <c r="D5" s="55" t="s">
        <v>158</v>
      </c>
      <c r="E5" s="55" t="s">
        <v>159</v>
      </c>
      <c r="F5" s="153">
        <f>IF('Fiscal Year Breakdown'!G37="N",SUMIF(AventriAttendance[[Event ]],Aventri_2022IC[[#This Row],[Event]],AventriAttendance[[Expected Attendance ]]),SUMIF(AttendanceCount[[Event ]],Aventri_2022IC[[#This Row],[Event]],AttendanceCount[[Expected Attendance ]]))</f>
        <v>0</v>
      </c>
      <c r="G5" s="57">
        <v>79100</v>
      </c>
      <c r="H5" s="57">
        <f>G5</f>
        <v>79100</v>
      </c>
      <c r="I5" s="55" t="s">
        <v>238</v>
      </c>
      <c r="L5" t="s">
        <v>272</v>
      </c>
      <c r="M5" t="s">
        <v>381</v>
      </c>
      <c r="N5" s="55" t="s">
        <v>158</v>
      </c>
      <c r="O5" s="55" t="s">
        <v>159</v>
      </c>
      <c r="P5" s="153">
        <f>IF('Fiscal Year Breakdown'!G37="N",SUMIF(CompuSystemAttendance[[Event ]],CompuSystems_2023IC[[#This Row],[Event]],CompuSystemAttendance[[Expected Attendance ]]),SUMIF(AttendanceCount[[Event ]],CompuSystems_2023IC[[#This Row],[Event]],AttendanceCount[[Expected Attendance ]]))</f>
        <v>20000</v>
      </c>
      <c r="Q5" s="57">
        <v>0</v>
      </c>
      <c r="R5" s="57">
        <f>P5*Q5</f>
        <v>0</v>
      </c>
      <c r="S5" s="159"/>
      <c r="U5" t="s">
        <v>272</v>
      </c>
      <c r="V5" t="s">
        <v>390</v>
      </c>
      <c r="W5" s="55" t="s">
        <v>158</v>
      </c>
      <c r="X5" s="55" t="s">
        <v>159</v>
      </c>
      <c r="Y5" s="153">
        <f>IF('Fiscal Year Breakdown'!G37="N",SUMIF(MCIAttendance[[Event ]],MCI_2023IC[[#This Row],[Event]],MCIAttendance[[Expected Attendance ]]),SUMIF(AttendanceCount[[Event ]],MCI_2023IC[[#This Row],[Event]],AttendanceCount[[Expected Attendance ]]))</f>
        <v>20000</v>
      </c>
      <c r="Z5" s="57">
        <v>3</v>
      </c>
      <c r="AA5" s="57">
        <f>Y5*Z5</f>
        <v>60000</v>
      </c>
      <c r="AB5" s="55" t="s">
        <v>219</v>
      </c>
    </row>
    <row r="6" spans="2:28" x14ac:dyDescent="0.35">
      <c r="B6" t="s">
        <v>271</v>
      </c>
      <c r="C6" t="s">
        <v>29</v>
      </c>
      <c r="D6" s="55" t="s">
        <v>158</v>
      </c>
      <c r="E6" s="55" t="s">
        <v>161</v>
      </c>
      <c r="F6" s="153">
        <v>1</v>
      </c>
      <c r="G6" s="57" t="s">
        <v>162</v>
      </c>
      <c r="H6" s="57">
        <f>0</f>
        <v>0</v>
      </c>
      <c r="I6" s="55" t="s">
        <v>163</v>
      </c>
      <c r="L6" t="s">
        <v>272</v>
      </c>
      <c r="M6" t="s">
        <v>381</v>
      </c>
      <c r="N6" s="55" t="s">
        <v>158</v>
      </c>
      <c r="O6" s="55" t="s">
        <v>161</v>
      </c>
      <c r="P6" s="153">
        <v>0</v>
      </c>
      <c r="Q6" s="57">
        <v>140</v>
      </c>
      <c r="R6" s="57">
        <v>0</v>
      </c>
      <c r="S6" s="159" t="s">
        <v>208</v>
      </c>
      <c r="U6" t="s">
        <v>272</v>
      </c>
      <c r="V6" t="s">
        <v>390</v>
      </c>
      <c r="W6" s="55" t="s">
        <v>158</v>
      </c>
      <c r="X6" s="55" t="s">
        <v>161</v>
      </c>
      <c r="Y6" s="153">
        <v>1</v>
      </c>
      <c r="Z6" s="57"/>
      <c r="AA6" s="57">
        <f>Y6*Z6</f>
        <v>0</v>
      </c>
      <c r="AB6" s="55"/>
    </row>
    <row r="7" spans="2:28" x14ac:dyDescent="0.35">
      <c r="B7" t="s">
        <v>271</v>
      </c>
      <c r="C7" t="s">
        <v>29</v>
      </c>
      <c r="D7" s="55" t="s">
        <v>158</v>
      </c>
      <c r="E7" s="55" t="s">
        <v>164</v>
      </c>
      <c r="F7" s="153">
        <v>1</v>
      </c>
      <c r="G7" s="57">
        <v>0</v>
      </c>
      <c r="H7" s="57">
        <f>F7*G7</f>
        <v>0</v>
      </c>
      <c r="I7" s="55" t="s">
        <v>165</v>
      </c>
      <c r="L7" t="s">
        <v>272</v>
      </c>
      <c r="M7" t="s">
        <v>381</v>
      </c>
      <c r="N7" s="55" t="s">
        <v>158</v>
      </c>
      <c r="O7" s="55" t="s">
        <v>164</v>
      </c>
      <c r="P7" s="153">
        <v>1</v>
      </c>
      <c r="Q7" s="57">
        <v>0</v>
      </c>
      <c r="R7" s="57">
        <f>P7*Q7</f>
        <v>0</v>
      </c>
      <c r="S7" s="159"/>
      <c r="U7" t="s">
        <v>272</v>
      </c>
      <c r="V7" t="s">
        <v>390</v>
      </c>
      <c r="W7" s="55" t="s">
        <v>158</v>
      </c>
      <c r="X7" s="55" t="s">
        <v>164</v>
      </c>
      <c r="Y7" s="153">
        <v>1</v>
      </c>
      <c r="Z7" s="57">
        <v>3750</v>
      </c>
      <c r="AA7" s="57">
        <f>Y7*Z7</f>
        <v>3750</v>
      </c>
      <c r="AB7" s="55"/>
    </row>
    <row r="8" spans="2:28" x14ac:dyDescent="0.35">
      <c r="B8" t="s">
        <v>271</v>
      </c>
      <c r="C8" t="s">
        <v>29</v>
      </c>
      <c r="D8" s="55" t="s">
        <v>158</v>
      </c>
      <c r="E8" s="55" t="s">
        <v>166</v>
      </c>
      <c r="F8" s="153">
        <v>6</v>
      </c>
      <c r="G8" s="57">
        <v>0</v>
      </c>
      <c r="H8" s="57">
        <f>F8*G8</f>
        <v>0</v>
      </c>
      <c r="I8" s="55" t="s">
        <v>167</v>
      </c>
      <c r="L8" t="s">
        <v>272</v>
      </c>
      <c r="M8" t="s">
        <v>381</v>
      </c>
      <c r="N8" s="55" t="s">
        <v>158</v>
      </c>
      <c r="O8" s="55" t="s">
        <v>166</v>
      </c>
      <c r="P8" s="153">
        <v>6</v>
      </c>
      <c r="Q8" s="57">
        <v>0</v>
      </c>
      <c r="R8" s="57">
        <f>P8*Q8</f>
        <v>0</v>
      </c>
      <c r="S8" s="159" t="s">
        <v>209</v>
      </c>
      <c r="U8" t="s">
        <v>272</v>
      </c>
      <c r="V8" t="s">
        <v>390</v>
      </c>
      <c r="W8" s="55" t="s">
        <v>158</v>
      </c>
      <c r="X8" s="55" t="s">
        <v>166</v>
      </c>
      <c r="Y8" s="153">
        <v>6</v>
      </c>
      <c r="Z8" s="57">
        <v>1000</v>
      </c>
      <c r="AA8" s="57">
        <f>Y8*Z8</f>
        <v>6000</v>
      </c>
      <c r="AB8" s="55"/>
    </row>
    <row r="9" spans="2:28" x14ac:dyDescent="0.35">
      <c r="B9" t="s">
        <v>271</v>
      </c>
      <c r="C9" t="s">
        <v>29</v>
      </c>
      <c r="D9" s="55" t="s">
        <v>158</v>
      </c>
      <c r="E9" s="55" t="s">
        <v>168</v>
      </c>
      <c r="F9" s="153">
        <v>1</v>
      </c>
      <c r="G9" s="57">
        <v>20000</v>
      </c>
      <c r="H9" s="57">
        <v>20000</v>
      </c>
      <c r="I9" s="55"/>
      <c r="L9" t="s">
        <v>272</v>
      </c>
      <c r="M9" t="s">
        <v>381</v>
      </c>
      <c r="N9" s="55" t="s">
        <v>158</v>
      </c>
      <c r="O9" s="55" t="s">
        <v>175</v>
      </c>
      <c r="P9" s="153"/>
      <c r="Q9" s="57"/>
      <c r="R9" s="57">
        <f>P9*Q9</f>
        <v>0</v>
      </c>
      <c r="S9" s="159"/>
      <c r="U9" t="s">
        <v>272</v>
      </c>
      <c r="V9" t="s">
        <v>390</v>
      </c>
      <c r="W9" s="55" t="s">
        <v>158</v>
      </c>
      <c r="X9" s="55" t="s">
        <v>175</v>
      </c>
      <c r="Y9" s="153"/>
      <c r="Z9" s="57"/>
      <c r="AA9" s="57">
        <f>Y9*Z9</f>
        <v>0</v>
      </c>
      <c r="AB9" s="55"/>
    </row>
    <row r="10" spans="2:28" x14ac:dyDescent="0.35">
      <c r="B10" t="s">
        <v>271</v>
      </c>
      <c r="C10" t="s">
        <v>29</v>
      </c>
      <c r="D10" s="55" t="s">
        <v>169</v>
      </c>
      <c r="E10" s="55" t="s">
        <v>170</v>
      </c>
      <c r="F10" s="56">
        <v>35</v>
      </c>
      <c r="G10" s="57">
        <v>350</v>
      </c>
      <c r="H10" s="57">
        <f t="shared" ref="H10:H15" si="0">F10*G10</f>
        <v>12250</v>
      </c>
      <c r="I10" s="55"/>
      <c r="L10" t="s">
        <v>272</v>
      </c>
      <c r="M10" t="s">
        <v>381</v>
      </c>
      <c r="N10" s="55" t="s">
        <v>169</v>
      </c>
      <c r="O10" s="55" t="s">
        <v>170</v>
      </c>
      <c r="P10" s="56">
        <v>35</v>
      </c>
      <c r="Q10" s="57">
        <v>150</v>
      </c>
      <c r="R10" s="57">
        <f t="shared" ref="R10:R15" si="1">P10*Q10</f>
        <v>5250</v>
      </c>
      <c r="S10" s="159"/>
      <c r="U10" t="s">
        <v>272</v>
      </c>
      <c r="V10" t="s">
        <v>390</v>
      </c>
      <c r="W10" s="55" t="s">
        <v>169</v>
      </c>
      <c r="X10" s="55" t="s">
        <v>170</v>
      </c>
      <c r="Y10" s="56">
        <v>35</v>
      </c>
      <c r="Z10" s="57">
        <v>300</v>
      </c>
      <c r="AA10" s="57">
        <f t="shared" ref="AA10:AA15" si="2">Y10*Z10</f>
        <v>10500</v>
      </c>
      <c r="AB10" s="55" t="s">
        <v>233</v>
      </c>
    </row>
    <row r="11" spans="2:28" x14ac:dyDescent="0.35">
      <c r="B11" t="s">
        <v>271</v>
      </c>
      <c r="C11" t="s">
        <v>29</v>
      </c>
      <c r="D11" s="55" t="s">
        <v>169</v>
      </c>
      <c r="E11" s="55" t="s">
        <v>171</v>
      </c>
      <c r="F11" s="56">
        <v>70</v>
      </c>
      <c r="G11" s="57">
        <v>75</v>
      </c>
      <c r="H11" s="57">
        <f t="shared" si="0"/>
        <v>5250</v>
      </c>
      <c r="I11" s="55"/>
      <c r="L11" t="s">
        <v>272</v>
      </c>
      <c r="M11" t="s">
        <v>381</v>
      </c>
      <c r="N11" s="55" t="s">
        <v>169</v>
      </c>
      <c r="O11" s="55" t="s">
        <v>171</v>
      </c>
      <c r="P11" s="56">
        <v>70</v>
      </c>
      <c r="Q11" s="57">
        <v>150</v>
      </c>
      <c r="R11" s="57">
        <f t="shared" si="1"/>
        <v>10500</v>
      </c>
      <c r="S11" s="159"/>
      <c r="U11" t="s">
        <v>272</v>
      </c>
      <c r="V11" t="s">
        <v>390</v>
      </c>
      <c r="W11" s="55" t="s">
        <v>169</v>
      </c>
      <c r="X11" s="55" t="s">
        <v>171</v>
      </c>
      <c r="Y11" s="56">
        <v>70</v>
      </c>
      <c r="Z11" s="57">
        <v>100</v>
      </c>
      <c r="AA11" s="57">
        <f t="shared" si="2"/>
        <v>7000</v>
      </c>
      <c r="AB11" s="55" t="s">
        <v>234</v>
      </c>
    </row>
    <row r="12" spans="2:28" x14ac:dyDescent="0.35">
      <c r="B12" t="s">
        <v>271</v>
      </c>
      <c r="C12" t="s">
        <v>29</v>
      </c>
      <c r="D12" s="55" t="s">
        <v>169</v>
      </c>
      <c r="E12" s="55" t="s">
        <v>172</v>
      </c>
      <c r="F12" s="56">
        <v>1</v>
      </c>
      <c r="G12" s="57"/>
      <c r="H12" s="57">
        <f t="shared" si="0"/>
        <v>0</v>
      </c>
      <c r="I12" s="55" t="s">
        <v>173</v>
      </c>
      <c r="L12" t="s">
        <v>272</v>
      </c>
      <c r="M12" t="s">
        <v>381</v>
      </c>
      <c r="N12" s="55" t="s">
        <v>169</v>
      </c>
      <c r="O12" s="55" t="s">
        <v>172</v>
      </c>
      <c r="P12" s="56">
        <v>1</v>
      </c>
      <c r="Q12" s="57">
        <v>0</v>
      </c>
      <c r="R12" s="57">
        <f t="shared" si="1"/>
        <v>0</v>
      </c>
      <c r="S12" s="159"/>
      <c r="U12" t="s">
        <v>272</v>
      </c>
      <c r="V12" t="s">
        <v>390</v>
      </c>
      <c r="W12" s="55" t="s">
        <v>169</v>
      </c>
      <c r="X12" s="55" t="s">
        <v>172</v>
      </c>
      <c r="Y12" s="56"/>
      <c r="Z12" s="57"/>
      <c r="AA12" s="57">
        <f t="shared" si="2"/>
        <v>0</v>
      </c>
      <c r="AB12" s="55" t="s">
        <v>222</v>
      </c>
    </row>
    <row r="13" spans="2:28" x14ac:dyDescent="0.35">
      <c r="B13" t="s">
        <v>271</v>
      </c>
      <c r="C13" t="s">
        <v>29</v>
      </c>
      <c r="D13" s="55" t="s">
        <v>169</v>
      </c>
      <c r="E13" s="55" t="s">
        <v>174</v>
      </c>
      <c r="F13" s="56">
        <v>100</v>
      </c>
      <c r="G13" s="57">
        <v>120</v>
      </c>
      <c r="H13" s="57">
        <f t="shared" si="0"/>
        <v>12000</v>
      </c>
      <c r="I13" s="55"/>
      <c r="L13" t="s">
        <v>272</v>
      </c>
      <c r="M13" t="s">
        <v>381</v>
      </c>
      <c r="N13" s="55" t="s">
        <v>169</v>
      </c>
      <c r="O13" s="55" t="s">
        <v>174</v>
      </c>
      <c r="P13" s="56">
        <v>100</v>
      </c>
      <c r="Q13" s="57">
        <v>100</v>
      </c>
      <c r="R13" s="57">
        <f t="shared" si="1"/>
        <v>10000</v>
      </c>
      <c r="S13" s="159"/>
      <c r="U13" t="s">
        <v>272</v>
      </c>
      <c r="V13" t="s">
        <v>390</v>
      </c>
      <c r="W13" s="55" t="s">
        <v>169</v>
      </c>
      <c r="X13" s="55" t="s">
        <v>174</v>
      </c>
      <c r="Y13" s="56">
        <v>100</v>
      </c>
      <c r="Z13" s="57">
        <v>100</v>
      </c>
      <c r="AA13" s="57">
        <f t="shared" si="2"/>
        <v>10000</v>
      </c>
      <c r="AB13" s="55" t="s">
        <v>235</v>
      </c>
    </row>
    <row r="14" spans="2:28" x14ac:dyDescent="0.35">
      <c r="B14" t="s">
        <v>271</v>
      </c>
      <c r="C14" t="s">
        <v>29</v>
      </c>
      <c r="D14" s="55" t="s">
        <v>169</v>
      </c>
      <c r="E14" s="55" t="s">
        <v>175</v>
      </c>
      <c r="F14" s="56"/>
      <c r="G14" s="57"/>
      <c r="H14" s="57">
        <f t="shared" si="0"/>
        <v>0</v>
      </c>
      <c r="I14" s="55"/>
      <c r="L14" t="s">
        <v>272</v>
      </c>
      <c r="M14" t="s">
        <v>381</v>
      </c>
      <c r="N14" s="55" t="s">
        <v>169</v>
      </c>
      <c r="O14" s="55" t="s">
        <v>181</v>
      </c>
      <c r="P14" s="56">
        <v>10</v>
      </c>
      <c r="Q14" s="57">
        <v>1000</v>
      </c>
      <c r="R14" s="57">
        <f t="shared" si="1"/>
        <v>10000</v>
      </c>
      <c r="S14" s="159"/>
      <c r="U14" t="s">
        <v>272</v>
      </c>
      <c r="V14" t="s">
        <v>390</v>
      </c>
      <c r="W14" s="55" t="s">
        <v>169</v>
      </c>
      <c r="X14" s="55" t="s">
        <v>175</v>
      </c>
      <c r="Y14" s="56"/>
      <c r="Z14" s="57"/>
      <c r="AA14" s="57">
        <f t="shared" si="2"/>
        <v>0</v>
      </c>
      <c r="AB14" s="55"/>
    </row>
    <row r="15" spans="2:28" x14ac:dyDescent="0.35">
      <c r="B15" t="s">
        <v>271</v>
      </c>
      <c r="C15" t="s">
        <v>29</v>
      </c>
      <c r="D15" s="55" t="s">
        <v>169</v>
      </c>
      <c r="E15" s="55" t="s">
        <v>175</v>
      </c>
      <c r="F15" s="56"/>
      <c r="G15" s="57"/>
      <c r="H15" s="57">
        <f t="shared" si="0"/>
        <v>0</v>
      </c>
      <c r="I15" s="55"/>
      <c r="L15" t="s">
        <v>272</v>
      </c>
      <c r="M15" t="s">
        <v>381</v>
      </c>
      <c r="N15" s="55" t="s">
        <v>169</v>
      </c>
      <c r="O15" s="55" t="s">
        <v>322</v>
      </c>
      <c r="P15" s="56">
        <v>70</v>
      </c>
      <c r="Q15" s="57">
        <v>10</v>
      </c>
      <c r="R15" s="57">
        <f t="shared" si="1"/>
        <v>700</v>
      </c>
      <c r="S15" s="159"/>
      <c r="U15" t="s">
        <v>272</v>
      </c>
      <c r="V15" t="s">
        <v>390</v>
      </c>
      <c r="W15" s="55" t="s">
        <v>169</v>
      </c>
      <c r="X15" s="55" t="s">
        <v>175</v>
      </c>
      <c r="Y15" s="56"/>
      <c r="Z15" s="57"/>
      <c r="AA15" s="57">
        <f t="shared" si="2"/>
        <v>0</v>
      </c>
      <c r="AB15" s="55"/>
    </row>
    <row r="16" spans="2:28" x14ac:dyDescent="0.35">
      <c r="B16" t="s">
        <v>271</v>
      </c>
      <c r="C16" t="s">
        <v>29</v>
      </c>
      <c r="D16" s="55" t="s">
        <v>176</v>
      </c>
      <c r="E16" s="55" t="s">
        <v>320</v>
      </c>
      <c r="F16" s="56">
        <v>1</v>
      </c>
      <c r="G16" s="57">
        <v>75</v>
      </c>
      <c r="H16" s="57">
        <f t="shared" ref="H16:H39" si="3">F16*G16</f>
        <v>75</v>
      </c>
      <c r="I16" s="55"/>
      <c r="L16" t="s">
        <v>272</v>
      </c>
      <c r="M16" t="s">
        <v>381</v>
      </c>
      <c r="N16" s="55" t="s">
        <v>176</v>
      </c>
      <c r="O16" s="55" t="s">
        <v>320</v>
      </c>
      <c r="P16" s="56">
        <v>1</v>
      </c>
      <c r="Q16" s="57">
        <v>0</v>
      </c>
      <c r="R16" s="57">
        <f t="shared" ref="R16:R43" si="4">P16*Q16</f>
        <v>0</v>
      </c>
      <c r="S16" s="159"/>
      <c r="U16" t="s">
        <v>272</v>
      </c>
      <c r="V16" t="s">
        <v>390</v>
      </c>
      <c r="W16" s="55" t="s">
        <v>176</v>
      </c>
      <c r="X16" s="55" t="s">
        <v>320</v>
      </c>
      <c r="Y16" s="56"/>
      <c r="Z16" s="57"/>
      <c r="AA16" s="57">
        <f>Y16*Z16</f>
        <v>0</v>
      </c>
      <c r="AB16" s="55" t="s">
        <v>224</v>
      </c>
    </row>
    <row r="17" spans="2:28" x14ac:dyDescent="0.35">
      <c r="B17" t="s">
        <v>271</v>
      </c>
      <c r="C17" t="s">
        <v>29</v>
      </c>
      <c r="D17" s="55" t="s">
        <v>176</v>
      </c>
      <c r="E17" s="55" t="s">
        <v>321</v>
      </c>
      <c r="F17" s="56">
        <v>1</v>
      </c>
      <c r="G17" s="57">
        <v>100</v>
      </c>
      <c r="H17" s="57">
        <f t="shared" si="3"/>
        <v>100</v>
      </c>
      <c r="I17" s="55"/>
      <c r="L17" t="s">
        <v>272</v>
      </c>
      <c r="M17" t="s">
        <v>381</v>
      </c>
      <c r="N17" s="55" t="s">
        <v>176</v>
      </c>
      <c r="O17" s="55" t="s">
        <v>321</v>
      </c>
      <c r="P17" s="56">
        <v>1</v>
      </c>
      <c r="Q17" s="57">
        <v>0</v>
      </c>
      <c r="R17" s="57">
        <f t="shared" si="4"/>
        <v>0</v>
      </c>
      <c r="S17" s="159"/>
      <c r="U17" t="s">
        <v>272</v>
      </c>
      <c r="V17" t="s">
        <v>390</v>
      </c>
      <c r="W17" s="55" t="s">
        <v>176</v>
      </c>
      <c r="X17" s="55" t="s">
        <v>321</v>
      </c>
      <c r="Y17" s="56"/>
      <c r="Z17" s="57"/>
      <c r="AA17" s="57">
        <f>Y17*Z17</f>
        <v>0</v>
      </c>
      <c r="AB17" s="55" t="s">
        <v>224</v>
      </c>
    </row>
    <row r="18" spans="2:28" x14ac:dyDescent="0.35">
      <c r="B18" t="s">
        <v>271</v>
      </c>
      <c r="C18" t="s">
        <v>29</v>
      </c>
      <c r="D18" s="55" t="s">
        <v>176</v>
      </c>
      <c r="E18" s="55" t="s">
        <v>177</v>
      </c>
      <c r="F18" s="56">
        <v>1</v>
      </c>
      <c r="G18" s="57">
        <v>250</v>
      </c>
      <c r="H18" s="57">
        <f t="shared" si="3"/>
        <v>250</v>
      </c>
      <c r="I18" s="172" t="s">
        <v>178</v>
      </c>
      <c r="L18" t="s">
        <v>272</v>
      </c>
      <c r="M18" t="s">
        <v>381</v>
      </c>
      <c r="N18" s="55" t="s">
        <v>176</v>
      </c>
      <c r="O18" s="55" t="s">
        <v>177</v>
      </c>
      <c r="P18" s="56">
        <v>1</v>
      </c>
      <c r="Q18" s="57">
        <v>0</v>
      </c>
      <c r="R18" s="57">
        <f t="shared" si="4"/>
        <v>0</v>
      </c>
      <c r="S18" s="159"/>
      <c r="U18" t="s">
        <v>272</v>
      </c>
      <c r="V18" t="s">
        <v>390</v>
      </c>
      <c r="W18" s="55" t="s">
        <v>176</v>
      </c>
      <c r="X18" s="55" t="s">
        <v>177</v>
      </c>
      <c r="Y18" s="56"/>
      <c r="Z18" s="57"/>
      <c r="AA18" s="57">
        <f>Y18*Z18</f>
        <v>0</v>
      </c>
      <c r="AB18" s="55" t="s">
        <v>225</v>
      </c>
    </row>
    <row r="19" spans="2:28" x14ac:dyDescent="0.35">
      <c r="B19" t="s">
        <v>271</v>
      </c>
      <c r="C19" t="s">
        <v>29</v>
      </c>
      <c r="D19" s="55" t="s">
        <v>176</v>
      </c>
      <c r="E19" s="55" t="s">
        <v>179</v>
      </c>
      <c r="F19" s="55"/>
      <c r="G19" s="57">
        <v>100</v>
      </c>
      <c r="H19" s="57">
        <f t="shared" si="3"/>
        <v>0</v>
      </c>
      <c r="I19" s="172" t="s">
        <v>180</v>
      </c>
      <c r="L19" t="s">
        <v>272</v>
      </c>
      <c r="M19" t="s">
        <v>381</v>
      </c>
      <c r="N19" s="55" t="s">
        <v>176</v>
      </c>
      <c r="O19" s="55" t="s">
        <v>175</v>
      </c>
      <c r="P19" s="56"/>
      <c r="Q19" s="57"/>
      <c r="R19" s="57">
        <f t="shared" si="4"/>
        <v>0</v>
      </c>
      <c r="S19" s="159"/>
      <c r="U19" t="s">
        <v>272</v>
      </c>
      <c r="V19" t="s">
        <v>390</v>
      </c>
      <c r="W19" s="55" t="s">
        <v>176</v>
      </c>
      <c r="X19" s="55" t="s">
        <v>175</v>
      </c>
      <c r="Y19" s="56"/>
      <c r="Z19" s="57"/>
      <c r="AA19" s="57">
        <f>Y19*Z19</f>
        <v>0</v>
      </c>
      <c r="AB19" s="55"/>
    </row>
    <row r="20" spans="2:28" x14ac:dyDescent="0.35">
      <c r="B20" t="s">
        <v>271</v>
      </c>
      <c r="C20" t="s">
        <v>29</v>
      </c>
      <c r="D20" s="55" t="s">
        <v>176</v>
      </c>
      <c r="E20" s="55" t="s">
        <v>181</v>
      </c>
      <c r="F20" s="55"/>
      <c r="G20" s="57">
        <v>475</v>
      </c>
      <c r="H20" s="57">
        <f t="shared" si="3"/>
        <v>0</v>
      </c>
      <c r="I20" s="172" t="s">
        <v>180</v>
      </c>
      <c r="L20" t="s">
        <v>272</v>
      </c>
      <c r="M20" t="s">
        <v>381</v>
      </c>
      <c r="N20" s="55" t="s">
        <v>176</v>
      </c>
      <c r="O20" s="55" t="s">
        <v>175</v>
      </c>
      <c r="P20" s="56"/>
      <c r="Q20" s="57"/>
      <c r="R20" s="57">
        <f t="shared" si="4"/>
        <v>0</v>
      </c>
      <c r="S20" s="159"/>
      <c r="U20" t="s">
        <v>272</v>
      </c>
      <c r="V20" t="s">
        <v>390</v>
      </c>
      <c r="W20" s="55" t="s">
        <v>176</v>
      </c>
      <c r="X20" s="55" t="s">
        <v>175</v>
      </c>
      <c r="Y20" s="56"/>
      <c r="Z20" s="57"/>
      <c r="AA20" s="57">
        <f>Y20*Z20</f>
        <v>0</v>
      </c>
      <c r="AB20" s="55"/>
    </row>
    <row r="21" spans="2:28" x14ac:dyDescent="0.35">
      <c r="B21" t="s">
        <v>271</v>
      </c>
      <c r="C21" t="s">
        <v>29</v>
      </c>
      <c r="D21" s="55" t="s">
        <v>182</v>
      </c>
      <c r="E21" s="55" t="s">
        <v>183</v>
      </c>
      <c r="F21" s="56">
        <f>F5</f>
        <v>0</v>
      </c>
      <c r="G21" s="57">
        <v>0.85</v>
      </c>
      <c r="H21" s="57">
        <f t="shared" si="3"/>
        <v>0</v>
      </c>
      <c r="I21" s="173" t="s">
        <v>184</v>
      </c>
      <c r="L21" t="s">
        <v>272</v>
      </c>
      <c r="M21" t="s">
        <v>381</v>
      </c>
      <c r="N21" s="55" t="s">
        <v>182</v>
      </c>
      <c r="O21" s="55" t="s">
        <v>183</v>
      </c>
      <c r="P21" s="56">
        <f>P5</f>
        <v>20000</v>
      </c>
      <c r="Q21" s="57">
        <v>0.186</v>
      </c>
      <c r="R21" s="57">
        <f t="shared" si="4"/>
        <v>3720</v>
      </c>
      <c r="S21" s="159"/>
      <c r="U21" t="s">
        <v>272</v>
      </c>
      <c r="V21" t="s">
        <v>390</v>
      </c>
      <c r="W21" s="55" t="s">
        <v>182</v>
      </c>
      <c r="X21" s="55" t="s">
        <v>226</v>
      </c>
      <c r="Y21" s="56">
        <v>50000</v>
      </c>
      <c r="Z21" s="57">
        <v>0.08</v>
      </c>
      <c r="AA21" s="57">
        <v>4000</v>
      </c>
      <c r="AB21" s="172" t="s">
        <v>245</v>
      </c>
    </row>
    <row r="22" spans="2:28" x14ac:dyDescent="0.35">
      <c r="B22" t="s">
        <v>271</v>
      </c>
      <c r="C22" t="s">
        <v>29</v>
      </c>
      <c r="D22" s="55" t="s">
        <v>182</v>
      </c>
      <c r="E22" s="174" t="s">
        <v>175</v>
      </c>
      <c r="F22" s="56"/>
      <c r="G22" s="57"/>
      <c r="H22" s="57">
        <f t="shared" si="3"/>
        <v>0</v>
      </c>
      <c r="I22" s="55"/>
      <c r="L22" t="s">
        <v>272</v>
      </c>
      <c r="M22" t="s">
        <v>381</v>
      </c>
      <c r="N22" s="55" t="s">
        <v>182</v>
      </c>
      <c r="O22" s="174" t="s">
        <v>175</v>
      </c>
      <c r="P22" s="56"/>
      <c r="Q22" s="57"/>
      <c r="R22" s="57">
        <f t="shared" si="4"/>
        <v>0</v>
      </c>
      <c r="S22" s="159"/>
      <c r="U22" t="s">
        <v>272</v>
      </c>
      <c r="V22" t="s">
        <v>390</v>
      </c>
      <c r="W22" s="55" t="s">
        <v>182</v>
      </c>
      <c r="X22" s="174" t="s">
        <v>228</v>
      </c>
      <c r="Y22" s="56">
        <v>50000</v>
      </c>
      <c r="Z22" s="57"/>
      <c r="AA22" s="57">
        <v>9000</v>
      </c>
      <c r="AB22" s="55" t="s">
        <v>229</v>
      </c>
    </row>
    <row r="23" spans="2:28" x14ac:dyDescent="0.35">
      <c r="B23" t="s">
        <v>271</v>
      </c>
      <c r="C23" t="s">
        <v>29</v>
      </c>
      <c r="D23" s="55" t="s">
        <v>182</v>
      </c>
      <c r="E23" s="55" t="s">
        <v>175</v>
      </c>
      <c r="F23" s="56"/>
      <c r="G23" s="57"/>
      <c r="H23" s="57">
        <f t="shared" si="3"/>
        <v>0</v>
      </c>
      <c r="I23" s="55"/>
      <c r="L23" t="s">
        <v>272</v>
      </c>
      <c r="M23" t="s">
        <v>381</v>
      </c>
      <c r="N23" s="55" t="s">
        <v>182</v>
      </c>
      <c r="O23" s="55" t="s">
        <v>175</v>
      </c>
      <c r="P23" s="56"/>
      <c r="Q23" s="57"/>
      <c r="R23" s="57">
        <f t="shared" si="4"/>
        <v>0</v>
      </c>
      <c r="S23" s="159"/>
      <c r="U23" t="s">
        <v>272</v>
      </c>
      <c r="V23" t="s">
        <v>390</v>
      </c>
      <c r="W23" s="55" t="s">
        <v>182</v>
      </c>
      <c r="X23" s="55" t="s">
        <v>175</v>
      </c>
      <c r="Y23" s="56"/>
      <c r="Z23" s="57"/>
      <c r="AA23" s="57">
        <f t="shared" ref="AA23:AA39" si="5">Y23*Z23</f>
        <v>0</v>
      </c>
      <c r="AB23" s="55"/>
    </row>
    <row r="24" spans="2:28" x14ac:dyDescent="0.35">
      <c r="B24" t="s">
        <v>271</v>
      </c>
      <c r="C24" t="s">
        <v>29</v>
      </c>
      <c r="D24" s="55" t="s">
        <v>182</v>
      </c>
      <c r="E24" s="55" t="s">
        <v>175</v>
      </c>
      <c r="F24" s="56"/>
      <c r="G24" s="57"/>
      <c r="H24" s="57">
        <f t="shared" si="3"/>
        <v>0</v>
      </c>
      <c r="I24" s="55"/>
      <c r="L24" t="s">
        <v>272</v>
      </c>
      <c r="M24" t="s">
        <v>381</v>
      </c>
      <c r="N24" s="55" t="s">
        <v>182</v>
      </c>
      <c r="O24" s="55" t="s">
        <v>175</v>
      </c>
      <c r="P24" s="56"/>
      <c r="Q24" s="57"/>
      <c r="R24" s="57">
        <f t="shared" si="4"/>
        <v>0</v>
      </c>
      <c r="S24" s="159"/>
      <c r="U24" t="s">
        <v>272</v>
      </c>
      <c r="V24" t="s">
        <v>390</v>
      </c>
      <c r="W24" s="55" t="s">
        <v>182</v>
      </c>
      <c r="X24" s="55" t="s">
        <v>175</v>
      </c>
      <c r="Y24" s="56"/>
      <c r="Z24" s="57"/>
      <c r="AA24" s="57">
        <f t="shared" si="5"/>
        <v>0</v>
      </c>
      <c r="AB24" s="55"/>
    </row>
    <row r="25" spans="2:28" x14ac:dyDescent="0.35">
      <c r="B25" t="s">
        <v>271</v>
      </c>
      <c r="C25" t="s">
        <v>29</v>
      </c>
      <c r="D25" s="55" t="s">
        <v>185</v>
      </c>
      <c r="E25" s="55" t="s">
        <v>186</v>
      </c>
      <c r="F25" s="56">
        <v>1</v>
      </c>
      <c r="G25" s="57">
        <v>350</v>
      </c>
      <c r="H25" s="57">
        <f t="shared" si="3"/>
        <v>350</v>
      </c>
      <c r="I25" s="172" t="s">
        <v>187</v>
      </c>
      <c r="L25" t="s">
        <v>272</v>
      </c>
      <c r="M25" t="s">
        <v>381</v>
      </c>
      <c r="N25" s="55" t="s">
        <v>185</v>
      </c>
      <c r="O25" s="55" t="s">
        <v>186</v>
      </c>
      <c r="P25" s="56">
        <v>1</v>
      </c>
      <c r="Q25" s="57">
        <v>1500</v>
      </c>
      <c r="R25" s="57">
        <f t="shared" si="4"/>
        <v>1500</v>
      </c>
      <c r="S25" s="159"/>
      <c r="U25" t="s">
        <v>272</v>
      </c>
      <c r="V25" t="s">
        <v>390</v>
      </c>
      <c r="W25" s="55" t="s">
        <v>185</v>
      </c>
      <c r="X25" s="55" t="s">
        <v>186</v>
      </c>
      <c r="Y25" s="56">
        <v>1</v>
      </c>
      <c r="Z25" s="57"/>
      <c r="AA25" s="57">
        <f t="shared" si="5"/>
        <v>0</v>
      </c>
      <c r="AB25" s="55"/>
    </row>
    <row r="26" spans="2:28" x14ac:dyDescent="0.35">
      <c r="B26" t="s">
        <v>271</v>
      </c>
      <c r="C26" t="s">
        <v>29</v>
      </c>
      <c r="D26" s="55" t="s">
        <v>185</v>
      </c>
      <c r="E26" s="55" t="s">
        <v>188</v>
      </c>
      <c r="F26" s="56">
        <v>1</v>
      </c>
      <c r="G26" s="57">
        <v>0.87</v>
      </c>
      <c r="H26" s="57">
        <f t="shared" si="3"/>
        <v>0.87</v>
      </c>
      <c r="I26" s="173" t="s">
        <v>189</v>
      </c>
      <c r="L26" t="s">
        <v>272</v>
      </c>
      <c r="M26" t="s">
        <v>381</v>
      </c>
      <c r="N26" s="55" t="s">
        <v>185</v>
      </c>
      <c r="O26" s="55" t="s">
        <v>188</v>
      </c>
      <c r="P26" s="56">
        <v>1</v>
      </c>
      <c r="Q26" s="57">
        <v>0</v>
      </c>
      <c r="R26" s="57">
        <f t="shared" si="4"/>
        <v>0</v>
      </c>
      <c r="S26" s="176" t="s">
        <v>211</v>
      </c>
      <c r="U26" t="s">
        <v>272</v>
      </c>
      <c r="V26" t="s">
        <v>390</v>
      </c>
      <c r="W26" s="55" t="s">
        <v>185</v>
      </c>
      <c r="X26" s="55" t="s">
        <v>188</v>
      </c>
      <c r="Y26" s="56">
        <v>1</v>
      </c>
      <c r="Z26" s="57"/>
      <c r="AA26" s="57">
        <f t="shared" si="5"/>
        <v>0</v>
      </c>
      <c r="AB26" s="174" t="s">
        <v>211</v>
      </c>
    </row>
    <row r="27" spans="2:28" x14ac:dyDescent="0.35">
      <c r="B27" t="s">
        <v>271</v>
      </c>
      <c r="C27" t="s">
        <v>29</v>
      </c>
      <c r="D27" s="55" t="s">
        <v>190</v>
      </c>
      <c r="E27" s="55" t="s">
        <v>191</v>
      </c>
      <c r="F27" s="56">
        <v>70</v>
      </c>
      <c r="G27" s="57">
        <v>330</v>
      </c>
      <c r="H27" s="57">
        <f t="shared" si="3"/>
        <v>23100</v>
      </c>
      <c r="I27" s="174" t="s">
        <v>239</v>
      </c>
      <c r="L27" t="s">
        <v>272</v>
      </c>
      <c r="M27" t="s">
        <v>381</v>
      </c>
      <c r="N27" s="55" t="s">
        <v>190</v>
      </c>
      <c r="O27" s="55" t="s">
        <v>191</v>
      </c>
      <c r="P27" s="56">
        <v>70</v>
      </c>
      <c r="Q27" s="57">
        <v>500</v>
      </c>
      <c r="R27" s="57">
        <f t="shared" si="4"/>
        <v>35000</v>
      </c>
      <c r="S27" s="176" t="s">
        <v>230</v>
      </c>
      <c r="U27" t="s">
        <v>272</v>
      </c>
      <c r="V27" t="s">
        <v>390</v>
      </c>
      <c r="W27" s="55" t="s">
        <v>190</v>
      </c>
      <c r="X27" s="55" t="s">
        <v>191</v>
      </c>
      <c r="Y27" s="56">
        <v>70</v>
      </c>
      <c r="Z27" s="57">
        <v>300</v>
      </c>
      <c r="AA27" s="57">
        <f t="shared" si="5"/>
        <v>21000</v>
      </c>
      <c r="AB27" s="174" t="s">
        <v>230</v>
      </c>
    </row>
    <row r="28" spans="2:28" x14ac:dyDescent="0.35">
      <c r="B28" t="s">
        <v>271</v>
      </c>
      <c r="C28" t="s">
        <v>29</v>
      </c>
      <c r="D28" s="55" t="s">
        <v>190</v>
      </c>
      <c r="E28" s="55" t="s">
        <v>193</v>
      </c>
      <c r="F28" s="56">
        <v>3</v>
      </c>
      <c r="G28" s="57">
        <v>375</v>
      </c>
      <c r="H28" s="57">
        <f t="shared" si="3"/>
        <v>1125</v>
      </c>
      <c r="I28" s="172" t="s">
        <v>194</v>
      </c>
      <c r="L28" t="s">
        <v>272</v>
      </c>
      <c r="M28" t="s">
        <v>381</v>
      </c>
      <c r="N28" s="55" t="s">
        <v>190</v>
      </c>
      <c r="O28" s="55" t="s">
        <v>193</v>
      </c>
      <c r="P28" s="56">
        <v>3</v>
      </c>
      <c r="Q28" s="57">
        <v>1250</v>
      </c>
      <c r="R28" s="57">
        <f t="shared" si="4"/>
        <v>3750</v>
      </c>
      <c r="S28" s="159" t="s">
        <v>213</v>
      </c>
      <c r="U28" t="s">
        <v>272</v>
      </c>
      <c r="V28" t="s">
        <v>390</v>
      </c>
      <c r="W28" s="55" t="s">
        <v>190</v>
      </c>
      <c r="X28" s="55" t="s">
        <v>193</v>
      </c>
      <c r="Y28" s="56">
        <v>3</v>
      </c>
      <c r="Z28" s="57">
        <v>1250</v>
      </c>
      <c r="AA28" s="57">
        <f t="shared" si="5"/>
        <v>3750</v>
      </c>
      <c r="AB28" s="172" t="s">
        <v>231</v>
      </c>
    </row>
    <row r="29" spans="2:28" ht="14" customHeight="1" x14ac:dyDescent="0.35">
      <c r="B29" t="s">
        <v>271</v>
      </c>
      <c r="C29" t="s">
        <v>30</v>
      </c>
      <c r="D29" s="55" t="s">
        <v>190</v>
      </c>
      <c r="E29" s="55" t="s">
        <v>193</v>
      </c>
      <c r="F29" s="56">
        <v>3</v>
      </c>
      <c r="G29" s="57">
        <v>1400</v>
      </c>
      <c r="H29" s="57">
        <f t="shared" si="3"/>
        <v>4200</v>
      </c>
      <c r="I29" s="55"/>
      <c r="L29" t="s">
        <v>272</v>
      </c>
      <c r="M29" t="s">
        <v>381</v>
      </c>
      <c r="N29" s="55" t="s">
        <v>190</v>
      </c>
      <c r="O29" s="55" t="s">
        <v>193</v>
      </c>
      <c r="P29" s="56">
        <v>0</v>
      </c>
      <c r="Q29" s="57">
        <v>1400</v>
      </c>
      <c r="R29" s="57">
        <f>P29*Q29</f>
        <v>0</v>
      </c>
      <c r="S29" s="159"/>
      <c r="U29" t="s">
        <v>272</v>
      </c>
      <c r="V29" t="s">
        <v>390</v>
      </c>
      <c r="W29" s="55" t="s">
        <v>190</v>
      </c>
      <c r="X29" s="55" t="s">
        <v>193</v>
      </c>
      <c r="Y29" s="56">
        <v>3</v>
      </c>
      <c r="Z29" s="57">
        <v>1400</v>
      </c>
      <c r="AA29" s="57">
        <f t="shared" si="5"/>
        <v>4200</v>
      </c>
      <c r="AB29" s="55"/>
    </row>
    <row r="30" spans="2:28" x14ac:dyDescent="0.35">
      <c r="B30" t="s">
        <v>271</v>
      </c>
      <c r="C30" t="s">
        <v>29</v>
      </c>
      <c r="D30" s="55" t="s">
        <v>190</v>
      </c>
      <c r="E30" s="55" t="s">
        <v>216</v>
      </c>
      <c r="F30">
        <v>3</v>
      </c>
      <c r="G30" s="175">
        <v>1463</v>
      </c>
      <c r="H30" s="57">
        <f t="shared" si="3"/>
        <v>4389</v>
      </c>
      <c r="I30" s="55"/>
      <c r="L30" t="s">
        <v>272</v>
      </c>
      <c r="M30" t="s">
        <v>381</v>
      </c>
      <c r="N30" s="55" t="s">
        <v>190</v>
      </c>
      <c r="O30" s="55" t="s">
        <v>214</v>
      </c>
      <c r="P30" s="56">
        <v>3</v>
      </c>
      <c r="Q30" s="57">
        <v>465</v>
      </c>
      <c r="R30" s="57">
        <f t="shared" si="4"/>
        <v>1395</v>
      </c>
      <c r="S30" s="159"/>
      <c r="U30" t="s">
        <v>272</v>
      </c>
      <c r="V30" t="s">
        <v>390</v>
      </c>
      <c r="W30" s="55" t="s">
        <v>190</v>
      </c>
      <c r="X30" s="55" t="s">
        <v>216</v>
      </c>
      <c r="Y30">
        <v>3</v>
      </c>
      <c r="Z30" s="175">
        <v>1463</v>
      </c>
      <c r="AA30" s="57">
        <f t="shared" si="5"/>
        <v>4389</v>
      </c>
      <c r="AB30" s="55"/>
    </row>
    <row r="31" spans="2:28" x14ac:dyDescent="0.35">
      <c r="B31" t="s">
        <v>271</v>
      </c>
      <c r="C31" t="s">
        <v>29</v>
      </c>
      <c r="D31" s="55" t="s">
        <v>195</v>
      </c>
      <c r="E31" s="55" t="s">
        <v>196</v>
      </c>
      <c r="F31" s="56">
        <v>1</v>
      </c>
      <c r="G31" s="57">
        <v>3000</v>
      </c>
      <c r="H31" s="57">
        <f t="shared" si="3"/>
        <v>3000</v>
      </c>
      <c r="I31" s="173" t="s">
        <v>184</v>
      </c>
      <c r="L31" t="s">
        <v>272</v>
      </c>
      <c r="M31" t="s">
        <v>381</v>
      </c>
      <c r="N31" s="55" t="s">
        <v>190</v>
      </c>
      <c r="O31" s="55" t="s">
        <v>215</v>
      </c>
      <c r="P31" s="56">
        <v>3</v>
      </c>
      <c r="Q31" s="57">
        <v>235</v>
      </c>
      <c r="R31" s="57">
        <f t="shared" si="4"/>
        <v>705</v>
      </c>
      <c r="S31" s="159"/>
      <c r="U31" t="s">
        <v>272</v>
      </c>
      <c r="V31" t="s">
        <v>390</v>
      </c>
      <c r="W31" s="55" t="s">
        <v>195</v>
      </c>
      <c r="X31" s="55" t="s">
        <v>196</v>
      </c>
      <c r="Y31" s="56">
        <v>1</v>
      </c>
      <c r="Z31" s="57">
        <v>3000</v>
      </c>
      <c r="AA31" s="57">
        <f t="shared" si="5"/>
        <v>3000</v>
      </c>
      <c r="AB31" s="55"/>
    </row>
    <row r="32" spans="2:28" x14ac:dyDescent="0.35">
      <c r="B32" t="s">
        <v>271</v>
      </c>
      <c r="C32" t="s">
        <v>29</v>
      </c>
      <c r="D32" s="55" t="s">
        <v>195</v>
      </c>
      <c r="E32" s="55" t="s">
        <v>197</v>
      </c>
      <c r="F32" s="56">
        <v>1</v>
      </c>
      <c r="G32" s="57"/>
      <c r="H32" s="57">
        <f t="shared" si="3"/>
        <v>0</v>
      </c>
      <c r="I32" s="55" t="s">
        <v>198</v>
      </c>
      <c r="L32" t="s">
        <v>272</v>
      </c>
      <c r="M32" t="s">
        <v>381</v>
      </c>
      <c r="N32" s="55" t="s">
        <v>190</v>
      </c>
      <c r="O32" s="55" t="s">
        <v>216</v>
      </c>
      <c r="P32">
        <v>3</v>
      </c>
      <c r="Q32" s="175">
        <v>1463</v>
      </c>
      <c r="R32" s="57">
        <f t="shared" si="4"/>
        <v>4389</v>
      </c>
      <c r="S32" s="159" t="s">
        <v>217</v>
      </c>
      <c r="U32" t="s">
        <v>272</v>
      </c>
      <c r="V32" t="s">
        <v>390</v>
      </c>
      <c r="W32" s="55" t="s">
        <v>195</v>
      </c>
      <c r="X32" s="55" t="s">
        <v>197</v>
      </c>
      <c r="Y32" s="56">
        <v>1</v>
      </c>
      <c r="Z32" s="57">
        <v>3000</v>
      </c>
      <c r="AA32" s="57">
        <f t="shared" si="5"/>
        <v>3000</v>
      </c>
      <c r="AB32" s="55"/>
    </row>
    <row r="33" spans="2:28" x14ac:dyDescent="0.35">
      <c r="B33" t="s">
        <v>271</v>
      </c>
      <c r="C33" t="s">
        <v>29</v>
      </c>
      <c r="D33" s="55" t="s">
        <v>195</v>
      </c>
      <c r="E33" s="55" t="s">
        <v>199</v>
      </c>
      <c r="F33" s="55">
        <v>1</v>
      </c>
      <c r="G33" s="57">
        <v>3000</v>
      </c>
      <c r="H33" s="57">
        <f t="shared" si="3"/>
        <v>3000</v>
      </c>
      <c r="I33" s="173" t="s">
        <v>184</v>
      </c>
      <c r="L33" t="s">
        <v>272</v>
      </c>
      <c r="M33" t="s">
        <v>381</v>
      </c>
      <c r="N33" s="55" t="s">
        <v>195</v>
      </c>
      <c r="O33" s="55" t="s">
        <v>196</v>
      </c>
      <c r="P33" s="56">
        <v>61</v>
      </c>
      <c r="Q33" s="57">
        <v>140</v>
      </c>
      <c r="R33" s="57">
        <f t="shared" si="4"/>
        <v>8540</v>
      </c>
      <c r="S33" s="159"/>
      <c r="U33" t="s">
        <v>272</v>
      </c>
      <c r="V33" t="s">
        <v>390</v>
      </c>
      <c r="W33" s="55" t="s">
        <v>195</v>
      </c>
      <c r="X33" s="55" t="s">
        <v>246</v>
      </c>
      <c r="Y33" s="56">
        <v>1</v>
      </c>
      <c r="Z33" s="57">
        <v>7500</v>
      </c>
      <c r="AA33" s="57">
        <f t="shared" si="5"/>
        <v>7500</v>
      </c>
      <c r="AB33" s="55"/>
    </row>
    <row r="34" spans="2:28" x14ac:dyDescent="0.35">
      <c r="B34" t="s">
        <v>271</v>
      </c>
      <c r="C34" t="s">
        <v>29</v>
      </c>
      <c r="D34" s="55" t="s">
        <v>195</v>
      </c>
      <c r="E34" s="55" t="s">
        <v>246</v>
      </c>
      <c r="F34" s="56">
        <v>12</v>
      </c>
      <c r="G34" s="57">
        <v>250</v>
      </c>
      <c r="H34" s="57">
        <f t="shared" si="3"/>
        <v>3000</v>
      </c>
      <c r="I34" s="55"/>
      <c r="L34" t="s">
        <v>272</v>
      </c>
      <c r="M34" t="s">
        <v>381</v>
      </c>
      <c r="N34" s="55" t="s">
        <v>195</v>
      </c>
      <c r="O34" s="55" t="s">
        <v>197</v>
      </c>
      <c r="P34" s="56">
        <v>0</v>
      </c>
      <c r="Q34" s="57">
        <v>0</v>
      </c>
      <c r="R34" s="57">
        <f t="shared" si="4"/>
        <v>0</v>
      </c>
      <c r="S34" s="159"/>
      <c r="U34" t="s">
        <v>272</v>
      </c>
      <c r="V34" t="s">
        <v>390</v>
      </c>
      <c r="W34" s="55" t="s">
        <v>195</v>
      </c>
      <c r="X34" s="55" t="s">
        <v>363</v>
      </c>
      <c r="Y34" s="56">
        <v>0</v>
      </c>
      <c r="Z34" s="57">
        <v>10000</v>
      </c>
      <c r="AA34" s="57">
        <f t="shared" si="5"/>
        <v>0</v>
      </c>
      <c r="AB34" s="55"/>
    </row>
    <row r="35" spans="2:28" x14ac:dyDescent="0.35">
      <c r="B35" t="s">
        <v>271</v>
      </c>
      <c r="C35" t="s">
        <v>29</v>
      </c>
      <c r="D35" s="55" t="s">
        <v>201</v>
      </c>
      <c r="E35" s="55" t="s">
        <v>202</v>
      </c>
      <c r="F35" s="56">
        <v>1</v>
      </c>
      <c r="G35" s="57">
        <v>5648</v>
      </c>
      <c r="H35" s="57">
        <f t="shared" si="3"/>
        <v>5648</v>
      </c>
      <c r="I35" s="55" t="s">
        <v>203</v>
      </c>
      <c r="L35" t="s">
        <v>272</v>
      </c>
      <c r="M35" t="s">
        <v>381</v>
      </c>
      <c r="N35" s="55" t="s">
        <v>195</v>
      </c>
      <c r="O35" s="55" t="s">
        <v>199</v>
      </c>
      <c r="P35" s="56">
        <v>565</v>
      </c>
      <c r="Q35" s="57">
        <v>50</v>
      </c>
      <c r="R35" s="57">
        <f t="shared" si="4"/>
        <v>28250</v>
      </c>
      <c r="S35" s="159"/>
      <c r="U35" t="s">
        <v>272</v>
      </c>
      <c r="V35" t="s">
        <v>390</v>
      </c>
      <c r="W35" s="55" t="s">
        <v>201</v>
      </c>
      <c r="X35" s="55" t="s">
        <v>202</v>
      </c>
      <c r="Y35" s="56">
        <v>1</v>
      </c>
      <c r="Z35" s="57">
        <v>2824</v>
      </c>
      <c r="AA35" s="57">
        <f t="shared" si="5"/>
        <v>2824</v>
      </c>
      <c r="AB35" s="55" t="s">
        <v>331</v>
      </c>
    </row>
    <row r="36" spans="2:28" x14ac:dyDescent="0.35">
      <c r="B36" t="s">
        <v>271</v>
      </c>
      <c r="C36" t="s">
        <v>29</v>
      </c>
      <c r="D36" s="55" t="s">
        <v>204</v>
      </c>
      <c r="E36" s="55" t="s">
        <v>205</v>
      </c>
      <c r="F36" s="56">
        <v>1</v>
      </c>
      <c r="G36" s="57">
        <v>3000</v>
      </c>
      <c r="H36" s="57">
        <f t="shared" si="3"/>
        <v>3000</v>
      </c>
      <c r="I36" s="173" t="s">
        <v>184</v>
      </c>
      <c r="L36" t="s">
        <v>272</v>
      </c>
      <c r="M36" t="s">
        <v>381</v>
      </c>
      <c r="N36" s="55" t="s">
        <v>195</v>
      </c>
      <c r="O36" s="55" t="s">
        <v>241</v>
      </c>
      <c r="P36" s="56"/>
      <c r="Q36" s="57"/>
      <c r="R36" s="57">
        <f t="shared" si="4"/>
        <v>0</v>
      </c>
      <c r="S36" s="159" t="s">
        <v>242</v>
      </c>
      <c r="U36" t="s">
        <v>272</v>
      </c>
      <c r="V36" t="s">
        <v>390</v>
      </c>
      <c r="W36" s="55" t="s">
        <v>204</v>
      </c>
      <c r="X36" s="55" t="s">
        <v>205</v>
      </c>
      <c r="Y36" s="56">
        <v>20000</v>
      </c>
      <c r="Z36" s="57">
        <v>1.25</v>
      </c>
      <c r="AA36" s="57">
        <f t="shared" si="5"/>
        <v>25000</v>
      </c>
      <c r="AB36" s="55"/>
    </row>
    <row r="37" spans="2:28" x14ac:dyDescent="0.35">
      <c r="B37" t="s">
        <v>271</v>
      </c>
      <c r="C37" t="s">
        <v>29</v>
      </c>
      <c r="D37" s="55" t="s">
        <v>204</v>
      </c>
      <c r="E37" s="55" t="s">
        <v>206</v>
      </c>
      <c r="F37" s="56">
        <v>1</v>
      </c>
      <c r="G37" s="57"/>
      <c r="H37" s="57">
        <f t="shared" si="3"/>
        <v>0</v>
      </c>
      <c r="I37" s="55" t="s">
        <v>198</v>
      </c>
      <c r="L37" t="s">
        <v>272</v>
      </c>
      <c r="M37" t="s">
        <v>381</v>
      </c>
      <c r="N37" s="55" t="s">
        <v>195</v>
      </c>
      <c r="O37" s="55" t="s">
        <v>246</v>
      </c>
      <c r="P37" s="56">
        <v>15</v>
      </c>
      <c r="Q37" s="57">
        <v>140</v>
      </c>
      <c r="R37" s="57">
        <f t="shared" si="4"/>
        <v>2100</v>
      </c>
      <c r="S37" s="159"/>
      <c r="U37" t="s">
        <v>272</v>
      </c>
      <c r="V37" t="s">
        <v>390</v>
      </c>
      <c r="W37" s="55" t="s">
        <v>204</v>
      </c>
      <c r="X37" s="55" t="s">
        <v>206</v>
      </c>
      <c r="Y37" s="56">
        <v>1</v>
      </c>
      <c r="Z37" s="57">
        <v>2000</v>
      </c>
      <c r="AA37" s="57">
        <f t="shared" si="5"/>
        <v>2000</v>
      </c>
      <c r="AB37" s="55"/>
    </row>
    <row r="38" spans="2:28" x14ac:dyDescent="0.35">
      <c r="B38" t="s">
        <v>271</v>
      </c>
      <c r="C38" t="s">
        <v>29</v>
      </c>
      <c r="D38" s="55" t="s">
        <v>204</v>
      </c>
      <c r="E38" s="55" t="s">
        <v>175</v>
      </c>
      <c r="F38" s="56"/>
      <c r="G38" s="57"/>
      <c r="H38" s="57">
        <f t="shared" si="3"/>
        <v>0</v>
      </c>
      <c r="I38" s="55"/>
      <c r="L38" t="s">
        <v>272</v>
      </c>
      <c r="M38" t="s">
        <v>381</v>
      </c>
      <c r="N38" s="55" t="s">
        <v>195</v>
      </c>
      <c r="O38" s="55" t="s">
        <v>362</v>
      </c>
      <c r="P38" s="56">
        <v>160</v>
      </c>
      <c r="Q38" s="57">
        <v>140</v>
      </c>
      <c r="R38" s="57">
        <f t="shared" si="4"/>
        <v>22400</v>
      </c>
      <c r="S38" s="159"/>
      <c r="U38" t="s">
        <v>272</v>
      </c>
      <c r="V38" t="s">
        <v>390</v>
      </c>
      <c r="W38" s="55" t="s">
        <v>204</v>
      </c>
      <c r="X38" s="55" t="s">
        <v>175</v>
      </c>
      <c r="Y38" s="56"/>
      <c r="Z38" s="57"/>
      <c r="AA38" s="57">
        <f t="shared" si="5"/>
        <v>0</v>
      </c>
      <c r="AB38" s="55"/>
    </row>
    <row r="39" spans="2:28" x14ac:dyDescent="0.35">
      <c r="B39" t="s">
        <v>271</v>
      </c>
      <c r="C39" t="s">
        <v>29</v>
      </c>
      <c r="D39" s="55" t="s">
        <v>204</v>
      </c>
      <c r="E39" s="55" t="s">
        <v>175</v>
      </c>
      <c r="F39" s="56"/>
      <c r="G39" s="57"/>
      <c r="H39" s="57">
        <f t="shared" si="3"/>
        <v>0</v>
      </c>
      <c r="I39" s="55"/>
      <c r="L39" t="s">
        <v>272</v>
      </c>
      <c r="M39" t="s">
        <v>381</v>
      </c>
      <c r="N39" s="55" t="s">
        <v>201</v>
      </c>
      <c r="O39" s="55" t="s">
        <v>202</v>
      </c>
      <c r="P39" s="56">
        <v>1</v>
      </c>
      <c r="Q39" s="57">
        <v>4000</v>
      </c>
      <c r="R39" s="57">
        <f t="shared" si="4"/>
        <v>4000</v>
      </c>
      <c r="S39" s="159" t="s">
        <v>218</v>
      </c>
      <c r="U39" t="s">
        <v>272</v>
      </c>
      <c r="V39" t="s">
        <v>390</v>
      </c>
      <c r="W39" s="55" t="s">
        <v>204</v>
      </c>
      <c r="X39" s="55" t="s">
        <v>175</v>
      </c>
      <c r="Y39" s="56"/>
      <c r="Z39" s="57"/>
      <c r="AA39" s="57">
        <f t="shared" si="5"/>
        <v>0</v>
      </c>
      <c r="AB39" s="55"/>
    </row>
    <row r="40" spans="2:28" x14ac:dyDescent="0.35">
      <c r="B40" t="s">
        <v>28</v>
      </c>
      <c r="D40" s="110"/>
      <c r="E40" s="110"/>
      <c r="H40" s="103">
        <f>SUBTOTAL(109,Aventri_2022IC[Total Cost])</f>
        <v>179837.87</v>
      </c>
      <c r="I40" s="110"/>
      <c r="L40" t="s">
        <v>272</v>
      </c>
      <c r="M40" t="s">
        <v>381</v>
      </c>
      <c r="N40" s="55" t="s">
        <v>204</v>
      </c>
      <c r="O40" s="55" t="s">
        <v>205</v>
      </c>
      <c r="P40" s="56">
        <v>450</v>
      </c>
      <c r="Q40" s="57">
        <v>75</v>
      </c>
      <c r="R40" s="57">
        <f t="shared" si="4"/>
        <v>33750</v>
      </c>
      <c r="S40" s="159"/>
      <c r="U40" t="s">
        <v>28</v>
      </c>
      <c r="W40" s="110"/>
      <c r="X40" s="110"/>
      <c r="Z40" s="110"/>
      <c r="AA40" s="112">
        <f>SUBTOTAL(109,MCI_2023IC[Total Cost])</f>
        <v>186913</v>
      </c>
      <c r="AB40" s="110"/>
    </row>
    <row r="41" spans="2:28" x14ac:dyDescent="0.35">
      <c r="L41" t="s">
        <v>272</v>
      </c>
      <c r="M41" t="s">
        <v>381</v>
      </c>
      <c r="N41" s="55" t="s">
        <v>204</v>
      </c>
      <c r="O41" s="55" t="s">
        <v>206</v>
      </c>
      <c r="P41" s="56">
        <v>1</v>
      </c>
      <c r="Q41" s="57">
        <v>800</v>
      </c>
      <c r="R41" s="57">
        <f t="shared" si="4"/>
        <v>800</v>
      </c>
      <c r="S41" s="159"/>
    </row>
    <row r="42" spans="2:28" x14ac:dyDescent="0.35">
      <c r="L42" t="s">
        <v>272</v>
      </c>
      <c r="M42" t="s">
        <v>381</v>
      </c>
      <c r="N42" s="55" t="s">
        <v>204</v>
      </c>
      <c r="O42" s="55" t="s">
        <v>175</v>
      </c>
      <c r="P42" s="56"/>
      <c r="Q42" s="57">
        <v>0</v>
      </c>
      <c r="R42" s="57">
        <f t="shared" si="4"/>
        <v>0</v>
      </c>
      <c r="S42" s="159"/>
    </row>
    <row r="43" spans="2:28" x14ac:dyDescent="0.35">
      <c r="L43" t="s">
        <v>272</v>
      </c>
      <c r="M43" t="s">
        <v>381</v>
      </c>
      <c r="N43" s="55" t="s">
        <v>204</v>
      </c>
      <c r="O43" s="55" t="s">
        <v>175</v>
      </c>
      <c r="P43" s="56"/>
      <c r="Q43" s="57"/>
      <c r="R43" s="57">
        <f t="shared" si="4"/>
        <v>0</v>
      </c>
      <c r="S43" s="159"/>
    </row>
    <row r="44" spans="2:28" x14ac:dyDescent="0.35">
      <c r="L44" t="s">
        <v>28</v>
      </c>
      <c r="N44" s="110"/>
      <c r="O44" s="110"/>
      <c r="Q44" s="110"/>
      <c r="R44" s="112">
        <f>SUBTOTAL(109,CompuSystems_2023IC[Total Cost])</f>
        <v>186749</v>
      </c>
      <c r="S44" s="111"/>
    </row>
    <row r="51" spans="7:8" x14ac:dyDescent="0.35">
      <c r="G51" s="103"/>
      <c r="H51" s="103"/>
    </row>
  </sheetData>
  <mergeCells count="6">
    <mergeCell ref="B3:I3"/>
    <mergeCell ref="B2:I2"/>
    <mergeCell ref="L3:S3"/>
    <mergeCell ref="L2:S2"/>
    <mergeCell ref="U3:AB3"/>
    <mergeCell ref="U2:AB2"/>
  </mergeCells>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13</vt:i4>
      </vt:variant>
    </vt:vector>
  </HeadingPairs>
  <TitlesOfParts>
    <vt:vector size="13" baseType="lpstr">
      <vt:lpstr>Company Comparison</vt:lpstr>
      <vt:lpstr>Master Summary Comparison</vt:lpstr>
      <vt:lpstr>Fiscal Year Breakdown</vt:lpstr>
      <vt:lpstr>Line Item Comparison Seperate</vt:lpstr>
      <vt:lpstr>Category Comparison Pivot</vt:lpstr>
      <vt:lpstr>Line Item All</vt:lpstr>
      <vt:lpstr>Category Comparison Seperate</vt:lpstr>
      <vt:lpstr>Category Comparison All</vt:lpstr>
      <vt:lpstr>2023 IC</vt:lpstr>
      <vt:lpstr>2024 IC</vt:lpstr>
      <vt:lpstr>2025 IC</vt:lpstr>
      <vt:lpstr>2023-25 IA</vt:lpstr>
      <vt:lpstr>2025 COL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Janice Janssen</dc:creator>
  <cp:lastModifiedBy>Matt Browning</cp:lastModifiedBy>
  <cp:lastPrinted>2017-12-01T20:07:35Z</cp:lastPrinted>
  <dcterms:created xsi:type="dcterms:W3CDTF">2017-11-03T17:05:01Z</dcterms:created>
  <dcterms:modified xsi:type="dcterms:W3CDTF">2023-06-18T13:58:48Z</dcterms:modified>
</cp:coreProperties>
</file>