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firstSheet="1" activeTab="10"/>
  </bookViews>
  <sheets>
    <sheet name="자산정보" sheetId="2" r:id="rId1"/>
    <sheet name="불리오달러" sheetId="1" r:id="rId2"/>
    <sheet name="한투달러" sheetId="4" r:id="rId3"/>
    <sheet name="한투엔화" sheetId="10" r:id="rId4"/>
    <sheet name="외화자산평가" sheetId="6" r:id="rId5"/>
    <sheet name="나무원화" sheetId="7" r:id="rId6"/>
    <sheet name="한투원화" sheetId="11" r:id="rId7"/>
    <sheet name="한투CMA" sheetId="5" r:id="rId8"/>
    <sheet name="한투ISA" sheetId="12" r:id="rId9"/>
    <sheet name="별도원화" sheetId="3" r:id="rId10"/>
    <sheet name="현금흐름" sheetId="9" r:id="rId11"/>
    <sheet name="급여및지출" sheetId="13" r:id="rId12"/>
    <sheet name="각종정보" sheetId="8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9" l="1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103" i="9"/>
  <c r="D7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C3" i="10"/>
  <c r="S16" i="11"/>
  <c r="S17" i="11"/>
  <c r="S18" i="11"/>
  <c r="S19" i="11"/>
  <c r="S20" i="11"/>
  <c r="S21" i="11"/>
  <c r="S22" i="11"/>
  <c r="S23" i="11"/>
  <c r="S24" i="11"/>
  <c r="G24" i="11"/>
  <c r="F24" i="11"/>
  <c r="C24" i="11"/>
  <c r="D24" i="11"/>
  <c r="H24" i="11"/>
  <c r="P24" i="11" s="1"/>
  <c r="N24" i="11"/>
  <c r="O24" i="11"/>
  <c r="R24" i="11"/>
  <c r="C23" i="11"/>
  <c r="D23" i="11"/>
  <c r="H23" i="11"/>
  <c r="N23" i="11"/>
  <c r="O23" i="11"/>
  <c r="R23" i="11"/>
  <c r="P23" i="11" l="1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Q2" i="11"/>
  <c r="R2" i="11"/>
  <c r="Q3" i="11"/>
  <c r="R3" i="11"/>
  <c r="Q4" i="11"/>
  <c r="R4" i="11"/>
  <c r="S5" i="11" s="1"/>
  <c r="R5" i="11"/>
  <c r="R6" i="11"/>
  <c r="Q7" i="11"/>
  <c r="R7" i="11"/>
  <c r="R8" i="11"/>
  <c r="R9" i="11"/>
  <c r="R10" i="11"/>
  <c r="R11" i="11"/>
  <c r="G12" i="11"/>
  <c r="R12" i="11"/>
  <c r="R13" i="11"/>
  <c r="R14" i="11"/>
  <c r="R15" i="11"/>
  <c r="R16" i="11"/>
  <c r="R17" i="11"/>
  <c r="R18" i="11"/>
  <c r="R19" i="11"/>
  <c r="R20" i="11"/>
  <c r="R21" i="11"/>
  <c r="R22" i="11"/>
  <c r="C22" i="11"/>
  <c r="D22" i="11"/>
  <c r="H22" i="11"/>
  <c r="N22" i="11"/>
  <c r="P22" i="11" s="1"/>
  <c r="O22" i="11"/>
  <c r="C21" i="11"/>
  <c r="D21" i="11"/>
  <c r="H21" i="11"/>
  <c r="N21" i="11"/>
  <c r="O21" i="1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C100" i="1"/>
  <c r="D100" i="1"/>
  <c r="H100" i="1"/>
  <c r="N100" i="1"/>
  <c r="O100" i="1"/>
  <c r="P100" i="1"/>
  <c r="C20" i="11"/>
  <c r="D20" i="11"/>
  <c r="H20" i="11"/>
  <c r="N20" i="11"/>
  <c r="O20" i="11"/>
  <c r="P20" i="11" s="1"/>
  <c r="C19" i="11"/>
  <c r="D19" i="11"/>
  <c r="H19" i="11"/>
  <c r="N19" i="11"/>
  <c r="O19" i="11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C89" i="4"/>
  <c r="D89" i="4"/>
  <c r="H89" i="4"/>
  <c r="N89" i="4"/>
  <c r="O89" i="4"/>
  <c r="P89" i="4"/>
  <c r="R2" i="10"/>
  <c r="R3" i="10"/>
  <c r="S3" i="10"/>
  <c r="S2" i="10"/>
  <c r="S77" i="4"/>
  <c r="S78" i="4"/>
  <c r="S79" i="4"/>
  <c r="D85" i="4"/>
  <c r="D86" i="4"/>
  <c r="D87" i="4"/>
  <c r="D88" i="4"/>
  <c r="C85" i="4"/>
  <c r="C86" i="4"/>
  <c r="C87" i="4"/>
  <c r="C88" i="4"/>
  <c r="H88" i="4"/>
  <c r="N88" i="4"/>
  <c r="O88" i="4"/>
  <c r="H87" i="4"/>
  <c r="N87" i="4"/>
  <c r="O87" i="4"/>
  <c r="H86" i="4"/>
  <c r="N86" i="4"/>
  <c r="O86" i="4"/>
  <c r="H85" i="4"/>
  <c r="N85" i="4"/>
  <c r="O85" i="4"/>
  <c r="D3" i="10"/>
  <c r="H3" i="10"/>
  <c r="N3" i="10"/>
  <c r="O3" i="10"/>
  <c r="P3" i="10"/>
  <c r="C9" i="6"/>
  <c r="D9" i="6"/>
  <c r="H9" i="6"/>
  <c r="K9" i="6"/>
  <c r="O9" i="6"/>
  <c r="R9" i="6"/>
  <c r="R4" i="12"/>
  <c r="O4" i="12"/>
  <c r="N4" i="12"/>
  <c r="H4" i="12"/>
  <c r="P4" i="12"/>
  <c r="D4" i="12"/>
  <c r="C4" i="12"/>
  <c r="C3" i="12"/>
  <c r="D3" i="12"/>
  <c r="H3" i="12"/>
  <c r="N3" i="12"/>
  <c r="O3" i="12"/>
  <c r="P3" i="12"/>
  <c r="R3" i="12"/>
  <c r="C8" i="11"/>
  <c r="D8" i="11"/>
  <c r="H8" i="11"/>
  <c r="P8" i="11" s="1"/>
  <c r="N8" i="11"/>
  <c r="O8" i="11"/>
  <c r="C4" i="11"/>
  <c r="D4" i="11"/>
  <c r="H4" i="11"/>
  <c r="N4" i="11"/>
  <c r="P4" i="11" s="1"/>
  <c r="O4" i="11"/>
  <c r="C3" i="11"/>
  <c r="D3" i="11"/>
  <c r="H3" i="11"/>
  <c r="N3" i="11"/>
  <c r="P3" i="11" s="1"/>
  <c r="O3" i="11"/>
  <c r="H2" i="11"/>
  <c r="N2" i="11"/>
  <c r="O2" i="11"/>
  <c r="S2" i="11"/>
  <c r="C2" i="11"/>
  <c r="D2" i="11"/>
  <c r="R8" i="12"/>
  <c r="O8" i="12"/>
  <c r="N8" i="12"/>
  <c r="H8" i="12"/>
  <c r="D8" i="12"/>
  <c r="C8" i="12"/>
  <c r="R7" i="12"/>
  <c r="O7" i="12"/>
  <c r="N7" i="12"/>
  <c r="H7" i="12"/>
  <c r="D7" i="12"/>
  <c r="C7" i="12"/>
  <c r="R6" i="12"/>
  <c r="O6" i="12"/>
  <c r="N6" i="12"/>
  <c r="H6" i="12"/>
  <c r="D6" i="12"/>
  <c r="C6" i="12"/>
  <c r="R5" i="12"/>
  <c r="O5" i="12"/>
  <c r="N5" i="12"/>
  <c r="H5" i="12"/>
  <c r="D5" i="12"/>
  <c r="C5" i="12"/>
  <c r="R2" i="12"/>
  <c r="O2" i="12"/>
  <c r="N2" i="12"/>
  <c r="H2" i="12"/>
  <c r="D2" i="12"/>
  <c r="C2" i="12"/>
  <c r="O18" i="11"/>
  <c r="N18" i="11"/>
  <c r="H18" i="11"/>
  <c r="D18" i="11"/>
  <c r="C18" i="11"/>
  <c r="O17" i="11"/>
  <c r="N17" i="11"/>
  <c r="P17" i="11" s="1"/>
  <c r="H17" i="11"/>
  <c r="D17" i="11"/>
  <c r="C17" i="11"/>
  <c r="O16" i="11"/>
  <c r="P16" i="11" s="1"/>
  <c r="N16" i="11"/>
  <c r="H16" i="11"/>
  <c r="D16" i="11"/>
  <c r="C16" i="11"/>
  <c r="O15" i="11"/>
  <c r="N15" i="11"/>
  <c r="H15" i="11"/>
  <c r="P15" i="11" s="1"/>
  <c r="D15" i="11"/>
  <c r="C15" i="11"/>
  <c r="O14" i="11"/>
  <c r="N14" i="11"/>
  <c r="P14" i="11" s="1"/>
  <c r="H14" i="11"/>
  <c r="D14" i="11"/>
  <c r="C14" i="11"/>
  <c r="O13" i="11"/>
  <c r="N13" i="11"/>
  <c r="H13" i="11"/>
  <c r="D13" i="11"/>
  <c r="C13" i="11"/>
  <c r="O12" i="11"/>
  <c r="N12" i="11"/>
  <c r="P12" i="11" s="1"/>
  <c r="F12" i="11"/>
  <c r="D12" i="11"/>
  <c r="C12" i="11"/>
  <c r="O11" i="11"/>
  <c r="N11" i="11"/>
  <c r="P11" i="11" s="1"/>
  <c r="H11" i="11"/>
  <c r="D11" i="11"/>
  <c r="C11" i="11"/>
  <c r="O10" i="11"/>
  <c r="N10" i="11"/>
  <c r="H10" i="11"/>
  <c r="D10" i="11"/>
  <c r="C10" i="11"/>
  <c r="O9" i="11"/>
  <c r="N9" i="11"/>
  <c r="P9" i="11" s="1"/>
  <c r="H9" i="11"/>
  <c r="D9" i="11"/>
  <c r="C9" i="11"/>
  <c r="O7" i="11"/>
  <c r="N7" i="11"/>
  <c r="P7" i="11" s="1"/>
  <c r="H7" i="11"/>
  <c r="D7" i="11"/>
  <c r="C7" i="11"/>
  <c r="O6" i="11"/>
  <c r="N6" i="11"/>
  <c r="P6" i="11" s="1"/>
  <c r="H6" i="11"/>
  <c r="D6" i="11"/>
  <c r="C6" i="11"/>
  <c r="O5" i="11"/>
  <c r="N5" i="11"/>
  <c r="P5" i="11" s="1"/>
  <c r="H5" i="11"/>
  <c r="D5" i="11"/>
  <c r="C5" i="11"/>
  <c r="O2" i="10"/>
  <c r="N2" i="10"/>
  <c r="H2" i="10"/>
  <c r="D2" i="10"/>
  <c r="C2" i="10"/>
  <c r="P87" i="4"/>
  <c r="P88" i="4"/>
  <c r="P86" i="4"/>
  <c r="P85" i="4"/>
  <c r="N9" i="6"/>
  <c r="P9" i="6"/>
  <c r="S3" i="12"/>
  <c r="S4" i="12"/>
  <c r="P2" i="12"/>
  <c r="S8" i="12"/>
  <c r="P6" i="12"/>
  <c r="P7" i="12"/>
  <c r="P8" i="12"/>
  <c r="P5" i="12"/>
  <c r="S4" i="11"/>
  <c r="S3" i="11"/>
  <c r="S2" i="12"/>
  <c r="S5" i="12"/>
  <c r="S6" i="12"/>
  <c r="S7" i="12"/>
  <c r="H12" i="11"/>
  <c r="P2" i="10"/>
  <c r="C82" i="4"/>
  <c r="C84" i="4"/>
  <c r="H83" i="4"/>
  <c r="N83" i="4"/>
  <c r="O83" i="4"/>
  <c r="H84" i="4"/>
  <c r="N84" i="4"/>
  <c r="O84" i="4"/>
  <c r="H82" i="4"/>
  <c r="N82" i="4"/>
  <c r="O82" i="4"/>
  <c r="C81" i="4"/>
  <c r="D81" i="4"/>
  <c r="H81" i="4"/>
  <c r="N81" i="4"/>
  <c r="O81" i="4"/>
  <c r="C80" i="4"/>
  <c r="D80" i="4"/>
  <c r="H80" i="4"/>
  <c r="N80" i="4"/>
  <c r="O80" i="4"/>
  <c r="C79" i="4"/>
  <c r="D79" i="4"/>
  <c r="H79" i="4"/>
  <c r="N79" i="4"/>
  <c r="O79" i="4"/>
  <c r="C8" i="6"/>
  <c r="D8" i="6"/>
  <c r="H8" i="6"/>
  <c r="K8" i="6"/>
  <c r="N8" i="6"/>
  <c r="R8" i="6"/>
  <c r="C78" i="4"/>
  <c r="D78" i="4"/>
  <c r="H78" i="4"/>
  <c r="N78" i="4"/>
  <c r="O78" i="4"/>
  <c r="D84" i="4"/>
  <c r="D83" i="4"/>
  <c r="C83" i="4"/>
  <c r="D82" i="4"/>
  <c r="P83" i="4"/>
  <c r="P84" i="4"/>
  <c r="P80" i="4"/>
  <c r="P82" i="4"/>
  <c r="P81" i="4"/>
  <c r="P79" i="4"/>
  <c r="P78" i="4"/>
  <c r="O8" i="6"/>
  <c r="P8" i="6"/>
  <c r="C99" i="1"/>
  <c r="D99" i="1"/>
  <c r="H99" i="1"/>
  <c r="N99" i="1"/>
  <c r="O99" i="1"/>
  <c r="C98" i="1"/>
  <c r="D98" i="1"/>
  <c r="H98" i="1"/>
  <c r="N98" i="1"/>
  <c r="O98" i="1"/>
  <c r="P98" i="1"/>
  <c r="C97" i="1"/>
  <c r="D97" i="1"/>
  <c r="H97" i="1"/>
  <c r="N97" i="1"/>
  <c r="O97" i="1"/>
  <c r="P97" i="1"/>
  <c r="C96" i="1"/>
  <c r="D96" i="1"/>
  <c r="H96" i="1"/>
  <c r="N96" i="1"/>
  <c r="O96" i="1"/>
  <c r="P96" i="1"/>
  <c r="C95" i="1"/>
  <c r="D95" i="1"/>
  <c r="H95" i="1"/>
  <c r="N95" i="1"/>
  <c r="O95" i="1"/>
  <c r="P95" i="1"/>
  <c r="C94" i="1"/>
  <c r="D94" i="1"/>
  <c r="H94" i="1"/>
  <c r="N94" i="1"/>
  <c r="O94" i="1"/>
  <c r="P94" i="1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Q62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Q86" i="5"/>
  <c r="R86" i="5"/>
  <c r="C7" i="6"/>
  <c r="D7" i="6"/>
  <c r="C76" i="4"/>
  <c r="D76" i="4"/>
  <c r="C77" i="4"/>
  <c r="D77" i="4"/>
  <c r="H77" i="4"/>
  <c r="N77" i="4"/>
  <c r="O77" i="4"/>
  <c r="H76" i="4"/>
  <c r="N76" i="4"/>
  <c r="O76" i="4"/>
  <c r="R2" i="3"/>
  <c r="R3" i="3"/>
  <c r="S3" i="3"/>
  <c r="R4" i="3"/>
  <c r="S4" i="3"/>
  <c r="R5" i="3"/>
  <c r="S5" i="3"/>
  <c r="R6" i="3"/>
  <c r="S6" i="3"/>
  <c r="C6" i="3"/>
  <c r="D6" i="3"/>
  <c r="H6" i="3"/>
  <c r="N6" i="3"/>
  <c r="O6" i="3"/>
  <c r="C93" i="1"/>
  <c r="D93" i="1"/>
  <c r="H93" i="1"/>
  <c r="N93" i="1"/>
  <c r="O93" i="1"/>
  <c r="P93" i="1"/>
  <c r="C92" i="1"/>
  <c r="D92" i="1"/>
  <c r="H92" i="1"/>
  <c r="N92" i="1"/>
  <c r="O92" i="1"/>
  <c r="P92" i="1"/>
  <c r="C91" i="1"/>
  <c r="D91" i="1"/>
  <c r="H91" i="1"/>
  <c r="N91" i="1"/>
  <c r="O91" i="1"/>
  <c r="P91" i="1"/>
  <c r="C90" i="1"/>
  <c r="D90" i="1"/>
  <c r="H90" i="1"/>
  <c r="N90" i="1"/>
  <c r="O90" i="1"/>
  <c r="P90" i="1"/>
  <c r="P6" i="3"/>
  <c r="R2" i="7"/>
  <c r="Q3" i="7"/>
  <c r="G3" i="7"/>
  <c r="R3" i="7"/>
  <c r="R4" i="7"/>
  <c r="R5" i="7"/>
  <c r="M6" i="7"/>
  <c r="R6" i="7"/>
  <c r="R7" i="7"/>
  <c r="R8" i="7"/>
  <c r="S8" i="7"/>
  <c r="R9" i="7"/>
  <c r="M10" i="7"/>
  <c r="R10" i="7"/>
  <c r="M11" i="7"/>
  <c r="R11" i="7"/>
  <c r="M12" i="7"/>
  <c r="R12" i="7"/>
  <c r="R13" i="7"/>
  <c r="R14" i="7"/>
  <c r="R15" i="7"/>
  <c r="M16" i="7"/>
  <c r="R16" i="7"/>
  <c r="R17" i="7"/>
  <c r="M18" i="7"/>
  <c r="R18" i="7"/>
  <c r="R19" i="7"/>
  <c r="R20" i="7"/>
  <c r="R21" i="7"/>
  <c r="M22" i="7"/>
  <c r="R22" i="7"/>
  <c r="R23" i="7"/>
  <c r="R24" i="7"/>
  <c r="R25" i="7"/>
  <c r="R26" i="7"/>
  <c r="R27" i="7"/>
  <c r="R28" i="7"/>
  <c r="M29" i="7"/>
  <c r="R29" i="7"/>
  <c r="R30" i="7"/>
  <c r="R31" i="7"/>
  <c r="M32" i="7"/>
  <c r="R32" i="7"/>
  <c r="M33" i="7"/>
  <c r="R33" i="7"/>
  <c r="R34" i="7"/>
  <c r="M35" i="7"/>
  <c r="R35" i="7"/>
  <c r="M36" i="7"/>
  <c r="R36" i="7"/>
  <c r="R37" i="7"/>
  <c r="R38" i="7"/>
  <c r="R39" i="7"/>
  <c r="R40" i="7"/>
  <c r="R41" i="7"/>
  <c r="R42" i="7"/>
  <c r="R43" i="7"/>
  <c r="M44" i="7"/>
  <c r="R44" i="7"/>
  <c r="R45" i="7"/>
  <c r="R46" i="7"/>
  <c r="M47" i="7"/>
  <c r="R47" i="7"/>
  <c r="R48" i="7"/>
  <c r="C50" i="7"/>
  <c r="D50" i="7"/>
  <c r="H50" i="7"/>
  <c r="N50" i="7"/>
  <c r="O50" i="7"/>
  <c r="R50" i="7"/>
  <c r="C49" i="7"/>
  <c r="D49" i="7"/>
  <c r="H49" i="7"/>
  <c r="N49" i="7"/>
  <c r="O49" i="7"/>
  <c r="R49" i="7"/>
  <c r="C89" i="1"/>
  <c r="D89" i="1"/>
  <c r="H89" i="1"/>
  <c r="N89" i="1"/>
  <c r="O89" i="1"/>
  <c r="P89" i="1"/>
  <c r="P50" i="7"/>
  <c r="P49" i="7"/>
  <c r="F3" i="7"/>
  <c r="R2" i="6"/>
  <c r="R3" i="6"/>
  <c r="R4" i="6"/>
  <c r="R5" i="6"/>
  <c r="R6" i="6"/>
  <c r="O75" i="4"/>
  <c r="N75" i="4"/>
  <c r="H75" i="4"/>
  <c r="C75" i="4"/>
  <c r="D75" i="4"/>
  <c r="S2" i="3"/>
  <c r="B1" i="8"/>
  <c r="N6" i="6"/>
  <c r="C88" i="1"/>
  <c r="D88" i="1"/>
  <c r="H88" i="1"/>
  <c r="N88" i="1"/>
  <c r="O88" i="1"/>
  <c r="P88" i="1"/>
  <c r="C87" i="1"/>
  <c r="D87" i="1"/>
  <c r="H87" i="1"/>
  <c r="N87" i="1"/>
  <c r="O87" i="1"/>
  <c r="P87" i="1"/>
  <c r="C86" i="1"/>
  <c r="D86" i="1"/>
  <c r="H86" i="1"/>
  <c r="N86" i="1"/>
  <c r="O86" i="1"/>
  <c r="C6" i="6"/>
  <c r="D6" i="6"/>
  <c r="H6" i="6"/>
  <c r="O6" i="6"/>
  <c r="C74" i="4"/>
  <c r="D74" i="4"/>
  <c r="H74" i="4"/>
  <c r="N74" i="4"/>
  <c r="O74" i="4"/>
  <c r="D73" i="4"/>
  <c r="C73" i="4"/>
  <c r="H73" i="4"/>
  <c r="N73" i="4"/>
  <c r="O73" i="4"/>
  <c r="C48" i="7"/>
  <c r="D48" i="7"/>
  <c r="H48" i="7"/>
  <c r="N48" i="7"/>
  <c r="O48" i="7"/>
  <c r="P48" i="7"/>
  <c r="D72" i="4"/>
  <c r="C72" i="4"/>
  <c r="H72" i="4"/>
  <c r="N72" i="4"/>
  <c r="O72" i="4"/>
  <c r="D71" i="4"/>
  <c r="C71" i="4"/>
  <c r="H71" i="4"/>
  <c r="N71" i="4"/>
  <c r="O71" i="4"/>
  <c r="C69" i="4"/>
  <c r="D69" i="4"/>
  <c r="C70" i="4"/>
  <c r="D70" i="4"/>
  <c r="H70" i="4"/>
  <c r="N70" i="4"/>
  <c r="O70" i="4"/>
  <c r="H69" i="4"/>
  <c r="N69" i="4"/>
  <c r="O69" i="4"/>
  <c r="K47" i="7"/>
  <c r="J47" i="7"/>
  <c r="C47" i="7"/>
  <c r="D47" i="7"/>
  <c r="H47" i="7"/>
  <c r="N47" i="7"/>
  <c r="O47" i="7"/>
  <c r="P47" i="7"/>
  <c r="C46" i="7"/>
  <c r="D46" i="7"/>
  <c r="H46" i="7"/>
  <c r="N46" i="7"/>
  <c r="O46" i="7"/>
  <c r="C45" i="7"/>
  <c r="D45" i="7"/>
  <c r="H45" i="7"/>
  <c r="N45" i="7"/>
  <c r="O45" i="7"/>
  <c r="P45" i="7"/>
  <c r="K44" i="7"/>
  <c r="J44" i="7"/>
  <c r="C44" i="7"/>
  <c r="D44" i="7"/>
  <c r="H44" i="7"/>
  <c r="N44" i="7"/>
  <c r="O44" i="7"/>
  <c r="C59" i="4"/>
  <c r="C38" i="4"/>
  <c r="D59" i="4"/>
  <c r="C60" i="4"/>
  <c r="D60" i="4"/>
  <c r="H59" i="4"/>
  <c r="N59" i="4"/>
  <c r="O59" i="4"/>
  <c r="C32" i="4"/>
  <c r="C33" i="4"/>
  <c r="C34" i="4"/>
  <c r="C35" i="4"/>
  <c r="C36" i="4"/>
  <c r="C37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1" i="4"/>
  <c r="C62" i="4"/>
  <c r="C63" i="4"/>
  <c r="C64" i="4"/>
  <c r="C65" i="4"/>
  <c r="C66" i="4"/>
  <c r="C67" i="4"/>
  <c r="C68" i="4"/>
  <c r="D58" i="4"/>
  <c r="D61" i="4"/>
  <c r="D62" i="4"/>
  <c r="D63" i="4"/>
  <c r="D64" i="4"/>
  <c r="D65" i="4"/>
  <c r="D66" i="4"/>
  <c r="D67" i="4"/>
  <c r="D68" i="4"/>
  <c r="H68" i="4"/>
  <c r="N68" i="4"/>
  <c r="O68" i="4"/>
  <c r="H67" i="4"/>
  <c r="N67" i="4"/>
  <c r="O67" i="4"/>
  <c r="H66" i="4"/>
  <c r="N66" i="4"/>
  <c r="O66" i="4"/>
  <c r="H65" i="4"/>
  <c r="N65" i="4"/>
  <c r="O65" i="4"/>
  <c r="H64" i="4"/>
  <c r="N64" i="4"/>
  <c r="O64" i="4"/>
  <c r="H63" i="4"/>
  <c r="N63" i="4"/>
  <c r="O63" i="4"/>
  <c r="H62" i="4"/>
  <c r="N62" i="4"/>
  <c r="O62" i="4"/>
  <c r="H61" i="4"/>
  <c r="N61" i="4"/>
  <c r="O61" i="4"/>
  <c r="H60" i="4"/>
  <c r="N60" i="4"/>
  <c r="O60" i="4"/>
  <c r="H58" i="4"/>
  <c r="N58" i="4"/>
  <c r="O58" i="4"/>
  <c r="C81" i="1"/>
  <c r="D81" i="1"/>
  <c r="H81" i="1"/>
  <c r="N81" i="1"/>
  <c r="O81" i="1"/>
  <c r="C84" i="1"/>
  <c r="D84" i="1"/>
  <c r="H84" i="1"/>
  <c r="N84" i="1"/>
  <c r="O84" i="1"/>
  <c r="P84" i="1"/>
  <c r="C85" i="1"/>
  <c r="D85" i="1"/>
  <c r="H85" i="1"/>
  <c r="N85" i="1"/>
  <c r="O85" i="1"/>
  <c r="P85" i="1"/>
  <c r="C83" i="1"/>
  <c r="D83" i="1"/>
  <c r="H83" i="1"/>
  <c r="N83" i="1"/>
  <c r="O83" i="1"/>
  <c r="P83" i="1"/>
  <c r="C82" i="1"/>
  <c r="D82" i="1"/>
  <c r="H82" i="1"/>
  <c r="N82" i="1"/>
  <c r="O82" i="1"/>
  <c r="C43" i="7"/>
  <c r="D43" i="7"/>
  <c r="H43" i="7"/>
  <c r="N43" i="7"/>
  <c r="O43" i="7"/>
  <c r="C42" i="7"/>
  <c r="D42" i="7"/>
  <c r="H42" i="7"/>
  <c r="N42" i="7"/>
  <c r="O42" i="7"/>
  <c r="C41" i="7"/>
  <c r="D41" i="7"/>
  <c r="H41" i="7"/>
  <c r="N41" i="7"/>
  <c r="O41" i="7"/>
  <c r="D48" i="4"/>
  <c r="D49" i="4"/>
  <c r="D50" i="4"/>
  <c r="D51" i="4"/>
  <c r="D52" i="4"/>
  <c r="D53" i="4"/>
  <c r="D54" i="4"/>
  <c r="D55" i="4"/>
  <c r="D56" i="4"/>
  <c r="D57" i="4"/>
  <c r="H54" i="4"/>
  <c r="H55" i="4"/>
  <c r="H56" i="4"/>
  <c r="H57" i="4"/>
  <c r="N54" i="4"/>
  <c r="N55" i="4"/>
  <c r="N56" i="4"/>
  <c r="N57" i="4"/>
  <c r="O54" i="4"/>
  <c r="O55" i="4"/>
  <c r="O56" i="4"/>
  <c r="O57" i="4"/>
  <c r="H48" i="4"/>
  <c r="H49" i="4"/>
  <c r="H50" i="4"/>
  <c r="H51" i="4"/>
  <c r="N51" i="4"/>
  <c r="O51" i="4"/>
  <c r="H52" i="4"/>
  <c r="H53" i="4"/>
  <c r="N48" i="4"/>
  <c r="O48" i="4"/>
  <c r="N49" i="4"/>
  <c r="N50" i="4"/>
  <c r="N52" i="4"/>
  <c r="O52" i="4"/>
  <c r="N53" i="4"/>
  <c r="O49" i="4"/>
  <c r="O50" i="4"/>
  <c r="O53" i="4"/>
  <c r="C75" i="1"/>
  <c r="D75" i="1"/>
  <c r="H75" i="1"/>
  <c r="N75" i="1"/>
  <c r="O75" i="1"/>
  <c r="P75" i="1"/>
  <c r="C80" i="1"/>
  <c r="D80" i="1"/>
  <c r="H80" i="1"/>
  <c r="N80" i="1"/>
  <c r="O80" i="1"/>
  <c r="P80" i="1"/>
  <c r="C79" i="1"/>
  <c r="D79" i="1"/>
  <c r="H79" i="1"/>
  <c r="N79" i="1"/>
  <c r="O79" i="1"/>
  <c r="P79" i="1"/>
  <c r="C78" i="1"/>
  <c r="D78" i="1"/>
  <c r="H78" i="1"/>
  <c r="N78" i="1"/>
  <c r="O78" i="1"/>
  <c r="P78" i="1"/>
  <c r="C77" i="1"/>
  <c r="D77" i="1"/>
  <c r="H77" i="1"/>
  <c r="N77" i="1"/>
  <c r="O77" i="1"/>
  <c r="C76" i="1"/>
  <c r="D76" i="1"/>
  <c r="H76" i="1"/>
  <c r="N76" i="1"/>
  <c r="O76" i="1"/>
  <c r="P76" i="1"/>
  <c r="D72" i="1"/>
  <c r="D73" i="1"/>
  <c r="D74" i="1"/>
  <c r="H72" i="1"/>
  <c r="H73" i="1"/>
  <c r="N73" i="1"/>
  <c r="O73" i="1"/>
  <c r="P73" i="1"/>
  <c r="H74" i="1"/>
  <c r="N74" i="1"/>
  <c r="O74" i="1"/>
  <c r="P74" i="1"/>
  <c r="N72" i="1"/>
  <c r="O72" i="1"/>
  <c r="P72" i="1"/>
  <c r="C72" i="1"/>
  <c r="C73" i="1"/>
  <c r="C74" i="1"/>
  <c r="D71" i="1"/>
  <c r="H71" i="1"/>
  <c r="N71" i="1"/>
  <c r="O71" i="1"/>
  <c r="C71" i="1"/>
  <c r="C70" i="1"/>
  <c r="D70" i="1"/>
  <c r="H70" i="1"/>
  <c r="N70" i="1"/>
  <c r="O70" i="1"/>
  <c r="P70" i="1"/>
  <c r="C69" i="1"/>
  <c r="D69" i="1"/>
  <c r="H69" i="1"/>
  <c r="N69" i="1"/>
  <c r="O69" i="1"/>
  <c r="C68" i="1"/>
  <c r="D68" i="1"/>
  <c r="H68" i="1"/>
  <c r="N68" i="1"/>
  <c r="O68" i="1"/>
  <c r="P68" i="1"/>
  <c r="D86" i="5"/>
  <c r="C86" i="5"/>
  <c r="H86" i="5"/>
  <c r="N86" i="5"/>
  <c r="O86" i="5"/>
  <c r="D39" i="4"/>
  <c r="D40" i="4"/>
  <c r="D41" i="4"/>
  <c r="D42" i="4"/>
  <c r="D43" i="4"/>
  <c r="D44" i="4"/>
  <c r="D45" i="4"/>
  <c r="D46" i="4"/>
  <c r="D47" i="4"/>
  <c r="H43" i="4"/>
  <c r="H44" i="4"/>
  <c r="H45" i="4"/>
  <c r="H46" i="4"/>
  <c r="H47" i="4"/>
  <c r="N43" i="4"/>
  <c r="N44" i="4"/>
  <c r="N45" i="4"/>
  <c r="O45" i="4"/>
  <c r="N46" i="4"/>
  <c r="N47" i="4"/>
  <c r="O43" i="4"/>
  <c r="O44" i="4"/>
  <c r="O46" i="4"/>
  <c r="O47" i="4"/>
  <c r="H39" i="4"/>
  <c r="H40" i="4"/>
  <c r="H41" i="4"/>
  <c r="H42" i="4"/>
  <c r="N39" i="4"/>
  <c r="N40" i="4"/>
  <c r="N41" i="4"/>
  <c r="N42" i="4"/>
  <c r="O42" i="4"/>
  <c r="O39" i="4"/>
  <c r="O40" i="4"/>
  <c r="O41" i="4"/>
  <c r="C3" i="3"/>
  <c r="C4" i="3"/>
  <c r="C5" i="3"/>
  <c r="D2" i="3"/>
  <c r="D3" i="3"/>
  <c r="D4" i="3"/>
  <c r="D5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C2" i="7"/>
  <c r="D3" i="6"/>
  <c r="D4" i="6"/>
  <c r="D5" i="6"/>
  <c r="C3" i="6"/>
  <c r="C4" i="6"/>
  <c r="C5" i="6"/>
  <c r="D2" i="6"/>
  <c r="C2" i="6"/>
  <c r="C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D32" i="4"/>
  <c r="D33" i="4"/>
  <c r="D34" i="4"/>
  <c r="D35" i="4"/>
  <c r="D36" i="4"/>
  <c r="D37" i="4"/>
  <c r="D38" i="4"/>
  <c r="D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H40" i="7"/>
  <c r="N40" i="7"/>
  <c r="O40" i="7"/>
  <c r="H38" i="4"/>
  <c r="N38" i="4"/>
  <c r="O38" i="4"/>
  <c r="H36" i="4"/>
  <c r="H37" i="4"/>
  <c r="N36" i="4"/>
  <c r="O36" i="4"/>
  <c r="N37" i="4"/>
  <c r="O37" i="4"/>
  <c r="H5" i="3"/>
  <c r="N5" i="3"/>
  <c r="O5" i="3"/>
  <c r="P5" i="3"/>
  <c r="H39" i="7"/>
  <c r="N39" i="7"/>
  <c r="O39" i="7"/>
  <c r="P39" i="7"/>
  <c r="H38" i="7"/>
  <c r="N38" i="7"/>
  <c r="O38" i="7"/>
  <c r="P38" i="7"/>
  <c r="H3" i="7"/>
  <c r="N3" i="7"/>
  <c r="O3" i="7"/>
  <c r="H85" i="5"/>
  <c r="N85" i="5"/>
  <c r="O85" i="5"/>
  <c r="H84" i="5"/>
  <c r="N84" i="5"/>
  <c r="O84" i="5"/>
  <c r="H35" i="4"/>
  <c r="N35" i="4"/>
  <c r="O35" i="4"/>
  <c r="H34" i="4"/>
  <c r="N34" i="4"/>
  <c r="O34" i="4"/>
  <c r="H37" i="7"/>
  <c r="N37" i="7"/>
  <c r="O37" i="7"/>
  <c r="P37" i="7"/>
  <c r="H74" i="5"/>
  <c r="H75" i="5"/>
  <c r="H76" i="5"/>
  <c r="H77" i="5"/>
  <c r="H78" i="5"/>
  <c r="N78" i="5"/>
  <c r="O78" i="5"/>
  <c r="H79" i="5"/>
  <c r="H80" i="5"/>
  <c r="H81" i="5"/>
  <c r="H82" i="5"/>
  <c r="H83" i="5"/>
  <c r="N74" i="5"/>
  <c r="N75" i="5"/>
  <c r="O75" i="5"/>
  <c r="N76" i="5"/>
  <c r="N77" i="5"/>
  <c r="N79" i="5"/>
  <c r="O79" i="5"/>
  <c r="N80" i="5"/>
  <c r="N81" i="5"/>
  <c r="N82" i="5"/>
  <c r="N83" i="5"/>
  <c r="O74" i="5"/>
  <c r="O76" i="5"/>
  <c r="O77" i="5"/>
  <c r="O80" i="5"/>
  <c r="O81" i="5"/>
  <c r="O82" i="5"/>
  <c r="O83" i="5"/>
  <c r="H28" i="4"/>
  <c r="N28" i="4"/>
  <c r="O28" i="4"/>
  <c r="H33" i="4"/>
  <c r="N33" i="4"/>
  <c r="O33" i="4"/>
  <c r="H32" i="4"/>
  <c r="N32" i="4"/>
  <c r="O32" i="4"/>
  <c r="H31" i="4"/>
  <c r="N31" i="4"/>
  <c r="O31" i="4"/>
  <c r="H30" i="4"/>
  <c r="N30" i="4"/>
  <c r="O30" i="4"/>
  <c r="H29" i="4"/>
  <c r="N29" i="4"/>
  <c r="O29" i="4"/>
  <c r="H60" i="1"/>
  <c r="N60" i="1"/>
  <c r="O60" i="1"/>
  <c r="H67" i="1"/>
  <c r="N67" i="1"/>
  <c r="O67" i="1"/>
  <c r="P67" i="1"/>
  <c r="H66" i="1"/>
  <c r="N66" i="1"/>
  <c r="O66" i="1"/>
  <c r="P66" i="1"/>
  <c r="H65" i="1"/>
  <c r="N65" i="1"/>
  <c r="O65" i="1"/>
  <c r="P65" i="1"/>
  <c r="H64" i="1"/>
  <c r="N64" i="1"/>
  <c r="O64" i="1"/>
  <c r="P64" i="1"/>
  <c r="H63" i="1"/>
  <c r="N63" i="1"/>
  <c r="O63" i="1"/>
  <c r="P63" i="1"/>
  <c r="H62" i="1"/>
  <c r="N62" i="1"/>
  <c r="O62" i="1"/>
  <c r="H61" i="1"/>
  <c r="N61" i="1"/>
  <c r="O61" i="1"/>
  <c r="P61" i="1"/>
  <c r="H59" i="1"/>
  <c r="N59" i="1"/>
  <c r="O59" i="1"/>
  <c r="P59" i="1"/>
  <c r="H58" i="1"/>
  <c r="N58" i="1"/>
  <c r="O58" i="1"/>
  <c r="P58" i="1"/>
  <c r="H57" i="1"/>
  <c r="N57" i="1"/>
  <c r="O57" i="1"/>
  <c r="P57" i="1"/>
  <c r="H56" i="1"/>
  <c r="N56" i="1"/>
  <c r="O56" i="1"/>
  <c r="H55" i="1"/>
  <c r="N55" i="1"/>
  <c r="O55" i="1"/>
  <c r="P55" i="1"/>
  <c r="H54" i="1"/>
  <c r="N54" i="1"/>
  <c r="O54" i="1"/>
  <c r="H53" i="1"/>
  <c r="N53" i="1"/>
  <c r="O53" i="1"/>
  <c r="H52" i="1"/>
  <c r="N52" i="1"/>
  <c r="O52" i="1"/>
  <c r="P52" i="1"/>
  <c r="H51" i="1"/>
  <c r="N51" i="1"/>
  <c r="O51" i="1"/>
  <c r="H27" i="4"/>
  <c r="N27" i="4"/>
  <c r="O27" i="4"/>
  <c r="H2" i="3"/>
  <c r="H3" i="3"/>
  <c r="H4" i="3"/>
  <c r="H2" i="5"/>
  <c r="H3" i="5"/>
  <c r="H4" i="5"/>
  <c r="H5" i="5"/>
  <c r="H6" i="5"/>
  <c r="H7" i="5"/>
  <c r="H8" i="5"/>
  <c r="N8" i="5"/>
  <c r="O8" i="5"/>
  <c r="H9" i="5"/>
  <c r="N9" i="5"/>
  <c r="O9" i="5"/>
  <c r="H10" i="5"/>
  <c r="H11" i="5"/>
  <c r="H12" i="5"/>
  <c r="H13" i="5"/>
  <c r="N13" i="5"/>
  <c r="O13" i="5"/>
  <c r="H14" i="5"/>
  <c r="H15" i="5"/>
  <c r="H16" i="5"/>
  <c r="N16" i="5"/>
  <c r="O16" i="5"/>
  <c r="H17" i="5"/>
  <c r="N17" i="5"/>
  <c r="O17" i="5"/>
  <c r="H18" i="5"/>
  <c r="H19" i="5"/>
  <c r="H20" i="5"/>
  <c r="H21" i="5"/>
  <c r="H22" i="5"/>
  <c r="H23" i="5"/>
  <c r="H24" i="5"/>
  <c r="N24" i="5"/>
  <c r="O24" i="5"/>
  <c r="H25" i="5"/>
  <c r="H26" i="5"/>
  <c r="H27" i="5"/>
  <c r="H28" i="5"/>
  <c r="H29" i="5"/>
  <c r="H30" i="5"/>
  <c r="H31" i="5"/>
  <c r="N31" i="5"/>
  <c r="O31" i="5"/>
  <c r="H32" i="5"/>
  <c r="N32" i="5"/>
  <c r="O32" i="5"/>
  <c r="H33" i="5"/>
  <c r="H34" i="5"/>
  <c r="H35" i="5"/>
  <c r="H36" i="5"/>
  <c r="H37" i="5"/>
  <c r="H38" i="5"/>
  <c r="H39" i="5"/>
  <c r="H40" i="5"/>
  <c r="N40" i="5"/>
  <c r="O40" i="5"/>
  <c r="H41" i="5"/>
  <c r="H42" i="5"/>
  <c r="H43" i="5"/>
  <c r="H44" i="5"/>
  <c r="H45" i="5"/>
  <c r="H46" i="5"/>
  <c r="H47" i="5"/>
  <c r="H48" i="5"/>
  <c r="N48" i="5"/>
  <c r="O48" i="5"/>
  <c r="H49" i="5"/>
  <c r="N49" i="5"/>
  <c r="O49" i="5"/>
  <c r="H50" i="5"/>
  <c r="H51" i="5"/>
  <c r="H52" i="5"/>
  <c r="H53" i="5"/>
  <c r="H54" i="5"/>
  <c r="H55" i="5"/>
  <c r="H56" i="5"/>
  <c r="N56" i="5"/>
  <c r="O56" i="5"/>
  <c r="H57" i="5"/>
  <c r="H58" i="5"/>
  <c r="H59" i="5"/>
  <c r="H60" i="5"/>
  <c r="H61" i="5"/>
  <c r="H62" i="5"/>
  <c r="H63" i="5"/>
  <c r="N63" i="5"/>
  <c r="O63" i="5"/>
  <c r="H64" i="5"/>
  <c r="N64" i="5"/>
  <c r="O64" i="5"/>
  <c r="H65" i="5"/>
  <c r="H66" i="5"/>
  <c r="H67" i="5"/>
  <c r="H68" i="5"/>
  <c r="H69" i="5"/>
  <c r="H70" i="5"/>
  <c r="H71" i="5"/>
  <c r="H72" i="5"/>
  <c r="N72" i="5"/>
  <c r="O72" i="5"/>
  <c r="H73" i="5"/>
  <c r="N73" i="5"/>
  <c r="O73" i="5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N19" i="7"/>
  <c r="O19" i="7"/>
  <c r="H20" i="7"/>
  <c r="N20" i="7"/>
  <c r="O20" i="7"/>
  <c r="H21" i="7"/>
  <c r="H22" i="7"/>
  <c r="H23" i="7"/>
  <c r="H24" i="7"/>
  <c r="H25" i="7"/>
  <c r="H26" i="7"/>
  <c r="H27" i="7"/>
  <c r="H28" i="7"/>
  <c r="H29" i="7"/>
  <c r="J29" i="7"/>
  <c r="N29" i="7"/>
  <c r="O29" i="7"/>
  <c r="H30" i="7"/>
  <c r="H31" i="7"/>
  <c r="H32" i="7"/>
  <c r="H33" i="7"/>
  <c r="H34" i="7"/>
  <c r="H35" i="7"/>
  <c r="J35" i="7"/>
  <c r="N35" i="7"/>
  <c r="O35" i="7"/>
  <c r="P35" i="7"/>
  <c r="H36" i="7"/>
  <c r="N36" i="7"/>
  <c r="O36" i="7"/>
  <c r="H2" i="4"/>
  <c r="H3" i="4"/>
  <c r="H4" i="4"/>
  <c r="H5" i="4"/>
  <c r="H6" i="4"/>
  <c r="H7" i="4"/>
  <c r="H8" i="4"/>
  <c r="H9" i="4"/>
  <c r="H10" i="4"/>
  <c r="H11" i="4"/>
  <c r="N11" i="4"/>
  <c r="O11" i="4"/>
  <c r="H12" i="4"/>
  <c r="H13" i="4"/>
  <c r="H14" i="4"/>
  <c r="N14" i="4"/>
  <c r="O14" i="4"/>
  <c r="H15" i="4"/>
  <c r="H16" i="4"/>
  <c r="H17" i="4"/>
  <c r="H18" i="4"/>
  <c r="H19" i="4"/>
  <c r="N19" i="4"/>
  <c r="O19" i="4"/>
  <c r="H20" i="4"/>
  <c r="H21" i="4"/>
  <c r="H22" i="4"/>
  <c r="H23" i="4"/>
  <c r="H24" i="4"/>
  <c r="H25" i="4"/>
  <c r="H26" i="4"/>
  <c r="H2" i="6"/>
  <c r="H3" i="6"/>
  <c r="H4" i="6"/>
  <c r="H5" i="6"/>
  <c r="L22" i="7"/>
  <c r="N22" i="7"/>
  <c r="L18" i="7"/>
  <c r="O18" i="7"/>
  <c r="L16" i="7"/>
  <c r="O16" i="7"/>
  <c r="N16" i="7"/>
  <c r="N18" i="7"/>
  <c r="P18" i="7"/>
  <c r="N14" i="7"/>
  <c r="O14" i="7"/>
  <c r="N34" i="7"/>
  <c r="O34" i="7"/>
  <c r="P34" i="7"/>
  <c r="J33" i="7"/>
  <c r="N33" i="7"/>
  <c r="O33" i="7"/>
  <c r="J32" i="7"/>
  <c r="N32" i="7"/>
  <c r="N31" i="7"/>
  <c r="O31" i="7"/>
  <c r="P31" i="7"/>
  <c r="N30" i="7"/>
  <c r="O30" i="7"/>
  <c r="P30" i="7"/>
  <c r="N28" i="7"/>
  <c r="O28" i="7"/>
  <c r="N27" i="7"/>
  <c r="O27" i="7"/>
  <c r="N26" i="7"/>
  <c r="O26" i="7"/>
  <c r="N25" i="7"/>
  <c r="O25" i="7"/>
  <c r="N24" i="7"/>
  <c r="O24" i="7"/>
  <c r="N23" i="7"/>
  <c r="O23" i="7"/>
  <c r="N21" i="7"/>
  <c r="O21" i="7"/>
  <c r="N17" i="7"/>
  <c r="O17" i="7"/>
  <c r="N15" i="7"/>
  <c r="O15" i="7"/>
  <c r="P15" i="7"/>
  <c r="N13" i="7"/>
  <c r="O13" i="7"/>
  <c r="N12" i="7"/>
  <c r="O12" i="7"/>
  <c r="J11" i="7"/>
  <c r="N11" i="7"/>
  <c r="O11" i="7"/>
  <c r="P11" i="7"/>
  <c r="J10" i="7"/>
  <c r="N10" i="7"/>
  <c r="O10" i="7"/>
  <c r="N9" i="7"/>
  <c r="O9" i="7"/>
  <c r="N8" i="7"/>
  <c r="O8" i="7"/>
  <c r="N7" i="7"/>
  <c r="O7" i="7"/>
  <c r="J6" i="7"/>
  <c r="N6" i="7"/>
  <c r="O6" i="7"/>
  <c r="P6" i="7"/>
  <c r="N5" i="7"/>
  <c r="O5" i="7"/>
  <c r="P5" i="7"/>
  <c r="N4" i="7"/>
  <c r="O4" i="7"/>
  <c r="N2" i="7"/>
  <c r="O2" i="7"/>
  <c r="P2" i="7"/>
  <c r="N5" i="6"/>
  <c r="O5" i="6"/>
  <c r="P5" i="6"/>
  <c r="N4" i="6"/>
  <c r="O4" i="6"/>
  <c r="N3" i="6"/>
  <c r="O3" i="6"/>
  <c r="O2" i="6"/>
  <c r="N2" i="6"/>
  <c r="P2" i="6"/>
  <c r="N50" i="5"/>
  <c r="N51" i="5"/>
  <c r="N52" i="5"/>
  <c r="N53" i="5"/>
  <c r="O53" i="5"/>
  <c r="N54" i="5"/>
  <c r="O54" i="5"/>
  <c r="N55" i="5"/>
  <c r="N57" i="5"/>
  <c r="N58" i="5"/>
  <c r="N59" i="5"/>
  <c r="N60" i="5"/>
  <c r="N61" i="5"/>
  <c r="O61" i="5"/>
  <c r="N62" i="5"/>
  <c r="N65" i="5"/>
  <c r="N66" i="5"/>
  <c r="N67" i="5"/>
  <c r="N68" i="5"/>
  <c r="N69" i="5"/>
  <c r="O69" i="5"/>
  <c r="N70" i="5"/>
  <c r="O70" i="5"/>
  <c r="N71" i="5"/>
  <c r="O50" i="5"/>
  <c r="O51" i="5"/>
  <c r="O52" i="5"/>
  <c r="O55" i="5"/>
  <c r="O57" i="5"/>
  <c r="O58" i="5"/>
  <c r="O59" i="5"/>
  <c r="O60" i="5"/>
  <c r="O62" i="5"/>
  <c r="O65" i="5"/>
  <c r="O66" i="5"/>
  <c r="O67" i="5"/>
  <c r="O68" i="5"/>
  <c r="O71" i="5"/>
  <c r="O2" i="5"/>
  <c r="O3" i="5"/>
  <c r="O4" i="5"/>
  <c r="O5" i="5"/>
  <c r="O6" i="5"/>
  <c r="N6" i="5"/>
  <c r="O7" i="5"/>
  <c r="O10" i="5"/>
  <c r="O11" i="5"/>
  <c r="O12" i="5"/>
  <c r="O14" i="5"/>
  <c r="O15" i="5"/>
  <c r="O18" i="5"/>
  <c r="N18" i="5"/>
  <c r="O19" i="5"/>
  <c r="O20" i="5"/>
  <c r="O21" i="5"/>
  <c r="O22" i="5"/>
  <c r="O23" i="5"/>
  <c r="O25" i="5"/>
  <c r="O26" i="5"/>
  <c r="O27" i="5"/>
  <c r="N27" i="5"/>
  <c r="O28" i="5"/>
  <c r="O29" i="5"/>
  <c r="O30" i="5"/>
  <c r="O33" i="5"/>
  <c r="O34" i="5"/>
  <c r="N34" i="5"/>
  <c r="O35" i="5"/>
  <c r="O36" i="5"/>
  <c r="N36" i="5"/>
  <c r="O37" i="5"/>
  <c r="O38" i="5"/>
  <c r="O39" i="5"/>
  <c r="O41" i="5"/>
  <c r="O42" i="5"/>
  <c r="N42" i="5"/>
  <c r="O43" i="5"/>
  <c r="N43" i="5"/>
  <c r="O44" i="5"/>
  <c r="O45" i="5"/>
  <c r="O46" i="5"/>
  <c r="O47" i="5"/>
  <c r="N2" i="5"/>
  <c r="N3" i="5"/>
  <c r="N4" i="5"/>
  <c r="N5" i="5"/>
  <c r="N7" i="5"/>
  <c r="N10" i="5"/>
  <c r="N11" i="5"/>
  <c r="N12" i="5"/>
  <c r="N14" i="5"/>
  <c r="N15" i="5"/>
  <c r="N19" i="5"/>
  <c r="N20" i="5"/>
  <c r="N21" i="5"/>
  <c r="N22" i="5"/>
  <c r="N23" i="5"/>
  <c r="N25" i="5"/>
  <c r="N26" i="5"/>
  <c r="N28" i="5"/>
  <c r="N29" i="5"/>
  <c r="N30" i="5"/>
  <c r="N33" i="5"/>
  <c r="N35" i="5"/>
  <c r="N37" i="5"/>
  <c r="N38" i="5"/>
  <c r="N39" i="5"/>
  <c r="N41" i="5"/>
  <c r="N44" i="5"/>
  <c r="N45" i="5"/>
  <c r="N46" i="5"/>
  <c r="N47" i="5"/>
  <c r="N10" i="4"/>
  <c r="N12" i="4"/>
  <c r="O12" i="4"/>
  <c r="N13" i="4"/>
  <c r="N15" i="4"/>
  <c r="O15" i="4"/>
  <c r="N16" i="4"/>
  <c r="O16" i="4"/>
  <c r="N17" i="4"/>
  <c r="N18" i="4"/>
  <c r="N20" i="4"/>
  <c r="O20" i="4"/>
  <c r="N21" i="4"/>
  <c r="N22" i="4"/>
  <c r="N23" i="4"/>
  <c r="N24" i="4"/>
  <c r="O24" i="4"/>
  <c r="N25" i="4"/>
  <c r="N26" i="4"/>
  <c r="O10" i="4"/>
  <c r="O13" i="4"/>
  <c r="O17" i="4"/>
  <c r="O18" i="4"/>
  <c r="O21" i="4"/>
  <c r="O22" i="4"/>
  <c r="O23" i="4"/>
  <c r="O25" i="4"/>
  <c r="O26" i="4"/>
  <c r="N9" i="4"/>
  <c r="O9" i="4"/>
  <c r="N5" i="4"/>
  <c r="O5" i="4"/>
  <c r="O2" i="4"/>
  <c r="N2" i="4"/>
  <c r="O3" i="4"/>
  <c r="N3" i="4"/>
  <c r="O4" i="4"/>
  <c r="O6" i="4"/>
  <c r="O7" i="4"/>
  <c r="O8" i="4"/>
  <c r="N4" i="4"/>
  <c r="N6" i="4"/>
  <c r="N7" i="4"/>
  <c r="N8" i="4"/>
  <c r="O2" i="1"/>
  <c r="O14" i="1"/>
  <c r="N14" i="1"/>
  <c r="H14" i="1"/>
  <c r="P14" i="1"/>
  <c r="O17" i="1"/>
  <c r="O8" i="1"/>
  <c r="O3" i="1"/>
  <c r="O12" i="1"/>
  <c r="O5" i="1"/>
  <c r="O10" i="1"/>
  <c r="O4" i="1"/>
  <c r="N4" i="1"/>
  <c r="H4" i="1"/>
  <c r="P4" i="1"/>
  <c r="O6" i="1"/>
  <c r="N6" i="1"/>
  <c r="H6" i="1"/>
  <c r="P6" i="1"/>
  <c r="O7" i="1"/>
  <c r="N7" i="1"/>
  <c r="H7" i="1"/>
  <c r="P7" i="1"/>
  <c r="O18" i="1"/>
  <c r="O16" i="1"/>
  <c r="N16" i="1"/>
  <c r="H16" i="1"/>
  <c r="P16" i="1"/>
  <c r="O19" i="1"/>
  <c r="N19" i="1"/>
  <c r="H19" i="1"/>
  <c r="P19" i="1"/>
  <c r="O15" i="1"/>
  <c r="O9" i="1"/>
  <c r="N9" i="1"/>
  <c r="H9" i="1"/>
  <c r="P9" i="1"/>
  <c r="O13" i="1"/>
  <c r="O11" i="1"/>
  <c r="N11" i="1"/>
  <c r="H11" i="1"/>
  <c r="P11" i="1"/>
  <c r="O20" i="1"/>
  <c r="O21" i="1"/>
  <c r="O22" i="1"/>
  <c r="O23" i="1"/>
  <c r="N23" i="1"/>
  <c r="H23" i="1"/>
  <c r="P23" i="1"/>
  <c r="O24" i="1"/>
  <c r="N24" i="1"/>
  <c r="H24" i="1"/>
  <c r="P24" i="1"/>
  <c r="O25" i="1"/>
  <c r="O26" i="1"/>
  <c r="O27" i="1"/>
  <c r="O28" i="1"/>
  <c r="N28" i="1"/>
  <c r="H28" i="1"/>
  <c r="P28" i="1"/>
  <c r="O29" i="1"/>
  <c r="O30" i="1"/>
  <c r="O31" i="1"/>
  <c r="N31" i="1"/>
  <c r="H31" i="1"/>
  <c r="P31" i="1"/>
  <c r="O32" i="1"/>
  <c r="N32" i="1"/>
  <c r="H32" i="1"/>
  <c r="P32" i="1"/>
  <c r="O33" i="1"/>
  <c r="O34" i="1"/>
  <c r="O35" i="1"/>
  <c r="O36" i="1"/>
  <c r="N36" i="1"/>
  <c r="H36" i="1"/>
  <c r="P36" i="1"/>
  <c r="O39" i="1"/>
  <c r="O38" i="1"/>
  <c r="O37" i="1"/>
  <c r="O40" i="1"/>
  <c r="O41" i="1"/>
  <c r="N41" i="1"/>
  <c r="H41" i="1"/>
  <c r="P41" i="1"/>
  <c r="O42" i="1"/>
  <c r="O43" i="1"/>
  <c r="O44" i="1"/>
  <c r="N44" i="1"/>
  <c r="H44" i="1"/>
  <c r="O45" i="1"/>
  <c r="O46" i="1"/>
  <c r="N46" i="1"/>
  <c r="H46" i="1"/>
  <c r="P46" i="1"/>
  <c r="O47" i="1"/>
  <c r="N47" i="1"/>
  <c r="H47" i="1"/>
  <c r="P47" i="1"/>
  <c r="O48" i="1"/>
  <c r="O49" i="1"/>
  <c r="N49" i="1"/>
  <c r="H49" i="1"/>
  <c r="P49" i="1"/>
  <c r="O50" i="1"/>
  <c r="N50" i="1"/>
  <c r="H50" i="1"/>
  <c r="P50" i="1"/>
  <c r="N2" i="1"/>
  <c r="N17" i="1"/>
  <c r="N8" i="1"/>
  <c r="N3" i="1"/>
  <c r="H3" i="1"/>
  <c r="P3" i="1"/>
  <c r="N12" i="1"/>
  <c r="H12" i="1"/>
  <c r="N5" i="1"/>
  <c r="H5" i="1"/>
  <c r="P5" i="1"/>
  <c r="N10" i="1"/>
  <c r="N18" i="1"/>
  <c r="N15" i="1"/>
  <c r="H15" i="1"/>
  <c r="P15" i="1"/>
  <c r="N13" i="1"/>
  <c r="H13" i="1"/>
  <c r="P13" i="1"/>
  <c r="N20" i="1"/>
  <c r="H20" i="1"/>
  <c r="P20" i="1"/>
  <c r="N21" i="1"/>
  <c r="H21" i="1"/>
  <c r="P21" i="1"/>
  <c r="N22" i="1"/>
  <c r="H22" i="1"/>
  <c r="N25" i="1"/>
  <c r="N26" i="1"/>
  <c r="N27" i="1"/>
  <c r="H27" i="1"/>
  <c r="N29" i="1"/>
  <c r="H29" i="1"/>
  <c r="P29" i="1"/>
  <c r="N30" i="1"/>
  <c r="N33" i="1"/>
  <c r="H33" i="1"/>
  <c r="P33" i="1"/>
  <c r="N34" i="1"/>
  <c r="H34" i="1"/>
  <c r="P34" i="1"/>
  <c r="N35" i="1"/>
  <c r="H35" i="1"/>
  <c r="P35" i="1"/>
  <c r="N39" i="1"/>
  <c r="H39" i="1"/>
  <c r="N38" i="1"/>
  <c r="N37" i="1"/>
  <c r="H37" i="1"/>
  <c r="P37" i="1"/>
  <c r="N40" i="1"/>
  <c r="H40" i="1"/>
  <c r="P40" i="1"/>
  <c r="N42" i="1"/>
  <c r="N43" i="1"/>
  <c r="H43" i="1"/>
  <c r="N45" i="1"/>
  <c r="H45" i="1"/>
  <c r="P45" i="1"/>
  <c r="N48" i="1"/>
  <c r="H48" i="1"/>
  <c r="H25" i="1"/>
  <c r="H26" i="1"/>
  <c r="H30" i="1"/>
  <c r="P30" i="1"/>
  <c r="H38" i="1"/>
  <c r="H42" i="1"/>
  <c r="P42" i="1"/>
  <c r="H17" i="1"/>
  <c r="P17" i="1"/>
  <c r="H8" i="1"/>
  <c r="H10" i="1"/>
  <c r="H18" i="1"/>
  <c r="H2" i="1"/>
  <c r="O4" i="3"/>
  <c r="N4" i="3"/>
  <c r="P4" i="3"/>
  <c r="O2" i="3"/>
  <c r="N2" i="3"/>
  <c r="O3" i="3"/>
  <c r="N3" i="3"/>
  <c r="P3" i="3"/>
  <c r="O22" i="7"/>
  <c r="P22" i="7"/>
  <c r="O32" i="7"/>
  <c r="P2" i="3"/>
  <c r="S2" i="1"/>
  <c r="P33" i="7"/>
  <c r="P25" i="7"/>
  <c r="P43" i="7"/>
  <c r="S6" i="1"/>
  <c r="S5" i="1"/>
  <c r="S3" i="1"/>
  <c r="P46" i="7"/>
  <c r="P7" i="7"/>
  <c r="P14" i="7"/>
  <c r="P9" i="7"/>
  <c r="P40" i="7"/>
  <c r="P21" i="7"/>
  <c r="S4" i="1"/>
  <c r="P51" i="1"/>
  <c r="S9" i="4"/>
  <c r="S17" i="4"/>
  <c r="S25" i="4"/>
  <c r="S33" i="4"/>
  <c r="S41" i="4"/>
  <c r="S49" i="4"/>
  <c r="S57" i="4"/>
  <c r="S65" i="4"/>
  <c r="S73" i="4"/>
  <c r="S10" i="4"/>
  <c r="S18" i="4"/>
  <c r="S26" i="4"/>
  <c r="S34" i="4"/>
  <c r="S42" i="4"/>
  <c r="S50" i="4"/>
  <c r="S58" i="4"/>
  <c r="S66" i="4"/>
  <c r="S74" i="4"/>
  <c r="S13" i="4"/>
  <c r="S37" i="4"/>
  <c r="S53" i="4"/>
  <c r="S6" i="4"/>
  <c r="S30" i="4"/>
  <c r="S38" i="4"/>
  <c r="S62" i="4"/>
  <c r="S3" i="4"/>
  <c r="S11" i="4"/>
  <c r="S19" i="4"/>
  <c r="S27" i="4"/>
  <c r="S35" i="4"/>
  <c r="S43" i="4"/>
  <c r="S51" i="4"/>
  <c r="S59" i="4"/>
  <c r="S67" i="4"/>
  <c r="S75" i="4"/>
  <c r="S4" i="4"/>
  <c r="S12" i="4"/>
  <c r="S20" i="4"/>
  <c r="S28" i="4"/>
  <c r="S36" i="4"/>
  <c r="S44" i="4"/>
  <c r="S52" i="4"/>
  <c r="S60" i="4"/>
  <c r="S68" i="4"/>
  <c r="S76" i="4"/>
  <c r="S21" i="4"/>
  <c r="S45" i="4"/>
  <c r="S69" i="4"/>
  <c r="S14" i="4"/>
  <c r="S46" i="4"/>
  <c r="S7" i="4"/>
  <c r="S15" i="4"/>
  <c r="S23" i="4"/>
  <c r="S31" i="4"/>
  <c r="S39" i="4"/>
  <c r="S47" i="4"/>
  <c r="S55" i="4"/>
  <c r="S63" i="4"/>
  <c r="S71" i="4"/>
  <c r="S8" i="4"/>
  <c r="S16" i="4"/>
  <c r="S24" i="4"/>
  <c r="S32" i="4"/>
  <c r="S40" i="4"/>
  <c r="S48" i="4"/>
  <c r="S56" i="4"/>
  <c r="S64" i="4"/>
  <c r="S72" i="4"/>
  <c r="S5" i="4"/>
  <c r="S61" i="4"/>
  <c r="S29" i="4"/>
  <c r="S22" i="4"/>
  <c r="S54" i="4"/>
  <c r="S70" i="4"/>
  <c r="P6" i="6"/>
  <c r="P3" i="6"/>
  <c r="S5" i="6"/>
  <c r="S6" i="6"/>
  <c r="S8" i="6"/>
  <c r="S9" i="6"/>
  <c r="S81" i="5"/>
  <c r="S82" i="5"/>
  <c r="S75" i="5"/>
  <c r="S83" i="5"/>
  <c r="S80" i="5"/>
  <c r="S76" i="5"/>
  <c r="S84" i="5"/>
  <c r="S77" i="5"/>
  <c r="S85" i="5"/>
  <c r="S79" i="5"/>
  <c r="S78" i="5"/>
  <c r="S86" i="5"/>
  <c r="P77" i="5"/>
  <c r="S68" i="5"/>
  <c r="S69" i="5"/>
  <c r="S70" i="5"/>
  <c r="S72" i="5"/>
  <c r="S71" i="5"/>
  <c r="S73" i="5"/>
  <c r="S74" i="5"/>
  <c r="P2" i="5"/>
  <c r="P86" i="5"/>
  <c r="P5" i="5"/>
  <c r="P18" i="5"/>
  <c r="P4" i="6"/>
  <c r="P28" i="7"/>
  <c r="P19" i="7"/>
  <c r="P36" i="7"/>
  <c r="S43" i="7"/>
  <c r="P12" i="7"/>
  <c r="P32" i="7"/>
  <c r="P23" i="7"/>
  <c r="P26" i="7"/>
  <c r="P44" i="7"/>
  <c r="P4" i="7"/>
  <c r="P54" i="1"/>
  <c r="S15" i="1"/>
  <c r="P8" i="1"/>
  <c r="S61" i="1"/>
  <c r="P25" i="1"/>
  <c r="S14" i="1"/>
  <c r="P43" i="1"/>
  <c r="P12" i="1"/>
  <c r="P86" i="1"/>
  <c r="P26" i="1"/>
  <c r="P82" i="1"/>
  <c r="S56" i="1"/>
  <c r="P62" i="1"/>
  <c r="P38" i="1"/>
  <c r="P2" i="1"/>
  <c r="P27" i="1"/>
  <c r="P81" i="1"/>
  <c r="P99" i="1"/>
  <c r="P44" i="1"/>
  <c r="S49" i="1"/>
  <c r="S23" i="1"/>
  <c r="P18" i="1"/>
  <c r="P22" i="1"/>
  <c r="P69" i="1"/>
  <c r="P71" i="1"/>
  <c r="P77" i="1"/>
  <c r="P39" i="1"/>
  <c r="P56" i="1"/>
  <c r="P48" i="1"/>
  <c r="S45" i="1"/>
  <c r="S28" i="1"/>
  <c r="P10" i="1"/>
  <c r="P53" i="1"/>
  <c r="P60" i="1"/>
  <c r="P66" i="5"/>
  <c r="P76" i="5"/>
  <c r="S33" i="1"/>
  <c r="S70" i="1"/>
  <c r="S58" i="1"/>
  <c r="S19" i="1"/>
  <c r="S20" i="1"/>
  <c r="S38" i="1"/>
  <c r="S69" i="1"/>
  <c r="S57" i="1"/>
  <c r="S12" i="1"/>
  <c r="S35" i="1"/>
  <c r="S78" i="1"/>
  <c r="S66" i="1"/>
  <c r="S54" i="1"/>
  <c r="S32" i="1"/>
  <c r="S43" i="1"/>
  <c r="S25" i="1"/>
  <c r="S80" i="1"/>
  <c r="S11" i="1"/>
  <c r="S79" i="1"/>
  <c r="S67" i="1"/>
  <c r="S55" i="1"/>
  <c r="S36" i="1"/>
  <c r="S39" i="1"/>
  <c r="S26" i="1"/>
  <c r="S50" i="1"/>
  <c r="S44" i="1"/>
  <c r="S34" i="1"/>
  <c r="S77" i="1"/>
  <c r="S65" i="1"/>
  <c r="S53" i="1"/>
  <c r="S18" i="1"/>
  <c r="S42" i="1"/>
  <c r="S21" i="1"/>
  <c r="S76" i="1"/>
  <c r="S64" i="1"/>
  <c r="S52" i="1"/>
  <c r="S51" i="1"/>
  <c r="S74" i="1"/>
  <c r="S62" i="1"/>
  <c r="S24" i="1"/>
  <c r="S22" i="1"/>
  <c r="S8" i="1"/>
  <c r="S73" i="1"/>
  <c r="S71" i="1"/>
  <c r="S59" i="1"/>
  <c r="S30" i="1"/>
  <c r="S37" i="1"/>
  <c r="S68" i="1"/>
  <c r="S10" i="1"/>
  <c r="S40" i="1"/>
  <c r="S75" i="1"/>
  <c r="S63" i="1"/>
  <c r="S47" i="1"/>
  <c r="S29" i="1"/>
  <c r="S41" i="1"/>
  <c r="S27" i="1"/>
  <c r="S48" i="1"/>
  <c r="S31" i="1"/>
  <c r="S13" i="1"/>
  <c r="S9" i="1"/>
  <c r="S46" i="1"/>
  <c r="S16" i="1"/>
  <c r="S17" i="1"/>
  <c r="S72" i="1"/>
  <c r="S60" i="1"/>
  <c r="S31" i="7"/>
  <c r="S48" i="7"/>
  <c r="S27" i="7"/>
  <c r="S34" i="7"/>
  <c r="S28" i="7"/>
  <c r="S40" i="7"/>
  <c r="S33" i="7"/>
  <c r="S12" i="7"/>
  <c r="S11" i="7"/>
  <c r="S5" i="7"/>
  <c r="P24" i="7"/>
  <c r="S18" i="7"/>
  <c r="S45" i="7"/>
  <c r="S47" i="7"/>
  <c r="S10" i="7"/>
  <c r="P8" i="7"/>
  <c r="P13" i="7"/>
  <c r="P16" i="7"/>
  <c r="S2" i="7"/>
  <c r="S50" i="7"/>
  <c r="P3" i="7"/>
  <c r="S23" i="7"/>
  <c r="S41" i="7"/>
  <c r="S29" i="7"/>
  <c r="S39" i="7"/>
  <c r="S25" i="7"/>
  <c r="S46" i="7"/>
  <c r="S32" i="7"/>
  <c r="S20" i="7"/>
  <c r="S7" i="7"/>
  <c r="P17" i="7"/>
  <c r="S13" i="7"/>
  <c r="S22" i="7"/>
  <c r="P27" i="7"/>
  <c r="S26" i="7"/>
  <c r="S16" i="7"/>
  <c r="S21" i="7"/>
  <c r="S6" i="7"/>
  <c r="S37" i="7"/>
  <c r="S3" i="7"/>
  <c r="S36" i="7"/>
  <c r="S24" i="7"/>
  <c r="P41" i="7"/>
  <c r="S44" i="7"/>
  <c r="P42" i="7"/>
  <c r="S9" i="7"/>
  <c r="S30" i="7"/>
  <c r="S35" i="7"/>
  <c r="P10" i="7"/>
  <c r="S15" i="7"/>
  <c r="S14" i="7"/>
  <c r="S42" i="7"/>
  <c r="S17" i="7"/>
  <c r="S4" i="7"/>
  <c r="P29" i="7"/>
  <c r="P20" i="7"/>
  <c r="S49" i="7"/>
  <c r="S19" i="7"/>
  <c r="S38" i="7"/>
  <c r="P85" i="5"/>
  <c r="S40" i="5"/>
  <c r="S2" i="5"/>
  <c r="P60" i="5"/>
  <c r="P56" i="5"/>
  <c r="P48" i="5"/>
  <c r="P19" i="5"/>
  <c r="P33" i="5"/>
  <c r="P14" i="5"/>
  <c r="P20" i="5"/>
  <c r="P74" i="5"/>
  <c r="P36" i="5"/>
  <c r="S3" i="5"/>
  <c r="P39" i="5"/>
  <c r="P27" i="5"/>
  <c r="P80" i="5"/>
  <c r="P79" i="5"/>
  <c r="P71" i="5"/>
  <c r="P24" i="5"/>
  <c r="P16" i="5"/>
  <c r="P9" i="5"/>
  <c r="P81" i="5"/>
  <c r="P11" i="5"/>
  <c r="P41" i="5"/>
  <c r="P58" i="5"/>
  <c r="P15" i="5"/>
  <c r="P73" i="5"/>
  <c r="P10" i="5"/>
  <c r="P30" i="5"/>
  <c r="P26" i="5"/>
  <c r="P42" i="5"/>
  <c r="P45" i="5"/>
  <c r="P25" i="5"/>
  <c r="P65" i="5"/>
  <c r="P63" i="5"/>
  <c r="P4" i="5"/>
  <c r="P72" i="4"/>
  <c r="P29" i="4"/>
  <c r="P28" i="4"/>
  <c r="P62" i="4"/>
  <c r="S2" i="4"/>
  <c r="P36" i="4"/>
  <c r="P57" i="4"/>
  <c r="P61" i="4"/>
  <c r="P66" i="4"/>
  <c r="P52" i="4"/>
  <c r="P69" i="4"/>
  <c r="P4" i="4"/>
  <c r="P18" i="4"/>
  <c r="P31" i="4"/>
  <c r="S49" i="5"/>
  <c r="P31" i="5"/>
  <c r="P84" i="5"/>
  <c r="P43" i="5"/>
  <c r="P64" i="5"/>
  <c r="P78" i="5"/>
  <c r="S15" i="5"/>
  <c r="P82" i="5"/>
  <c r="P3" i="5"/>
  <c r="P34" i="5"/>
  <c r="P69" i="5"/>
  <c r="P53" i="5"/>
  <c r="P51" i="5"/>
  <c r="P40" i="5"/>
  <c r="P17" i="5"/>
  <c r="P37" i="5"/>
  <c r="S4" i="5"/>
  <c r="P52" i="5"/>
  <c r="P68" i="5"/>
  <c r="P59" i="5"/>
  <c r="P50" i="5"/>
  <c r="P46" i="5"/>
  <c r="P67" i="5"/>
  <c r="P35" i="5"/>
  <c r="P62" i="5"/>
  <c r="P49" i="5"/>
  <c r="P38" i="5"/>
  <c r="S36" i="5"/>
  <c r="P17" i="4"/>
  <c r="P10" i="4"/>
  <c r="P11" i="4"/>
  <c r="P34" i="4"/>
  <c r="P7" i="4"/>
  <c r="P73" i="4"/>
  <c r="P22" i="4"/>
  <c r="P46" i="4"/>
  <c r="P41" i="4"/>
  <c r="P47" i="4"/>
  <c r="P40" i="4"/>
  <c r="P44" i="4"/>
  <c r="P48" i="4"/>
  <c r="P60" i="4"/>
  <c r="P71" i="4"/>
  <c r="P74" i="4"/>
  <c r="P24" i="4"/>
  <c r="P5" i="4"/>
  <c r="P64" i="4"/>
  <c r="P67" i="4"/>
  <c r="P58" i="4"/>
  <c r="P77" i="4"/>
  <c r="P9" i="4"/>
  <c r="P21" i="4"/>
  <c r="P15" i="4"/>
  <c r="P33" i="4"/>
  <c r="P8" i="4"/>
  <c r="P3" i="4"/>
  <c r="P43" i="4"/>
  <c r="P53" i="4"/>
  <c r="P49" i="4"/>
  <c r="P65" i="4"/>
  <c r="P37" i="4"/>
  <c r="P50" i="4"/>
  <c r="P55" i="4"/>
  <c r="P54" i="4"/>
  <c r="P35" i="4"/>
  <c r="P39" i="4"/>
  <c r="P51" i="4"/>
  <c r="P70" i="4"/>
  <c r="P76" i="4"/>
  <c r="P23" i="4"/>
  <c r="P16" i="4"/>
  <c r="P14" i="4"/>
  <c r="P32" i="4"/>
  <c r="P45" i="4"/>
  <c r="P26" i="4"/>
  <c r="P19" i="4"/>
  <c r="P30" i="4"/>
  <c r="P56" i="4"/>
  <c r="P59" i="4"/>
  <c r="P68" i="4"/>
  <c r="P6" i="4"/>
  <c r="P25" i="4"/>
  <c r="P20" i="4"/>
  <c r="P63" i="4"/>
  <c r="P75" i="4"/>
  <c r="P13" i="4"/>
  <c r="P27" i="4"/>
  <c r="P42" i="4"/>
  <c r="P2" i="4"/>
  <c r="P12" i="4"/>
  <c r="P38" i="4"/>
  <c r="P44" i="5"/>
  <c r="S24" i="5"/>
  <c r="P7" i="5"/>
  <c r="P13" i="5"/>
  <c r="P8" i="5"/>
  <c r="S27" i="5"/>
  <c r="P21" i="5"/>
  <c r="P75" i="5"/>
  <c r="P29" i="5"/>
  <c r="P72" i="5"/>
  <c r="P55" i="5"/>
  <c r="P47" i="5"/>
  <c r="P83" i="5"/>
  <c r="S47" i="5"/>
  <c r="S46" i="5"/>
  <c r="P28" i="5"/>
  <c r="P6" i="5"/>
  <c r="P70" i="5"/>
  <c r="P54" i="5"/>
  <c r="S63" i="5"/>
  <c r="P12" i="5"/>
  <c r="P22" i="5"/>
  <c r="P32" i="5"/>
  <c r="P23" i="5"/>
  <c r="P57" i="5"/>
  <c r="P61" i="5"/>
  <c r="S38" i="5"/>
  <c r="S29" i="5"/>
  <c r="S52" i="5"/>
  <c r="S25" i="5"/>
  <c r="S48" i="5"/>
  <c r="S37" i="5"/>
  <c r="S5" i="5"/>
  <c r="S56" i="5"/>
  <c r="S51" i="5"/>
  <c r="S20" i="5"/>
  <c r="S16" i="5"/>
  <c r="S13" i="5"/>
  <c r="S9" i="5"/>
  <c r="S54" i="5"/>
  <c r="S59" i="5"/>
  <c r="S10" i="5"/>
  <c r="S11" i="5"/>
  <c r="S17" i="5"/>
  <c r="S8" i="5"/>
  <c r="S35" i="5"/>
  <c r="S64" i="5"/>
  <c r="S55" i="5"/>
  <c r="S19" i="5"/>
  <c r="S42" i="5"/>
  <c r="S12" i="5"/>
  <c r="S39" i="5"/>
  <c r="S62" i="5"/>
  <c r="S33" i="5"/>
  <c r="S66" i="5"/>
  <c r="S44" i="5"/>
  <c r="S7" i="5"/>
  <c r="S34" i="5"/>
  <c r="S30" i="5"/>
  <c r="S22" i="5"/>
  <c r="S31" i="5"/>
  <c r="S6" i="5"/>
  <c r="S67" i="5"/>
  <c r="S14" i="5"/>
  <c r="S53" i="5"/>
  <c r="S43" i="5"/>
  <c r="S65" i="5"/>
  <c r="S32" i="5"/>
  <c r="S50" i="5"/>
  <c r="S57" i="5"/>
  <c r="S23" i="5"/>
  <c r="S21" i="5"/>
  <c r="S26" i="5"/>
  <c r="S18" i="5"/>
  <c r="S58" i="5"/>
  <c r="S61" i="5"/>
  <c r="S45" i="5"/>
  <c r="S41" i="5"/>
  <c r="S28" i="5"/>
  <c r="S60" i="5"/>
  <c r="S4" i="6"/>
  <c r="S3" i="6"/>
  <c r="S2" i="6"/>
  <c r="P10" i="11"/>
  <c r="P13" i="11"/>
  <c r="S9" i="11"/>
  <c r="S7" i="1"/>
  <c r="P21" i="11" l="1"/>
  <c r="P2" i="11"/>
  <c r="P19" i="11"/>
  <c r="P18" i="11"/>
  <c r="S11" i="11"/>
  <c r="S8" i="11"/>
  <c r="S6" i="11"/>
  <c r="S14" i="11"/>
  <c r="S7" i="11"/>
  <c r="S15" i="11"/>
  <c r="S12" i="11"/>
  <c r="S13" i="11"/>
  <c r="S10" i="11"/>
</calcChain>
</file>

<file path=xl/sharedStrings.xml><?xml version="1.0" encoding="utf-8"?>
<sst xmlns="http://schemas.openxmlformats.org/spreadsheetml/2006/main" count="950" uniqueCount="240">
  <si>
    <t>거래일자</t>
    <phoneticPr fontId="4" type="noConversion"/>
  </si>
  <si>
    <t>종목명</t>
    <phoneticPr fontId="4" type="noConversion"/>
  </si>
  <si>
    <t>한투</t>
    <phoneticPr fontId="4" type="noConversion"/>
  </si>
  <si>
    <t>신협</t>
    <phoneticPr fontId="4" type="noConversion"/>
  </si>
  <si>
    <t>해외투자</t>
    <phoneticPr fontId="4" type="noConversion"/>
  </si>
  <si>
    <t>외화자산</t>
    <phoneticPr fontId="4" type="noConversion"/>
  </si>
  <si>
    <t>계좌</t>
    <phoneticPr fontId="4" type="noConversion"/>
  </si>
  <si>
    <t>나무</t>
    <phoneticPr fontId="4" type="noConversion"/>
  </si>
  <si>
    <t>한증금</t>
    <phoneticPr fontId="4" type="noConversion"/>
  </si>
  <si>
    <t>국내주식</t>
    <phoneticPr fontId="4" type="noConversion"/>
  </si>
  <si>
    <t>롯데케미칼</t>
    <phoneticPr fontId="4" type="noConversion"/>
  </si>
  <si>
    <t>불리오</t>
    <phoneticPr fontId="4" type="noConversion"/>
  </si>
  <si>
    <t>상품</t>
    <phoneticPr fontId="4" type="noConversion"/>
  </si>
  <si>
    <t>외환</t>
    <phoneticPr fontId="4" type="noConversion"/>
  </si>
  <si>
    <t>해외주식</t>
    <phoneticPr fontId="4" type="noConversion"/>
  </si>
  <si>
    <t>해외채권</t>
    <phoneticPr fontId="4" type="noConversion"/>
  </si>
  <si>
    <t>통화</t>
    <phoneticPr fontId="4" type="noConversion"/>
  </si>
  <si>
    <t>원화</t>
    <phoneticPr fontId="4" type="noConversion"/>
  </si>
  <si>
    <t>달러</t>
    <phoneticPr fontId="4" type="noConversion"/>
  </si>
  <si>
    <t>자산군</t>
    <phoneticPr fontId="4" type="noConversion"/>
  </si>
  <si>
    <t>세부자산군</t>
    <phoneticPr fontId="4" type="noConversion"/>
  </si>
  <si>
    <t>현금성</t>
    <phoneticPr fontId="4" type="noConversion"/>
  </si>
  <si>
    <t>단기자금</t>
    <phoneticPr fontId="4" type="noConversion"/>
  </si>
  <si>
    <t>채권</t>
    <phoneticPr fontId="4" type="noConversion"/>
  </si>
  <si>
    <t>주식</t>
    <phoneticPr fontId="4" type="noConversion"/>
  </si>
  <si>
    <t>대체자산</t>
    <phoneticPr fontId="4" type="noConversion"/>
  </si>
  <si>
    <t>평가금액</t>
    <phoneticPr fontId="4" type="noConversion"/>
  </si>
  <si>
    <t>상품명</t>
    <phoneticPr fontId="4" type="noConversion"/>
  </si>
  <si>
    <t>매입비용</t>
    <phoneticPr fontId="4" type="noConversion"/>
  </si>
  <si>
    <t>순수익</t>
    <phoneticPr fontId="4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</si>
  <si>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</si>
  <si>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</si>
  <si>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</si>
  <si>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</si>
  <si>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</si>
  <si>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</si>
  <si>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</si>
  <si>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</si>
  <si>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</si>
  <si>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</si>
  <si>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</si>
  <si>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</si>
  <si>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</si>
  <si>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</si>
  <si>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</si>
  <si>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</si>
  <si>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</si>
  <si>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4" type="noConversion"/>
  </si>
  <si>
    <t>한국투자증권 CMA</t>
    <phoneticPr fontId="4" type="noConversion"/>
  </si>
  <si>
    <t>나무증권 발행어음</t>
    <phoneticPr fontId="4" type="noConversion"/>
  </si>
  <si>
    <t>신협 정기예금 6개월</t>
    <phoneticPr fontId="4" type="noConversion"/>
  </si>
  <si>
    <t>신협 정기예금 1년</t>
    <phoneticPr fontId="4" type="noConversion"/>
  </si>
  <si>
    <t>우리사주 롯데케미칼</t>
    <phoneticPr fontId="4" type="noConversion"/>
  </si>
  <si>
    <t>한국투자증권 불리오계좌 달러예수금</t>
    <phoneticPr fontId="4" type="noConversion"/>
  </si>
  <si>
    <t>매도원금</t>
    <phoneticPr fontId="4" type="noConversion"/>
  </si>
  <si>
    <t>현금수입</t>
    <phoneticPr fontId="4" type="noConversion"/>
  </si>
  <si>
    <t>현금지출</t>
    <phoneticPr fontId="4" type="noConversion"/>
  </si>
  <si>
    <t>매입액</t>
    <phoneticPr fontId="4" type="noConversion"/>
  </si>
  <si>
    <t>매도액</t>
    <phoneticPr fontId="4" type="noConversion"/>
  </si>
  <si>
    <t>이자배당액</t>
    <phoneticPr fontId="4" type="noConversion"/>
  </si>
  <si>
    <t>매도비용</t>
    <phoneticPr fontId="4" type="noConversion"/>
  </si>
  <si>
    <t>매매수익</t>
    <phoneticPr fontId="4" type="noConversion"/>
  </si>
  <si>
    <t>순현금수입</t>
    <phoneticPr fontId="4" type="noConversion"/>
  </si>
  <si>
    <t>누적</t>
    <phoneticPr fontId="4" type="noConversion"/>
  </si>
  <si>
    <t>한국투자증권 직접투자계좌 달러예수금</t>
    <phoneticPr fontId="4" type="noConversion"/>
  </si>
  <si>
    <t>한국투자증권 직접투자계좌 외화RP</t>
    <phoneticPr fontId="4" type="noConversion"/>
  </si>
  <si>
    <t>입출금</t>
    <phoneticPr fontId="4" type="noConversion"/>
  </si>
  <si>
    <t>달러자산</t>
    <phoneticPr fontId="4" type="noConversion"/>
  </si>
  <si>
    <t>달러자산 원화평가</t>
    <phoneticPr fontId="4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</si>
  <si>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</si>
  <si>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</si>
  <si>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</si>
  <si>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</si>
  <si>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</si>
  <si>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</si>
  <si>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</si>
  <si>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</si>
  <si>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</si>
  <si>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</si>
  <si>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</si>
  <si>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</si>
  <si>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</si>
  <si>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</si>
  <si>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</si>
  <si>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</si>
  <si>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</si>
  <si>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</si>
  <si>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</si>
  <si>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</si>
  <si>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</si>
  <si>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</si>
  <si>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</si>
  <si>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</si>
  <si>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</si>
  <si>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</si>
  <si>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</si>
  <si>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</si>
  <si>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</si>
  <si>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</si>
  <si>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</si>
  <si>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</si>
  <si>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</si>
  <si>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</si>
  <si>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</si>
  <si>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</si>
  <si>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</si>
  <si>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</si>
  <si>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</si>
  <si>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</si>
  <si>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</si>
  <si>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</si>
  <si>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</si>
  <si>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</si>
  <si>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</si>
  <si>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</si>
  <si>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</si>
  <si>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</si>
  <si>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</si>
  <si>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</si>
  <si>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</si>
  <si>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</si>
  <si>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</si>
  <si>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</si>
  <si>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</si>
  <si>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</si>
  <si>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</si>
  <si>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</si>
  <si>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</si>
  <si>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</si>
  <si>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</si>
  <si>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</si>
  <si>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</si>
  <si>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</si>
  <si>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</si>
  <si>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</si>
  <si>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</si>
  <si>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</si>
  <si>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</si>
  <si>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</si>
  <si>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</si>
  <si>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</si>
  <si>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</si>
  <si>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</si>
  <si>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</si>
  <si>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</si>
  <si>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</si>
  <si>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</si>
  <si>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</si>
  <si>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</si>
  <si>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</si>
  <si>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</si>
  <si>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</si>
  <si>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</si>
  <si>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</si>
  <si>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</si>
  <si>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</si>
  <si>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</si>
  <si>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</si>
  <si>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</si>
  <si>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</si>
  <si>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</si>
  <si>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035420</t>
    <phoneticPr fontId="4" type="noConversion"/>
  </si>
  <si>
    <t>NAVER</t>
    <phoneticPr fontId="4" type="noConversion"/>
  </si>
  <si>
    <t>MERI_CREDIT_KOIN</t>
    <phoneticPr fontId="4" type="noConversion"/>
  </si>
  <si>
    <t>메리츠캐피탈235-1</t>
    <phoneticPr fontId="4" type="noConversion"/>
  </si>
  <si>
    <t>(약정)한투원화발행어음</t>
    <phoneticPr fontId="4" type="noConversion"/>
  </si>
  <si>
    <t>OVSCP1_KOIN</t>
    <phoneticPr fontId="4" type="noConversion"/>
  </si>
  <si>
    <t>OVSCP2_KOIN</t>
    <phoneticPr fontId="4" type="noConversion"/>
  </si>
  <si>
    <t>CP2_KOIN</t>
    <phoneticPr fontId="4" type="noConversion"/>
  </si>
  <si>
    <t>(약정)한투외화발행어음</t>
    <phoneticPr fontId="4" type="noConversion"/>
  </si>
  <si>
    <t>(수시)한투외화발행어음</t>
    <phoneticPr fontId="4" type="noConversion"/>
  </si>
  <si>
    <t>(수시)한투원화발행어음</t>
    <phoneticPr fontId="4" type="noConversion"/>
  </si>
  <si>
    <t>한국투자증권 직접투자계좌 외화발행어음(약정)</t>
    <phoneticPr fontId="4" type="noConversion"/>
  </si>
  <si>
    <t>한국투자증권 직접투자계좌 외화발행어음(수시)</t>
    <phoneticPr fontId="4" type="noConversion"/>
  </si>
  <si>
    <t>한국투자증권 직접투자계좌 원화발행어음(수시)</t>
    <phoneticPr fontId="4" type="noConversion"/>
  </si>
  <si>
    <t>CP1_KOIN</t>
    <phoneticPr fontId="4" type="noConversion"/>
  </si>
  <si>
    <t>한국투자증권 직접투자계좌 원화발행어음(약정)</t>
    <phoneticPr fontId="4" type="noConversion"/>
  </si>
  <si>
    <t>세부자산군2</t>
    <phoneticPr fontId="4" type="noConversion"/>
  </si>
  <si>
    <t>선진국</t>
    <phoneticPr fontId="4" type="noConversion"/>
  </si>
  <si>
    <t>신흥국</t>
    <phoneticPr fontId="4" type="noConversion"/>
  </si>
  <si>
    <t>하이일드</t>
    <phoneticPr fontId="4" type="noConversion"/>
  </si>
  <si>
    <t>물가연동</t>
    <phoneticPr fontId="4" type="noConversion"/>
  </si>
  <si>
    <t>원자재</t>
    <phoneticPr fontId="4" type="noConversion"/>
  </si>
  <si>
    <t>에너지</t>
    <phoneticPr fontId="4" type="noConversion"/>
  </si>
  <si>
    <t>현금</t>
    <phoneticPr fontId="4" type="noConversion"/>
  </si>
  <si>
    <t>CASH_NAMU</t>
    <phoneticPr fontId="4" type="noConversion"/>
  </si>
  <si>
    <t>한투예수금</t>
    <phoneticPr fontId="4" type="noConversion"/>
  </si>
  <si>
    <t>나무예수금</t>
    <phoneticPr fontId="4" type="noConversion"/>
  </si>
  <si>
    <t>나무증권 원화예수금</t>
    <phoneticPr fontId="4" type="noConversion"/>
  </si>
  <si>
    <t>JPYAST</t>
    <phoneticPr fontId="4" type="noConversion"/>
  </si>
  <si>
    <t>엔화자산</t>
    <phoneticPr fontId="4" type="noConversion"/>
  </si>
  <si>
    <t>엔화자산 원화평가</t>
    <phoneticPr fontId="4" type="noConversion"/>
  </si>
  <si>
    <t>엔화</t>
    <phoneticPr fontId="4" type="noConversion"/>
  </si>
  <si>
    <t>직접운용엔</t>
    <phoneticPr fontId="4" type="noConversion"/>
  </si>
  <si>
    <t>MYWN_KOIN</t>
    <phoneticPr fontId="4" type="noConversion"/>
  </si>
  <si>
    <t>한국투자증권 직접투자계화 엔화예수금</t>
    <phoneticPr fontId="4" type="noConversion"/>
  </si>
  <si>
    <t>일본리츠</t>
    <phoneticPr fontId="4" type="noConversion"/>
  </si>
  <si>
    <t>ISHARES JAPAN REIT ETF</t>
    <phoneticPr fontId="4" type="noConversion"/>
  </si>
  <si>
    <t>부동산</t>
    <phoneticPr fontId="4" type="noConversion"/>
  </si>
  <si>
    <t>외화입출금</t>
    <phoneticPr fontId="4" type="noConversion"/>
  </si>
  <si>
    <t>CASH_KOIN1</t>
    <phoneticPr fontId="4" type="noConversion"/>
  </si>
  <si>
    <t>CASH_KOIN2</t>
    <phoneticPr fontId="4" type="noConversion"/>
  </si>
  <si>
    <t>CASH_KOIN3</t>
    <phoneticPr fontId="4" type="noConversion"/>
  </si>
  <si>
    <t>한투CMA예수금</t>
    <phoneticPr fontId="4" type="noConversion"/>
  </si>
  <si>
    <t>한투ISA예수금</t>
    <phoneticPr fontId="4" type="noConversion"/>
  </si>
  <si>
    <t>한국투자증권 직접투자 원화예수금</t>
    <phoneticPr fontId="4" type="noConversion"/>
  </si>
  <si>
    <t>한국투자증권 CMA 원화예수금</t>
    <phoneticPr fontId="4" type="noConversion"/>
  </si>
  <si>
    <t>한국투자증권 ISA 원화예수금</t>
    <phoneticPr fontId="4" type="noConversion"/>
  </si>
  <si>
    <t>한투CMA</t>
    <phoneticPr fontId="4" type="noConversion"/>
  </si>
  <si>
    <t>한투ISA</t>
    <phoneticPr fontId="4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</si>
  <si>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</si>
  <si>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</si>
  <si>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</si>
  <si>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</si>
  <si>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</si>
  <si>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</si>
  <si>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</si>
  <si>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</si>
  <si>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</si>
  <si>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</si>
  <si>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</si>
  <si>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</si>
  <si>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</si>
  <si>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</si>
  <si>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5월</t>
    <phoneticPr fontId="4" type="noConversion"/>
  </si>
  <si>
    <t>6월</t>
  </si>
  <si>
    <t>7월</t>
  </si>
  <si>
    <t>8월</t>
  </si>
  <si>
    <t>9월</t>
  </si>
  <si>
    <t>10월</t>
  </si>
  <si>
    <t>11월</t>
  </si>
  <si>
    <t>12월</t>
    <phoneticPr fontId="4" type="noConversion"/>
  </si>
  <si>
    <t>급여</t>
    <phoneticPr fontId="4" type="noConversion"/>
  </si>
  <si>
    <t>지출</t>
    <phoneticPr fontId="4" type="noConversion"/>
  </si>
  <si>
    <t>순수입</t>
    <phoneticPr fontId="4" type="noConversion"/>
  </si>
  <si>
    <t>합계</t>
    <phoneticPr fontId="4" type="noConversion"/>
  </si>
  <si>
    <t>비중</t>
    <phoneticPr fontId="4" type="noConversion"/>
  </si>
  <si>
    <t>예상순수입분배</t>
    <phoneticPr fontId="4" type="noConversion"/>
  </si>
  <si>
    <t>1476</t>
  </si>
  <si>
    <t>원화투자지출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</si>
</sst>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_-;\-* #,##0.00_-;_-* &quot;-&quot;_-;_-@_-"/>
    <numFmt numFmtId="177" formatCode="0_);[Red]\(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176" fontId="5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left" vertical="center"/>
    </xf>
    <xf numFmtId="0" fontId="6" fillId="2" borderId="3" xfId="1" applyNumberFormat="1" applyFont="1" applyFill="1" applyBorder="1" applyAlignment="1">
      <alignment horizontal="center" vertical="center"/>
    </xf>
    <xf numFmtId="41" fontId="6" fillId="2" borderId="3" xfId="1" applyNumberFormat="1" applyFont="1" applyFill="1" applyBorder="1" applyAlignment="1">
      <alignment horizontal="center" vertical="center"/>
    </xf>
    <xf numFmtId="41" fontId="6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41" fontId="2" fillId="2" borderId="4" xfId="1" applyFont="1" applyFill="1" applyBorder="1" applyAlignment="1">
      <alignment horizontal="center" vertical="center"/>
    </xf>
    <xf numFmtId="41" fontId="1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>
      <alignment vertical="center"/>
    </xf>
    <xf numFmtId="0" fontId="5" fillId="0" borderId="1" xfId="1" applyNumberFormat="1" applyFont="1" applyFill="1" applyBorder="1">
      <alignment vertical="center"/>
    </xf>
    <xf numFmtId="0" fontId="5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14" fontId="0" fillId="0" borderId="5" xfId="0" applyNumberFormat="1" applyFont="1" applyFill="1" applyBorder="1">
      <alignment vertical="center"/>
    </xf>
    <xf numFmtId="0" fontId="0" fillId="0" borderId="5" xfId="1" applyNumberFormat="1" applyFont="1" applyFill="1" applyBorder="1">
      <alignment vertical="center"/>
    </xf>
    <xf numFmtId="0" fontId="5" fillId="0" borderId="5" xfId="1" applyNumberFormat="1" applyFont="1" applyFill="1" applyBorder="1">
      <alignment vertical="center"/>
    </xf>
    <xf numFmtId="0" fontId="5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7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7" fillId="0" borderId="5" xfId="0" applyNumberFormat="1" applyFont="1" applyFill="1" applyBorder="1">
      <alignment vertical="center"/>
    </xf>
    <xf numFmtId="0" fontId="7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9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9" fillId="0" borderId="0" xfId="1" applyNumberFormat="1" applyFont="1" applyAlignment="1">
      <alignment vertical="center"/>
    </xf>
    <xf numFmtId="176" fontId="10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9" fillId="0" borderId="1" xfId="1" applyNumberFormat="1" applyFont="1" applyFill="1" applyBorder="1">
      <alignment vertical="center"/>
    </xf>
    <xf numFmtId="0" fontId="10" fillId="0" borderId="1" xfId="1" applyNumberFormat="1" applyFont="1" applyFill="1" applyBorder="1">
      <alignment vertical="center"/>
    </xf>
    <xf numFmtId="0" fontId="10" fillId="0" borderId="2" xfId="1" applyNumberFormat="1" applyFont="1" applyFill="1" applyBorder="1">
      <alignment vertical="center"/>
    </xf>
    <xf numFmtId="14" fontId="9" fillId="0" borderId="5" xfId="0" applyNumberFormat="1" applyFont="1" applyFill="1" applyBorder="1">
      <alignment vertical="center"/>
    </xf>
    <xf numFmtId="0" fontId="9" fillId="0" borderId="5" xfId="1" applyNumberFormat="1" applyFont="1" applyFill="1" applyBorder="1">
      <alignment vertical="center"/>
    </xf>
    <xf numFmtId="0" fontId="10" fillId="0" borderId="5" xfId="1" applyNumberFormat="1" applyFont="1" applyFill="1" applyBorder="1">
      <alignment vertical="center"/>
    </xf>
    <xf numFmtId="0" fontId="10" fillId="0" borderId="6" xfId="1" applyNumberFormat="1" applyFont="1" applyFill="1" applyBorder="1">
      <alignment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2" xfId="1" applyNumberFormat="1" applyFont="1" applyFill="1" applyBorder="1">
      <alignment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6" fillId="2" borderId="3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vertical="center"/>
    </xf>
    <xf numFmtId="176" fontId="12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14" fontId="11" fillId="0" borderId="5" xfId="0" applyNumberFormat="1" applyFont="1" applyFill="1" applyBorder="1">
      <alignment vertical="center"/>
    </xf>
    <xf numFmtId="177" fontId="1" fillId="2" borderId="3" xfId="1" applyNumberFormat="1" applyFont="1" applyFill="1" applyBorder="1" applyAlignme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5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6" fillId="2" borderId="3" xfId="1" applyNumberFormat="1" applyFont="1" applyFill="1" applyBorder="1" applyAlignment="1">
      <alignment vertical="center"/>
    </xf>
    <xf numFmtId="0" fontId="6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5" fillId="0" borderId="1" xfId="1" applyNumberFormat="1" applyFont="1" applyFill="1" applyBorder="1" applyAlignment="1">
      <alignment vertical="center"/>
    </xf>
    <xf numFmtId="0" fontId="5" fillId="0" borderId="5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10" fillId="0" borderId="1" xfId="1" applyNumberFormat="1" applyFont="1" applyFill="1" applyBorder="1" applyAlignment="1">
      <alignment vertical="center"/>
    </xf>
    <xf numFmtId="0" fontId="10" fillId="0" borderId="5" xfId="1" applyNumberFormat="1" applyFont="1" applyFill="1" applyBorder="1" applyAlignment="1">
      <alignment vertical="center"/>
    </xf>
    <xf numFmtId="0" fontId="12" fillId="0" borderId="5" xfId="1" applyNumberFormat="1" applyFont="1" applyFill="1" applyBorder="1" applyAlignment="1">
      <alignment vertical="center"/>
    </xf>
    <xf numFmtId="0" fontId="12" fillId="0" borderId="1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4" fillId="0" borderId="0" xfId="1" applyNumberFormat="1" applyFont="1">
      <alignment vertical="center"/>
    </xf>
    <xf numFmtId="0" fontId="14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176" fontId="14" fillId="0" borderId="0" xfId="1" applyNumberFormat="1" applyFont="1" applyAlignment="1">
      <alignment vertical="center"/>
    </xf>
    <xf numFmtId="0" fontId="6" fillId="2" borderId="4" xfId="1" applyNumberFormat="1" applyFont="1" applyFill="1" applyBorder="1" applyAlignment="1">
      <alignment horizontal="center" vertical="center"/>
    </xf>
    <xf numFmtId="0" fontId="0" fillId="0" borderId="0" xfId="1" applyNumberFormat="1" applyFont="1" applyFill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5" xfId="0" applyNumberFormat="1" applyFont="1" applyFill="1" applyBorder="1" applyAlignment="1">
      <alignment horizontal="left" vertical="center"/>
    </xf>
    <xf numFmtId="2" fontId="0" fillId="0" borderId="0" xfId="1" applyNumberFormat="1" applyFont="1">
      <alignment vertical="center"/>
    </xf>
    <xf numFmtId="2" fontId="0" fillId="0" borderId="0" xfId="0" applyNumberFormat="1" applyFill="1">
      <alignment vertical="center"/>
    </xf>
    <xf numFmtId="2" fontId="12" fillId="0" borderId="0" xfId="1" applyNumberFormat="1" applyFont="1" applyFill="1">
      <alignment vertical="center"/>
    </xf>
    <xf numFmtId="2" fontId="5" fillId="0" borderId="0" xfId="1" applyNumberFormat="1" applyFont="1" applyFill="1">
      <alignment vertical="center"/>
    </xf>
    <xf numFmtId="2" fontId="5" fillId="0" borderId="0" xfId="1" applyNumberFormat="1" applyFont="1" applyFill="1" applyAlignment="1">
      <alignment vertical="center"/>
    </xf>
    <xf numFmtId="0" fontId="15" fillId="0" borderId="5" xfId="0" applyNumberFormat="1" applyFont="1" applyFill="1" applyBorder="1" applyAlignment="1">
      <alignment horizontal="center" vertical="center"/>
    </xf>
    <xf numFmtId="0" fontId="16" fillId="0" borderId="5" xfId="1" applyNumberFormat="1" applyFont="1" applyFill="1" applyBorder="1" applyAlignment="1">
      <alignment vertical="center"/>
    </xf>
    <xf numFmtId="14" fontId="15" fillId="0" borderId="5" xfId="0" applyNumberFormat="1" applyFont="1" applyFill="1" applyBorder="1">
      <alignment vertical="center"/>
    </xf>
    <xf numFmtId="0" fontId="15" fillId="0" borderId="5" xfId="1" applyNumberFormat="1" applyFont="1" applyFill="1" applyBorder="1">
      <alignment vertical="center"/>
    </xf>
    <xf numFmtId="0" fontId="16" fillId="0" borderId="5" xfId="1" applyNumberFormat="1" applyFont="1" applyFill="1" applyBorder="1">
      <alignment vertical="center"/>
    </xf>
    <xf numFmtId="0" fontId="16" fillId="0" borderId="6" xfId="1" applyNumberFormat="1" applyFont="1" applyFill="1" applyBorder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2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표3" displayName="표3" ref="A1:I50" totalsRowShown="0">
  <autoFilter ref="A1:I50"/>
  <tableColumns count="9">
    <tableColumn id="8" name="종목코드" dataDxfId="208">
      <calculatedColumnFormula>MID(#REF!,SEARCH("_",#REF!)+1,LEN(#REF!))</calculatedColumnFormula>
    </tableColumn>
    <tableColumn id="9" name="종목명" dataDxfId="207">
      <calculatedColumnFormula>LEFT(#REF!,SEARCH("_",#REF!)-1)</calculatedColumnFormula>
    </tableColumn>
    <tableColumn id="1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CMA_한투183" displayName="CMA_한투183" ref="A1:S6" totalsRowShown="0" headerRowDxfId="27" dataDxfId="26" headerRowCellStyle="쉼표 [0]" dataCellStyle="쉼표 [0]">
  <autoFilter ref="A1:S6"/>
  <tableColumns count="19">
    <tableColumn id="1" name="거래일자" dataDxfId="25"/>
    <tableColumn id="5" name="종목코드" dataDxfId="24"/>
    <tableColumn id="9" name="종목명" dataDxfId="23">
      <calculatedColumnFormula>VLOOKUP(CMA_한투183[[#This Row],[종목코드]],표3[],2,FALSE)</calculatedColumnFormula>
    </tableColumn>
    <tableColumn id="10" name="상품명" dataDxfId="22">
      <calculatedColumnFormula>VLOOKUP(CMA_한투183[[#This Row],[종목코드]],표3[],4,FALSE)</calculatedColumnFormula>
    </tableColumn>
    <tableColumn id="6" name="매입수량" dataDxfId="21"/>
    <tableColumn id="2" name="매입액" dataDxfId="20" dataCellStyle="쉼표 [0]"/>
    <tableColumn id="12" name="현금지출" dataDxfId="19" dataCellStyle="쉼표 [0]"/>
    <tableColumn id="16" name="매입비용" dataDxfId="18" dataCellStyle="쉼표 [0]">
      <calculatedColumnFormula>CMA_한투183[[#This Row],[현금지출]]-CMA_한투183[[#This Row],[매입액]]</calculatedColumnFormula>
    </tableColumn>
    <tableColumn id="7" name="매도수량" dataDxfId="17" dataCellStyle="쉼표 [0]"/>
    <tableColumn id="3" name="매도원금" dataDxfId="16" dataCellStyle="쉼표 [0]"/>
    <tableColumn id="15" name="매도액" dataDxfId="15" dataCellStyle="쉼표 [0]"/>
    <tableColumn id="14" name="이자배당액" dataDxfId="14" dataCellStyle="쉼표 [0]"/>
    <tableColumn id="13" name="현금수입" dataDxfId="13" dataCellStyle="쉼표 [0]"/>
    <tableColumn id="17" name="매매수익" dataDxfId="12" dataCellStyle="쉼표 [0]">
      <calculatedColumnFormula>CMA_한투183[[#This Row],[매도액]]-CMA_한투183[[#This Row],[매도원금]]</calculatedColumnFormula>
    </tableColumn>
    <tableColumn id="18" name="매도비용" dataDxfId="11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10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9" dataCellStyle="쉼표 [0]"/>
    <tableColumn id="21" name="순현금수입" dataDxfId="8" dataCellStyle="쉼표 [0]">
      <calculatedColumnFormula>CMA_한투183[[#This Row],[입출금]]+CMA_한투183[[#This Row],[현금수입]]-CMA_한투183[[#This Row],[현금지출]]</calculatedColumnFormula>
    </tableColumn>
    <tableColumn id="22" name="누적" dataDxfId="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표8" displayName="표8" ref="A1:F387" totalsRowShown="0" headerRowDxfId="6">
  <autoFilter ref="A1:F387"/>
  <tableColumns count="6">
    <tableColumn id="1" name="거래일자" dataDxfId="5"/>
    <tableColumn id="4" name="원화자금유입" dataDxfId="4"/>
    <tableColumn id="2" name="원화투자회수" dataDxfId="3" dataCellStyle="쉼표 [0]"/>
    <tableColumn id="6" name="원화투자지출" dataDxfId="0" dataCellStyle="쉼표 [0]">
      <calculatedColumnFormula>IF(WEEKDAY(표8[[#This Row],[거래일자]])=4, 5000000,0)</calculatedColumnFormula>
    </tableColumn>
    <tableColumn id="3" name="원화자금유출" dataDxfId="2" dataCellStyle="쉼표 [0]"/>
    <tableColumn id="5" name="달러투자회수" dataDxfId="1" dataCellStyle="쉼표 [0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불리오" displayName="불리오" ref="A1:S100" totalsRowShown="0" headerRowDxfId="206" dataDxfId="205" headerRowCellStyle="쉼표 [0]" dataCellStyle="쉼표 [0]">
  <autoFilter ref="A1:S100"/>
  <tableColumns count="19">
    <tableColumn id="1" name="거래일자" dataDxfId="204" totalsRowDxfId="203"/>
    <tableColumn id="4" name="종목코드" dataDxfId="202" totalsRowDxfId="201"/>
    <tableColumn id="9" name="종목명" dataDxfId="200" totalsRowDxfId="199">
      <calculatedColumnFormula>VLOOKUP(불리오[[#This Row],[종목코드]],표3[],2,FALSE)</calculatedColumnFormula>
    </tableColumn>
    <tableColumn id="10" name="상품명" dataDxfId="198" totalsRowDxfId="197">
      <calculatedColumnFormula>VLOOKUP(불리오[[#This Row],[종목코드]],표3[],4,FALSE)</calculatedColumnFormula>
    </tableColumn>
    <tableColumn id="6" name="매입수량" dataDxfId="196" totalsRowDxfId="195"/>
    <tableColumn id="2" name="매입액" dataDxfId="194" totalsRowDxfId="193" dataCellStyle="쉼표 [0]"/>
    <tableColumn id="16" name="현금지출" dataDxfId="192" totalsRowDxfId="191" dataCellStyle="쉼표 [0]"/>
    <tableColumn id="12" name="매입비용" dataDxfId="190" totalsRowDxfId="189" dataCellStyle="쉼표 [0]">
      <calculatedColumnFormula>불리오[[#This Row],[현금지출]]-불리오[[#This Row],[매입액]]</calculatedColumnFormula>
    </tableColumn>
    <tableColumn id="7" name="매도수량" dataDxfId="188" totalsRowDxfId="187" dataCellStyle="쉼표 [0]"/>
    <tableColumn id="3" name="매도원금" dataDxfId="186" totalsRowDxfId="185" dataCellStyle="쉼표 [0]"/>
    <tableColumn id="19" name="매도액" dataDxfId="184" totalsRowDxfId="183" dataCellStyle="쉼표 [0]"/>
    <tableColumn id="14" name="이자배당액" dataDxfId="182" totalsRowDxfId="181" dataCellStyle="쉼표 [0]"/>
    <tableColumn id="17" name="현금수입" dataDxfId="180" totalsRowDxfId="179" dataCellStyle="쉼표 [0]"/>
    <tableColumn id="18" name="매매수익" dataDxfId="178" totalsRowDxfId="177" dataCellStyle="쉼표 [0]">
      <calculatedColumnFormula>불리오[[#This Row],[매도액]]-불리오[[#This Row],[매도원금]]</calculatedColumnFormula>
    </tableColumn>
    <tableColumn id="15" name="매도비용" dataDxfId="176" totalsRow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totalsRowDxfId="173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2" totalsRowDxfId="171" dataCellStyle="쉼표 [0]"/>
    <tableColumn id="22" name="순현금수입" dataDxfId="170" totalsRowDxfId="169" dataCellStyle="쉼표 [0]">
      <calculatedColumnFormula>불리오[[#This Row],[입출금]]+불리오[[#This Row],[현금수입]]-불리오[[#This Row],[현금지출]]</calculatedColumnFormula>
    </tableColumn>
    <tableColumn id="23" name="누적" dataDxfId="168" totalsRowDxfId="16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A1:S89" totalsRowShown="0" headerRowDxfId="166" dataDxfId="164" headerRowBorderDxfId="165" tableBorderDxfId="163" headerRowCellStyle="쉼표 [0]">
  <autoFilter ref="A1:S89"/>
  <tableColumns count="19">
    <tableColumn id="1" name="거래일자" dataDxfId="162"/>
    <tableColumn id="17" name="종목코드" dataDxfId="161"/>
    <tableColumn id="2" name="종목명" dataDxfId="160"/>
    <tableColumn id="3" name="상품명" dataDxfId="159">
      <calculatedColumnFormula>VLOOKUP(표4[[#This Row],[종목명]],표3[],3,FALSE)</calculatedColumnFormula>
    </tableColumn>
    <tableColumn id="18" name="매입수량" dataDxfId="158"/>
    <tableColumn id="4" name="매입액" dataDxfId="157" dataCellStyle="쉼표 [0]"/>
    <tableColumn id="5" name="현금지출" dataDxfId="156" dataCellStyle="쉼표 [0]"/>
    <tableColumn id="6" name="매입비용" dataDxfId="155" dataCellStyle="쉼표 [0]">
      <calculatedColumnFormula>표4[[#This Row],[현금지출]]-표4[[#This Row],[매입액]]</calculatedColumnFormula>
    </tableColumn>
    <tableColumn id="19" name="매도수량" dataDxfId="154" dataCellStyle="쉼표 [0]"/>
    <tableColumn id="7" name="매도원금" dataDxfId="153" dataCellStyle="쉼표 [0]"/>
    <tableColumn id="8" name="매도액" dataDxfId="152" dataCellStyle="쉼표 [0]"/>
    <tableColumn id="9" name="이자배당액" dataDxfId="151" dataCellStyle="쉼표 [0]"/>
    <tableColumn id="10" name="현금수입" dataDxfId="150" dataCellStyle="쉼표 [0]"/>
    <tableColumn id="11" name="매매수익" dataDxfId="149" dataCellStyle="쉼표 [0]">
      <calculatedColumnFormula>표4[[#This Row],[매도액]]-표4[[#This Row],[매도원금]]</calculatedColumnFormula>
    </tableColumn>
    <tableColumn id="12" name="매도비용" dataDxfId="148" dataCellStyle="쉼표 [0]">
      <calculatedColumnFormula>표4[[#This Row],[매도액]]+표4[[#This Row],[이자배당액]]-표4[[#This Row],[현금수입]]</calculatedColumnFormula>
    </tableColumn>
    <tableColumn id="13" name="순수익" dataDxfId="147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46"/>
    <tableColumn id="15" name="순현금수입" dataDxfId="145">
      <calculatedColumnFormula>표4[[#This Row],[입출금]]+표4[[#This Row],[현금수입]]-표4[[#This Row],[현금지출]]</calculatedColumnFormula>
    </tableColumn>
    <tableColumn id="16" name="누적" dataDxfId="144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표4_10" displayName="표4_10" ref="A1:S3" totalsRowShown="0" headerRowDxfId="143" dataDxfId="141" headerRowBorderDxfId="142" tableBorderDxfId="140" headerRowCellStyle="쉼표 [0]">
  <autoFilter ref="A1:S3"/>
  <tableColumns count="19">
    <tableColumn id="1" name="거래일자" dataDxfId="139"/>
    <tableColumn id="17" name="종목코드" dataDxfId="138"/>
    <tableColumn id="2" name="종목명" dataDxfId="137">
      <calculatedColumnFormula>VLOOKUP(표4_10[[#This Row],[종목코드]],표3[],2,FALSE)</calculatedColumnFormula>
    </tableColumn>
    <tableColumn id="3" name="상품명" dataDxfId="136">
      <calculatedColumnFormula>VLOOKUP(표4_10[[#This Row],[종목코드]],표3[],4,FALSE)</calculatedColumnFormula>
    </tableColumn>
    <tableColumn id="18" name="매입수량" dataDxfId="135"/>
    <tableColumn id="4" name="매입액" dataDxfId="134" dataCellStyle="쉼표 [0]"/>
    <tableColumn id="5" name="현금지출" dataDxfId="133" dataCellStyle="쉼표 [0]"/>
    <tableColumn id="6" name="매입비용" dataDxfId="132" dataCellStyle="쉼표 [0]">
      <calculatedColumnFormula>표4_10[[#This Row],[현금지출]]-표4_10[[#This Row],[매입액]]</calculatedColumnFormula>
    </tableColumn>
    <tableColumn id="19" name="매도수량" dataDxfId="131" dataCellStyle="쉼표 [0]"/>
    <tableColumn id="7" name="매도원금" dataDxfId="130" dataCellStyle="쉼표 [0]"/>
    <tableColumn id="8" name="매도액" dataDxfId="129" dataCellStyle="쉼표 [0]"/>
    <tableColumn id="9" name="이자배당액" dataDxfId="128" dataCellStyle="쉼표 [0]"/>
    <tableColumn id="10" name="현금수입" dataDxfId="127" dataCellStyle="쉼표 [0]"/>
    <tableColumn id="11" name="매매수익" dataDxfId="126" dataCellStyle="쉼표 [0]">
      <calculatedColumnFormula>표4_10[[#This Row],[매도액]]-표4_10[[#This Row],[매도원금]]</calculatedColumnFormula>
    </tableColumn>
    <tableColumn id="12" name="매도비용" dataDxfId="125" dataCellStyle="쉼표 [0]">
      <calculatedColumnFormula>표4_10[[#This Row],[매도액]]+표4_10[[#This Row],[이자배당액]]-표4_10[[#This Row],[현금수입]]</calculatedColumnFormula>
    </tableColumn>
    <tableColumn id="13" name="순수익" dataDxfId="124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3"/>
    <tableColumn id="15" name="순현금수입" dataDxfId="122">
      <calculatedColumnFormula>표4_10[[#This Row],[입출금]]+표4_10[[#This Row],[현금수입]]-표4_10[[#This Row],[현금지출]]</calculatedColumnFormula>
    </tableColumn>
    <tableColumn id="16" name="누적" dataDxfId="12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CMA_한투1837" displayName="CMA_한투1837" ref="A1:T9" totalsRowShown="0" headerRowDxfId="120" dataDxfId="119" headerRowCellStyle="쉼표 [0]" dataCellStyle="쉼표 [0]">
  <autoFilter ref="A1:T9"/>
  <tableColumns count="20">
    <tableColumn id="1" name="거래일자" dataDxfId="118" totalsRowDxfId="117"/>
    <tableColumn id="6" name="종목코드" dataDxfId="116" totalsRowDxfId="115"/>
    <tableColumn id="9" name="종목명" dataDxfId="114" totalsRowDxfId="113">
      <calculatedColumnFormula>VLOOKUP(CMA_한투1837[[#This Row],[종목코드]],표3[],2,FALSE)</calculatedColumnFormula>
    </tableColumn>
    <tableColumn id="10" name="상품명" dataDxfId="112" totalsRowDxfId="111">
      <calculatedColumnFormula>VLOOKUP(CMA_한투1837[[#This Row],[종목코드]],표3[],4,FALSE)</calculatedColumnFormula>
    </tableColumn>
    <tableColumn id="7" name="매입수량" dataDxfId="110" totalsRowDxfId="109"/>
    <tableColumn id="2" name="매입액" dataDxfId="108" totalsRowDxfId="107" dataCellStyle="쉼표 [0]"/>
    <tableColumn id="5" name="현금지출" dataDxfId="106" totalsRowDxfId="105" dataCellStyle="쉼표 [0]"/>
    <tableColumn id="16" name="매입비용" dataDxfId="104" totalsRowDxfId="103" dataCellStyle="쉼표 [0]">
      <calculatedColumnFormula>CMA_한투1837[[#This Row],[현금지출]]-CMA_한투1837[[#This Row],[매입액]]</calculatedColumnFormula>
    </tableColumn>
    <tableColumn id="8" name="매도수량" dataDxfId="102" totalsRowDxfId="101" dataCellStyle="쉼표 [0]"/>
    <tableColumn id="3" name="매도원금" dataDxfId="100" totalsRowDxfId="99" dataCellStyle="쉼표 [0]"/>
    <tableColumn id="15" name="매도액" dataDxfId="98" totalsRowDxfId="97" dataCellStyle="쉼표 [0]">
      <calculatedColumnFormula>CMA_한투1837[[#This Row],[이자배당액]]-CMA_한투1837[[#This Row],[현금수입]]-CMA_한투1837[[#This Row],[매도원금]]</calculatedColumnFormula>
    </tableColumn>
    <tableColumn id="14" name="이자배당액" dataDxfId="96" totalsRowDxfId="95" dataCellStyle="쉼표 [0]"/>
    <tableColumn id="13" name="현금수입" dataDxfId="94" totalsRowDxfId="93" dataCellStyle="쉼표 [0]"/>
    <tableColumn id="17" name="매매수익" dataDxfId="92" totalsRowDxfId="91" dataCellStyle="쉼표 [0]">
      <calculatedColumnFormula>CMA_한투1837[[#This Row],[매도액]]-CMA_한투1837[[#This Row],[매도원금]]</calculatedColumnFormula>
    </tableColumn>
    <tableColumn id="18" name="매도비용" dataDxfId="90" totalsRowDxfId="89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88" totalsRowDxfId="87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86" totalsRowDxfId="85" dataCellStyle="쉼표 [0]"/>
    <tableColumn id="21" name="순현금수입" dataDxfId="84" totalsRowDxfId="83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2" totalsRowDxfId="81" dataCellStyle="쉼표 [0]">
      <calculatedColumnFormula>SUM($R$2:R2)</calculatedColumnFormula>
    </tableColumn>
    <tableColumn id="12" name="외화입출금" dataDxfId="80" totalsRowDxfId="79" dataCellStyle="쉼표 [0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MA_한투1838" displayName="CMA_한투1838" ref="A1:S50" totalsRowShown="0" headerRowDxfId="78" dataDxfId="77" headerRowCellStyle="쉼표 [0]" dataCellStyle="쉼표 [0]">
  <autoFilter ref="A1:S50"/>
  <tableColumns count="19">
    <tableColumn id="1" name="거래일자" dataDxfId="76"/>
    <tableColumn id="5" name="종목코드" dataDxfId="75"/>
    <tableColumn id="9" name="종목명" dataDxfId="74">
      <calculatedColumnFormula>VLOOKUP(CMA_한투1838[[#This Row],[종목코드]],표3[],2,FALSE)</calculatedColumnFormula>
    </tableColumn>
    <tableColumn id="10" name="상품명" dataDxfId="73">
      <calculatedColumnFormula>VLOOKUP(CMA_한투1838[[#This Row],[종목코드]],표3[],4,FALSE)</calculatedColumnFormula>
    </tableColumn>
    <tableColumn id="6" name="매입수량" dataDxfId="72"/>
    <tableColumn id="2" name="매입액" dataDxfId="71" dataCellStyle="쉼표 [0]"/>
    <tableColumn id="12" name="현금지출" dataDxfId="70" dataCellStyle="쉼표 [0]"/>
    <tableColumn id="16" name="매입비용" dataDxfId="69" dataCellStyle="쉼표 [0]">
      <calculatedColumnFormula>CMA_한투1838[[#This Row],[현금지출]]-CMA_한투1838[[#This Row],[매입액]]</calculatedColumnFormula>
    </tableColumn>
    <tableColumn id="7" name="매도수량" dataDxfId="68" dataCellStyle="쉼표 [0]"/>
    <tableColumn id="3" name="매도원금" dataDxfId="67" dataCellStyle="쉼표 [0]"/>
    <tableColumn id="15" name="매도액" dataDxfId="66" dataCellStyle="쉼표 [0]"/>
    <tableColumn id="14" name="이자배당액" dataDxfId="65" dataCellStyle="쉼표 [0]"/>
    <tableColumn id="13" name="현금수입" dataDxfId="64" dataCellStyle="쉼표 [0]"/>
    <tableColumn id="17" name="매매수익" dataDxfId="63" dataCellStyle="쉼표 [0]">
      <calculatedColumnFormula>CMA_한투1838[[#This Row],[매도액]]-CMA_한투1838[[#This Row],[매도원금]]</calculatedColumnFormula>
    </tableColumn>
    <tableColumn id="18" name="매도비용" dataDxfId="62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61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60" dataCellStyle="쉼표 [0]"/>
    <tableColumn id="21" name="순현금수입" dataDxfId="59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5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CMA_한투183611" displayName="CMA_한투183611" ref="A1:S24" totalsRowShown="0" headerRowDxfId="57" headerRowCellStyle="쉼표 [0]">
  <autoFilter ref="A1:S24"/>
  <tableColumns count="19">
    <tableColumn id="1" name="거래일자" dataDxfId="56"/>
    <tableColumn id="5" name="종목코드" dataDxfId="55"/>
    <tableColumn id="9" name="종목명" dataDxfId="54">
      <calculatedColumnFormula>VLOOKUP(CMA_한투183611[[#This Row],[종목코드]],표3[],2,FALSE)</calculatedColumnFormula>
    </tableColumn>
    <tableColumn id="10" name="상품명" dataDxfId="53">
      <calculatedColumnFormula>VLOOKUP(CMA_한투183611[[#This Row],[종목코드]],표3[],4,FALSE)</calculatedColumnFormula>
    </tableColumn>
    <tableColumn id="6" name="매입수량" dataDxfId="52"/>
    <tableColumn id="2" name="매입액"/>
    <tableColumn id="12" name="현금지출"/>
    <tableColumn id="16" name="매입비용" dataDxfId="51">
      <calculatedColumnFormula>CMA_한투183611[[#This Row],[현금지출]]-CMA_한투183611[[#This Row],[매입액]]</calculatedColumnFormula>
    </tableColumn>
    <tableColumn id="7" name="매도수량" dataDxfId="5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49">
      <calculatedColumnFormula>CMA_한투183611[[#This Row],[입출금]]+CMA_한투183611[[#This Row],[현금수입]]-CMA_한투183611[[#This Row],[현금지출]]</calculatedColumnFormula>
    </tableColumn>
    <tableColumn id="22" name="누적" dataDxfId="48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CMA_한투1836" displayName="CMA_한투1836" ref="A1:S86" totalsRowShown="0" headerRowDxfId="47" headerRowCellStyle="쉼표 [0]">
  <autoFilter ref="A1:S86"/>
  <tableColumns count="19">
    <tableColumn id="1" name="거래일자" dataDxfId="46"/>
    <tableColumn id="5" name="종목코드" dataDxfId="45"/>
    <tableColumn id="9" name="종목명" dataDxfId="44">
      <calculatedColumnFormula>VLOOKUP(CMA_한투1836[[#This Row],[종목코드]],표3[],2,FALSE)</calculatedColumnFormula>
    </tableColumn>
    <tableColumn id="10" name="상품명" dataDxfId="43">
      <calculatedColumnFormula>VLOOKUP(CMA_한투1836[[#This Row],[종목코드]],표3[],4,FALSE)</calculatedColumnFormula>
    </tableColumn>
    <tableColumn id="6" name="매입수량" dataDxfId="42"/>
    <tableColumn id="2" name="매입액"/>
    <tableColumn id="12" name="현금지출"/>
    <tableColumn id="16" name="매입비용" dataDxfId="41">
      <calculatedColumnFormula>CMA_한투1836[[#This Row],[현금지출]]-CMA_한투1836[[#This Row],[매입액]]</calculatedColumnFormula>
    </tableColumn>
    <tableColumn id="7" name="매도수량" dataDxfId="4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9">
      <calculatedColumnFormula>CMA_한투1836[[#This Row],[입출금]]+CMA_한투1836[[#This Row],[현금수입]]-CMA_한투1836[[#This Row],[현금지출]]</calculatedColumnFormula>
    </tableColumn>
    <tableColumn id="22" name="누적" dataDxfId="38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CMA_한투18361112" displayName="CMA_한투18361112" ref="A1:S8" totalsRowShown="0" headerRowDxfId="37" headerRowCellStyle="쉼표 [0]">
  <autoFilter ref="A1:S8"/>
  <tableColumns count="19">
    <tableColumn id="1" name="거래일자" dataDxfId="36"/>
    <tableColumn id="5" name="종목코드" dataDxfId="35"/>
    <tableColumn id="9" name="종목명" dataDxfId="34">
      <calculatedColumnFormula>VLOOKUP(CMA_한투18361112[[#This Row],[종목코드]],표3[],2,FALSE)</calculatedColumnFormula>
    </tableColumn>
    <tableColumn id="10" name="상품명" dataDxfId="33">
      <calculatedColumnFormula>VLOOKUP(CMA_한투18361112[[#This Row],[종목코드]],표3[],4,FALSE)</calculatedColumnFormula>
    </tableColumn>
    <tableColumn id="6" name="매입수량" dataDxfId="32"/>
    <tableColumn id="2" name="매입액"/>
    <tableColumn id="12" name="현금지출"/>
    <tableColumn id="16" name="매입비용" dataDxfId="31">
      <calculatedColumnFormula>CMA_한투18361112[[#This Row],[현금지출]]-CMA_한투18361112[[#This Row],[매입액]]</calculatedColumnFormula>
    </tableColumn>
    <tableColumn id="7" name="매도수량" dataDxfId="3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29">
      <calculatedColumnFormula>CMA_한투18361112[[#This Row],[입출금]]+CMA_한투18361112[[#This Row],[현금수입]]-CMA_한투18361112[[#This Row],[현금지출]]</calculatedColumnFormula>
    </tableColumn>
    <tableColumn id="22" name="누적" dataDxfId="28">
      <calculatedColumnFormula>SUM($R$2:R2)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0" workbookViewId="0">
      <selection activeCell="A48" sqref="A48"/>
    </sheetView>
  </sheetViews>
  <sheetFormatPr defaultRowHeight="16.5" x14ac:dyDescent="0.3"/>
  <cols>
    <col min="1" max="2" width="15.5" customWidth="1"/>
    <col min="3" max="3" width="9.5" bestFit="1" customWidth="1"/>
    <col min="4" max="4" width="33.875" customWidth="1"/>
    <col min="5" max="7" width="9.375" customWidth="1"/>
    <col min="8" max="8" width="14.375" customWidth="1"/>
    <col min="9" max="9" width="11.375" customWidth="1"/>
  </cols>
  <sheetData>
    <row r="1" spans="1:9" x14ac:dyDescent="0.3">
      <c r="A1" t="s">
        <v>78</v>
      </c>
      <c r="B1" t="s">
        <v>79</v>
      </c>
      <c r="C1" t="s">
        <v>26</v>
      </c>
      <c r="D1" t="s">
        <v>27</v>
      </c>
      <c r="E1" t="s">
        <v>6</v>
      </c>
      <c r="F1" t="s">
        <v>16</v>
      </c>
      <c r="G1" t="s">
        <v>19</v>
      </c>
      <c r="H1" t="s">
        <v>20</v>
      </c>
      <c r="I1" t="s">
        <v>177</v>
      </c>
    </row>
    <row r="2" spans="1:9" x14ac:dyDescent="0.3">
      <c r="A2" t="s">
        <v>114</v>
      </c>
      <c r="B2" t="s">
        <v>91</v>
      </c>
      <c r="D2" t="s">
        <v>40</v>
      </c>
      <c r="E2" t="s">
        <v>11</v>
      </c>
      <c r="F2" t="s">
        <v>18</v>
      </c>
      <c r="G2" t="s">
        <v>25</v>
      </c>
      <c r="H2" t="s">
        <v>12</v>
      </c>
      <c r="I2" t="s">
        <v>182</v>
      </c>
    </row>
    <row r="3" spans="1:9" x14ac:dyDescent="0.3">
      <c r="A3" t="s">
        <v>115</v>
      </c>
      <c r="B3" t="s">
        <v>92</v>
      </c>
      <c r="D3" t="s">
        <v>38</v>
      </c>
      <c r="E3" t="s">
        <v>11</v>
      </c>
      <c r="F3" t="s">
        <v>18</v>
      </c>
      <c r="G3" t="s">
        <v>25</v>
      </c>
      <c r="H3" t="s">
        <v>12</v>
      </c>
      <c r="I3" t="s">
        <v>182</v>
      </c>
    </row>
    <row r="4" spans="1:9" x14ac:dyDescent="0.3">
      <c r="A4" t="s">
        <v>116</v>
      </c>
      <c r="B4" t="s">
        <v>93</v>
      </c>
      <c r="D4" t="s">
        <v>37</v>
      </c>
      <c r="E4" t="s">
        <v>11</v>
      </c>
      <c r="F4" t="s">
        <v>18</v>
      </c>
      <c r="G4" t="s">
        <v>24</v>
      </c>
      <c r="H4" t="s">
        <v>14</v>
      </c>
      <c r="I4" t="s">
        <v>179</v>
      </c>
    </row>
    <row r="5" spans="1:9" x14ac:dyDescent="0.3">
      <c r="A5" t="s">
        <v>117</v>
      </c>
      <c r="B5" t="s">
        <v>94</v>
      </c>
      <c r="D5" t="s">
        <v>77</v>
      </c>
      <c r="E5" t="s">
        <v>11</v>
      </c>
      <c r="F5" t="s">
        <v>18</v>
      </c>
      <c r="G5" t="s">
        <v>24</v>
      </c>
      <c r="H5" t="s">
        <v>14</v>
      </c>
      <c r="I5" t="s">
        <v>179</v>
      </c>
    </row>
    <row r="6" spans="1:9" x14ac:dyDescent="0.3">
      <c r="A6" t="s">
        <v>118</v>
      </c>
      <c r="B6" t="s">
        <v>95</v>
      </c>
      <c r="D6" t="s">
        <v>31</v>
      </c>
      <c r="E6" t="s">
        <v>11</v>
      </c>
      <c r="F6" t="s">
        <v>18</v>
      </c>
      <c r="G6" t="s">
        <v>24</v>
      </c>
      <c r="H6" t="s">
        <v>14</v>
      </c>
      <c r="I6" t="s">
        <v>179</v>
      </c>
    </row>
    <row r="7" spans="1:9" x14ac:dyDescent="0.3">
      <c r="A7" t="s">
        <v>119</v>
      </c>
      <c r="B7" t="s">
        <v>96</v>
      </c>
      <c r="D7" t="s">
        <v>32</v>
      </c>
      <c r="E7" t="s">
        <v>11</v>
      </c>
      <c r="F7" t="s">
        <v>18</v>
      </c>
      <c r="G7" t="s">
        <v>24</v>
      </c>
      <c r="H7" t="s">
        <v>14</v>
      </c>
      <c r="I7" t="s">
        <v>178</v>
      </c>
    </row>
    <row r="8" spans="1:9" x14ac:dyDescent="0.3">
      <c r="A8" t="s">
        <v>120</v>
      </c>
      <c r="B8" t="s">
        <v>97</v>
      </c>
      <c r="D8" t="s">
        <v>33</v>
      </c>
      <c r="E8" t="s">
        <v>11</v>
      </c>
      <c r="F8" t="s">
        <v>18</v>
      </c>
      <c r="G8" t="s">
        <v>24</v>
      </c>
      <c r="H8" t="s">
        <v>14</v>
      </c>
      <c r="I8" t="s">
        <v>179</v>
      </c>
    </row>
    <row r="9" spans="1:9" x14ac:dyDescent="0.3">
      <c r="A9" t="s">
        <v>121</v>
      </c>
      <c r="B9" t="s">
        <v>98</v>
      </c>
      <c r="D9" t="s">
        <v>35</v>
      </c>
      <c r="E9" t="s">
        <v>11</v>
      </c>
      <c r="F9" t="s">
        <v>18</v>
      </c>
      <c r="G9" t="s">
        <v>24</v>
      </c>
      <c r="H9" t="s">
        <v>14</v>
      </c>
      <c r="I9" t="s">
        <v>178</v>
      </c>
    </row>
    <row r="10" spans="1:9" x14ac:dyDescent="0.3">
      <c r="A10" t="s">
        <v>122</v>
      </c>
      <c r="B10" t="s">
        <v>99</v>
      </c>
      <c r="D10" t="s">
        <v>34</v>
      </c>
      <c r="E10" t="s">
        <v>11</v>
      </c>
      <c r="F10" t="s">
        <v>18</v>
      </c>
      <c r="G10" t="s">
        <v>24</v>
      </c>
      <c r="H10" t="s">
        <v>14</v>
      </c>
      <c r="I10" t="s">
        <v>179</v>
      </c>
    </row>
    <row r="11" spans="1:9" x14ac:dyDescent="0.3">
      <c r="A11" t="s">
        <v>123</v>
      </c>
      <c r="B11" t="s">
        <v>100</v>
      </c>
      <c r="D11" t="s">
        <v>39</v>
      </c>
      <c r="E11" t="s">
        <v>11</v>
      </c>
      <c r="F11" t="s">
        <v>18</v>
      </c>
      <c r="G11" t="s">
        <v>24</v>
      </c>
      <c r="H11" t="s">
        <v>14</v>
      </c>
      <c r="I11" t="s">
        <v>179</v>
      </c>
    </row>
    <row r="12" spans="1:9" x14ac:dyDescent="0.3">
      <c r="A12" t="s">
        <v>124</v>
      </c>
      <c r="B12" t="s">
        <v>101</v>
      </c>
      <c r="D12" t="s">
        <v>41</v>
      </c>
      <c r="E12" t="s">
        <v>11</v>
      </c>
      <c r="F12" t="s">
        <v>18</v>
      </c>
      <c r="G12" t="s">
        <v>24</v>
      </c>
      <c r="H12" t="s">
        <v>14</v>
      </c>
      <c r="I12" t="s">
        <v>178</v>
      </c>
    </row>
    <row r="13" spans="1:9" x14ac:dyDescent="0.3">
      <c r="A13" t="s">
        <v>125</v>
      </c>
      <c r="B13" t="s">
        <v>102</v>
      </c>
      <c r="D13" t="s">
        <v>45</v>
      </c>
      <c r="E13" t="s">
        <v>11</v>
      </c>
      <c r="F13" t="s">
        <v>18</v>
      </c>
      <c r="G13" t="s">
        <v>23</v>
      </c>
      <c r="H13" t="s">
        <v>15</v>
      </c>
      <c r="I13" t="s">
        <v>178</v>
      </c>
    </row>
    <row r="14" spans="1:9" x14ac:dyDescent="0.3">
      <c r="A14" t="s">
        <v>126</v>
      </c>
      <c r="B14" t="s">
        <v>103</v>
      </c>
      <c r="D14" t="s">
        <v>44</v>
      </c>
      <c r="E14" t="s">
        <v>11</v>
      </c>
      <c r="F14" t="s">
        <v>18</v>
      </c>
      <c r="G14" t="s">
        <v>24</v>
      </c>
      <c r="H14" t="s">
        <v>14</v>
      </c>
      <c r="I14" t="s">
        <v>178</v>
      </c>
    </row>
    <row r="15" spans="1:9" x14ac:dyDescent="0.3">
      <c r="A15" t="s">
        <v>127</v>
      </c>
      <c r="B15" t="s">
        <v>104</v>
      </c>
      <c r="D15" t="s">
        <v>42</v>
      </c>
      <c r="E15" t="s">
        <v>11</v>
      </c>
      <c r="F15" t="s">
        <v>18</v>
      </c>
      <c r="G15" t="s">
        <v>23</v>
      </c>
      <c r="H15" t="s">
        <v>15</v>
      </c>
      <c r="I15" t="s">
        <v>180</v>
      </c>
    </row>
    <row r="16" spans="1:9" x14ac:dyDescent="0.3">
      <c r="A16" t="s">
        <v>128</v>
      </c>
      <c r="B16" t="s">
        <v>105</v>
      </c>
      <c r="D16" t="s">
        <v>43</v>
      </c>
      <c r="E16" t="s">
        <v>11</v>
      </c>
      <c r="F16" t="s">
        <v>18</v>
      </c>
      <c r="G16" t="s">
        <v>23</v>
      </c>
      <c r="H16" t="s">
        <v>15</v>
      </c>
      <c r="I16" t="s">
        <v>181</v>
      </c>
    </row>
    <row r="17" spans="1:9" x14ac:dyDescent="0.3">
      <c r="A17" t="s">
        <v>129</v>
      </c>
      <c r="B17" t="s">
        <v>106</v>
      </c>
      <c r="D17" t="s">
        <v>46</v>
      </c>
      <c r="E17" t="s">
        <v>11</v>
      </c>
      <c r="F17" t="s">
        <v>18</v>
      </c>
      <c r="G17" t="s">
        <v>23</v>
      </c>
      <c r="H17" t="s">
        <v>15</v>
      </c>
      <c r="I17" t="s">
        <v>179</v>
      </c>
    </row>
    <row r="18" spans="1:9" x14ac:dyDescent="0.3">
      <c r="A18" s="5" t="s">
        <v>142</v>
      </c>
      <c r="B18" s="5" t="s">
        <v>145</v>
      </c>
      <c r="D18" t="s">
        <v>144</v>
      </c>
      <c r="E18" t="s">
        <v>147</v>
      </c>
      <c r="F18" t="s">
        <v>148</v>
      </c>
      <c r="G18" t="s">
        <v>138</v>
      </c>
      <c r="H18" t="s">
        <v>139</v>
      </c>
      <c r="I18" t="s">
        <v>179</v>
      </c>
    </row>
    <row r="19" spans="1:9" x14ac:dyDescent="0.3">
      <c r="A19" t="s">
        <v>130</v>
      </c>
      <c r="B19" t="s">
        <v>107</v>
      </c>
      <c r="D19" t="s">
        <v>36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</row>
    <row r="20" spans="1:9" x14ac:dyDescent="0.3">
      <c r="A20" t="s">
        <v>131</v>
      </c>
      <c r="B20" t="s">
        <v>108</v>
      </c>
      <c r="D20" t="s">
        <v>30</v>
      </c>
      <c r="E20" t="s">
        <v>11</v>
      </c>
      <c r="F20" t="s">
        <v>18</v>
      </c>
      <c r="G20" t="s">
        <v>24</v>
      </c>
      <c r="H20" t="s">
        <v>14</v>
      </c>
      <c r="I20" t="s">
        <v>178</v>
      </c>
    </row>
    <row r="21" spans="1:9" x14ac:dyDescent="0.3">
      <c r="A21" s="5" t="s">
        <v>141</v>
      </c>
      <c r="B21" s="5" t="s">
        <v>146</v>
      </c>
      <c r="D21" t="s">
        <v>143</v>
      </c>
      <c r="E21" t="s">
        <v>147</v>
      </c>
      <c r="F21" t="s">
        <v>148</v>
      </c>
      <c r="G21" t="s">
        <v>76</v>
      </c>
      <c r="H21" t="s">
        <v>149</v>
      </c>
      <c r="I21" t="s">
        <v>183</v>
      </c>
    </row>
    <row r="22" spans="1:9" x14ac:dyDescent="0.3">
      <c r="A22" s="60" t="s">
        <v>80</v>
      </c>
      <c r="B22" t="s">
        <v>10</v>
      </c>
      <c r="D22" t="s">
        <v>52</v>
      </c>
      <c r="E22" t="s">
        <v>8</v>
      </c>
      <c r="F22" t="s">
        <v>17</v>
      </c>
      <c r="G22" t="s">
        <v>24</v>
      </c>
      <c r="H22" t="s">
        <v>9</v>
      </c>
    </row>
    <row r="23" spans="1:9" x14ac:dyDescent="0.3">
      <c r="A23" t="s">
        <v>81</v>
      </c>
      <c r="B23" t="s">
        <v>151</v>
      </c>
      <c r="D23" t="s">
        <v>49</v>
      </c>
      <c r="E23" t="s">
        <v>7</v>
      </c>
      <c r="F23" t="s">
        <v>17</v>
      </c>
      <c r="G23" t="s">
        <v>138</v>
      </c>
      <c r="H23" t="s">
        <v>140</v>
      </c>
    </row>
    <row r="24" spans="1:9" x14ac:dyDescent="0.3">
      <c r="A24" t="s">
        <v>82</v>
      </c>
      <c r="B24" t="s">
        <v>136</v>
      </c>
      <c r="D24" t="s">
        <v>47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</row>
    <row r="25" spans="1:9" x14ac:dyDescent="0.3">
      <c r="A25" t="s">
        <v>83</v>
      </c>
      <c r="B25" t="s">
        <v>67</v>
      </c>
      <c r="D25" t="s">
        <v>68</v>
      </c>
      <c r="E25" t="s">
        <v>2</v>
      </c>
      <c r="F25" t="s">
        <v>17</v>
      </c>
      <c r="G25" t="s">
        <v>5</v>
      </c>
      <c r="H25" t="s">
        <v>4</v>
      </c>
    </row>
    <row r="26" spans="1:9" x14ac:dyDescent="0.3">
      <c r="A26" s="5" t="s">
        <v>189</v>
      </c>
      <c r="B26" s="5" t="s">
        <v>190</v>
      </c>
      <c r="D26" t="s">
        <v>191</v>
      </c>
      <c r="E26" t="s">
        <v>2</v>
      </c>
      <c r="F26" t="s">
        <v>17</v>
      </c>
      <c r="G26" t="s">
        <v>5</v>
      </c>
      <c r="H26" t="s">
        <v>4</v>
      </c>
    </row>
    <row r="27" spans="1:9" x14ac:dyDescent="0.3">
      <c r="A27" s="5" t="s">
        <v>185</v>
      </c>
      <c r="B27" s="5" t="s">
        <v>187</v>
      </c>
      <c r="D27" t="s">
        <v>188</v>
      </c>
      <c r="E27" t="s">
        <v>7</v>
      </c>
      <c r="F27" t="s">
        <v>17</v>
      </c>
      <c r="G27" t="s">
        <v>21</v>
      </c>
      <c r="H27" t="s">
        <v>17</v>
      </c>
      <c r="I27" t="s">
        <v>184</v>
      </c>
    </row>
    <row r="28" spans="1:9" x14ac:dyDescent="0.3">
      <c r="A28" s="5" t="s">
        <v>200</v>
      </c>
      <c r="B28" s="5" t="s">
        <v>186</v>
      </c>
      <c r="D28" t="s">
        <v>205</v>
      </c>
      <c r="E28" t="s">
        <v>2</v>
      </c>
      <c r="F28" t="s">
        <v>17</v>
      </c>
      <c r="G28" t="s">
        <v>21</v>
      </c>
      <c r="H28" t="s">
        <v>17</v>
      </c>
      <c r="I28" t="s">
        <v>184</v>
      </c>
    </row>
    <row r="29" spans="1:9" x14ac:dyDescent="0.3">
      <c r="A29" s="5" t="s">
        <v>201</v>
      </c>
      <c r="B29" s="5" t="s">
        <v>203</v>
      </c>
      <c r="D29" t="s">
        <v>206</v>
      </c>
      <c r="E29" t="s">
        <v>208</v>
      </c>
      <c r="F29" t="s">
        <v>17</v>
      </c>
      <c r="G29" t="s">
        <v>21</v>
      </c>
      <c r="H29" t="s">
        <v>17</v>
      </c>
      <c r="I29" t="s">
        <v>184</v>
      </c>
    </row>
    <row r="30" spans="1:9" x14ac:dyDescent="0.3">
      <c r="A30" s="5" t="s">
        <v>202</v>
      </c>
      <c r="B30" s="5" t="s">
        <v>204</v>
      </c>
      <c r="D30" t="s">
        <v>207</v>
      </c>
      <c r="E30" t="s">
        <v>209</v>
      </c>
      <c r="F30" t="s">
        <v>17</v>
      </c>
      <c r="G30" t="s">
        <v>21</v>
      </c>
      <c r="H30" t="s">
        <v>17</v>
      </c>
      <c r="I30" t="s">
        <v>184</v>
      </c>
    </row>
    <row r="31" spans="1:9" x14ac:dyDescent="0.3">
      <c r="A31" t="s">
        <v>84</v>
      </c>
      <c r="B31" t="s">
        <v>109</v>
      </c>
      <c r="D31" t="s">
        <v>51</v>
      </c>
      <c r="E31" t="s">
        <v>3</v>
      </c>
      <c r="F31" t="s">
        <v>17</v>
      </c>
      <c r="G31" t="s">
        <v>138</v>
      </c>
      <c r="H31" t="s">
        <v>140</v>
      </c>
    </row>
    <row r="32" spans="1:9" x14ac:dyDescent="0.3">
      <c r="A32" t="s">
        <v>85</v>
      </c>
      <c r="B32" t="s">
        <v>110</v>
      </c>
      <c r="D32" t="s">
        <v>50</v>
      </c>
      <c r="E32" t="s">
        <v>3</v>
      </c>
      <c r="F32" t="s">
        <v>17</v>
      </c>
      <c r="G32" t="s">
        <v>138</v>
      </c>
      <c r="H32" t="s">
        <v>140</v>
      </c>
    </row>
    <row r="33" spans="1:9" x14ac:dyDescent="0.3">
      <c r="A33" t="s">
        <v>86</v>
      </c>
      <c r="B33" t="s">
        <v>111</v>
      </c>
      <c r="D33" t="s">
        <v>69</v>
      </c>
      <c r="E33" t="s">
        <v>70</v>
      </c>
      <c r="F33" t="s">
        <v>71</v>
      </c>
      <c r="G33" t="s">
        <v>72</v>
      </c>
      <c r="H33" t="s">
        <v>73</v>
      </c>
    </row>
    <row r="34" spans="1:9" x14ac:dyDescent="0.3">
      <c r="A34" t="s">
        <v>87</v>
      </c>
      <c r="B34" t="s">
        <v>137</v>
      </c>
      <c r="D34" t="s">
        <v>48</v>
      </c>
      <c r="E34" t="s">
        <v>208</v>
      </c>
      <c r="F34" t="s">
        <v>17</v>
      </c>
      <c r="G34" t="s">
        <v>21</v>
      </c>
      <c r="H34" t="s">
        <v>17</v>
      </c>
      <c r="I34" t="s">
        <v>22</v>
      </c>
    </row>
    <row r="35" spans="1:9" x14ac:dyDescent="0.3">
      <c r="A35" t="s">
        <v>88</v>
      </c>
      <c r="B35" t="s">
        <v>112</v>
      </c>
      <c r="D35" t="s">
        <v>53</v>
      </c>
      <c r="E35" t="s">
        <v>11</v>
      </c>
      <c r="F35" t="s">
        <v>18</v>
      </c>
      <c r="G35" t="s">
        <v>21</v>
      </c>
      <c r="H35" t="s">
        <v>13</v>
      </c>
      <c r="I35" t="s">
        <v>184</v>
      </c>
    </row>
    <row r="36" spans="1:9" x14ac:dyDescent="0.3">
      <c r="A36" t="s">
        <v>89</v>
      </c>
      <c r="B36" t="s">
        <v>113</v>
      </c>
      <c r="D36" t="s">
        <v>64</v>
      </c>
      <c r="E36" t="s">
        <v>2</v>
      </c>
      <c r="F36" t="s">
        <v>18</v>
      </c>
      <c r="G36" t="s">
        <v>21</v>
      </c>
      <c r="H36" t="s">
        <v>13</v>
      </c>
      <c r="I36" t="s">
        <v>184</v>
      </c>
    </row>
    <row r="37" spans="1:9" x14ac:dyDescent="0.3">
      <c r="A37" s="5" t="s">
        <v>194</v>
      </c>
      <c r="B37" s="5" t="s">
        <v>193</v>
      </c>
      <c r="D37" t="s">
        <v>195</v>
      </c>
      <c r="E37" t="s">
        <v>2</v>
      </c>
      <c r="F37" t="s">
        <v>192</v>
      </c>
      <c r="G37" t="s">
        <v>21</v>
      </c>
      <c r="H37" t="s">
        <v>13</v>
      </c>
      <c r="I37" t="s">
        <v>184</v>
      </c>
    </row>
    <row r="38" spans="1:9" x14ac:dyDescent="0.3">
      <c r="A38" t="s">
        <v>90</v>
      </c>
      <c r="B38" t="s">
        <v>150</v>
      </c>
      <c r="D38" t="s">
        <v>65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</row>
    <row r="39" spans="1:9" x14ac:dyDescent="0.3">
      <c r="A39" t="s">
        <v>166</v>
      </c>
      <c r="B39" t="s">
        <v>169</v>
      </c>
      <c r="D39" t="s">
        <v>172</v>
      </c>
      <c r="E39" t="s">
        <v>2</v>
      </c>
      <c r="F39" t="s">
        <v>18</v>
      </c>
      <c r="G39" t="s">
        <v>138</v>
      </c>
      <c r="H39" t="s">
        <v>139</v>
      </c>
    </row>
    <row r="40" spans="1:9" x14ac:dyDescent="0.3">
      <c r="A40" t="s">
        <v>167</v>
      </c>
      <c r="B40" s="5" t="s">
        <v>170</v>
      </c>
      <c r="D40" t="s">
        <v>173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</row>
    <row r="41" spans="1:9" x14ac:dyDescent="0.3">
      <c r="A41" s="5" t="s">
        <v>168</v>
      </c>
      <c r="B41" s="5" t="s">
        <v>171</v>
      </c>
      <c r="D41" t="s">
        <v>174</v>
      </c>
      <c r="E41" t="s">
        <v>2</v>
      </c>
      <c r="F41" t="s">
        <v>71</v>
      </c>
      <c r="G41" t="s">
        <v>21</v>
      </c>
      <c r="H41" t="s">
        <v>17</v>
      </c>
      <c r="I41" t="s">
        <v>22</v>
      </c>
    </row>
    <row r="42" spans="1:9" x14ac:dyDescent="0.3">
      <c r="A42" s="5" t="s">
        <v>175</v>
      </c>
      <c r="B42" s="5" t="s">
        <v>165</v>
      </c>
      <c r="D42" t="s">
        <v>176</v>
      </c>
      <c r="E42" t="s">
        <v>2</v>
      </c>
      <c r="F42" t="s">
        <v>71</v>
      </c>
      <c r="G42" t="s">
        <v>138</v>
      </c>
      <c r="H42" t="s">
        <v>140</v>
      </c>
    </row>
    <row r="43" spans="1:9" x14ac:dyDescent="0.3">
      <c r="A43" s="5" t="s">
        <v>152</v>
      </c>
      <c r="B43" s="5" t="s">
        <v>153</v>
      </c>
      <c r="D43" t="s">
        <v>160</v>
      </c>
      <c r="E43" t="s">
        <v>2</v>
      </c>
      <c r="F43" t="s">
        <v>18</v>
      </c>
      <c r="G43" t="s">
        <v>23</v>
      </c>
      <c r="H43" t="s">
        <v>15</v>
      </c>
    </row>
    <row r="44" spans="1:9" x14ac:dyDescent="0.3">
      <c r="A44" s="5" t="s">
        <v>155</v>
      </c>
      <c r="B44" s="5" t="s">
        <v>154</v>
      </c>
      <c r="D44" t="s">
        <v>154</v>
      </c>
      <c r="E44" t="s">
        <v>209</v>
      </c>
      <c r="F44" t="s">
        <v>71</v>
      </c>
      <c r="G44" t="s">
        <v>138</v>
      </c>
      <c r="H44" t="s">
        <v>140</v>
      </c>
    </row>
    <row r="45" spans="1:9" x14ac:dyDescent="0.3">
      <c r="A45" s="5" t="s">
        <v>157</v>
      </c>
      <c r="B45" s="5" t="s">
        <v>156</v>
      </c>
      <c r="D45" t="s">
        <v>158</v>
      </c>
      <c r="E45" t="s">
        <v>11</v>
      </c>
      <c r="F45" t="s">
        <v>18</v>
      </c>
      <c r="G45" t="s">
        <v>24</v>
      </c>
      <c r="H45" t="s">
        <v>14</v>
      </c>
      <c r="I45" t="s">
        <v>178</v>
      </c>
    </row>
    <row r="46" spans="1:9" x14ac:dyDescent="0.3">
      <c r="A46" s="60" t="s">
        <v>161</v>
      </c>
      <c r="B46" s="5" t="s">
        <v>162</v>
      </c>
      <c r="D46" t="s">
        <v>162</v>
      </c>
      <c r="E46" t="s">
        <v>2</v>
      </c>
      <c r="F46" t="s">
        <v>17</v>
      </c>
      <c r="G46" t="s">
        <v>24</v>
      </c>
      <c r="H46" t="s">
        <v>9</v>
      </c>
    </row>
    <row r="47" spans="1:9" x14ac:dyDescent="0.3">
      <c r="A47" s="5" t="s">
        <v>163</v>
      </c>
      <c r="B47" s="5" t="s">
        <v>164</v>
      </c>
      <c r="D47" s="5" t="s">
        <v>164</v>
      </c>
      <c r="E47" t="s">
        <v>209</v>
      </c>
      <c r="F47" t="s">
        <v>17</v>
      </c>
      <c r="G47" t="s">
        <v>138</v>
      </c>
      <c r="H47" t="s">
        <v>140</v>
      </c>
    </row>
    <row r="48" spans="1:9" x14ac:dyDescent="0.3">
      <c r="A48" s="60" t="s">
        <v>238</v>
      </c>
      <c r="B48" s="5" t="s">
        <v>196</v>
      </c>
      <c r="D48" t="s">
        <v>197</v>
      </c>
      <c r="E48" t="s">
        <v>2</v>
      </c>
      <c r="F48" t="s">
        <v>192</v>
      </c>
      <c r="G48" t="s">
        <v>25</v>
      </c>
      <c r="H48" t="s">
        <v>198</v>
      </c>
      <c r="I48" t="s">
        <v>198</v>
      </c>
    </row>
    <row r="49" spans="1:9" x14ac:dyDescent="0.3">
      <c r="A49" s="60" t="s">
        <v>210</v>
      </c>
      <c r="B49" s="5" t="s">
        <v>211</v>
      </c>
      <c r="D49" t="s">
        <v>211</v>
      </c>
      <c r="E49" t="s">
        <v>212</v>
      </c>
      <c r="F49" t="s">
        <v>71</v>
      </c>
      <c r="G49" t="s">
        <v>72</v>
      </c>
      <c r="H49" t="s">
        <v>73</v>
      </c>
    </row>
    <row r="50" spans="1:9" x14ac:dyDescent="0.3">
      <c r="A50" s="5" t="s">
        <v>213</v>
      </c>
      <c r="B50" s="5" t="s">
        <v>214</v>
      </c>
      <c r="D50" t="s">
        <v>215</v>
      </c>
      <c r="E50" t="s">
        <v>212</v>
      </c>
      <c r="F50" t="s">
        <v>148</v>
      </c>
      <c r="G50" t="s">
        <v>76</v>
      </c>
      <c r="H50" t="s">
        <v>149</v>
      </c>
      <c r="I50" t="s">
        <v>92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S6" sqref="S6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75" customWidth="1"/>
    <col min="6" max="6" width="9" style="7" bestFit="1" customWidth="1"/>
    <col min="7" max="8" width="10.625" style="5" bestFit="1" customWidth="1"/>
    <col min="9" max="9" width="10.625" style="7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75" t="s">
        <v>133</v>
      </c>
      <c r="F1" s="16" t="s">
        <v>57</v>
      </c>
      <c r="G1" s="16" t="s">
        <v>56</v>
      </c>
      <c r="H1" s="16" t="s">
        <v>28</v>
      </c>
      <c r="I1" s="76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19" x14ac:dyDescent="0.3">
      <c r="A2" s="3">
        <v>44927</v>
      </c>
      <c r="B2" s="1" t="s">
        <v>80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75">
        <v>70</v>
      </c>
      <c r="F2" s="7">
        <v>10010000</v>
      </c>
      <c r="G2" s="8">
        <v>10010000</v>
      </c>
      <c r="H2" s="8">
        <f>CMA_한투183[[#This Row],[현금지출]]-CMA_한투183[[#This Row],[매입액]]</f>
        <v>0</v>
      </c>
      <c r="I2" s="13"/>
      <c r="K2" s="7"/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10010000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  <row r="3" spans="1:19" x14ac:dyDescent="0.3">
      <c r="A3" s="3">
        <v>44927</v>
      </c>
      <c r="B3" s="1" t="s">
        <v>85</v>
      </c>
      <c r="C3" s="1" t="str">
        <f>VLOOKUP(CMA_한투183[[#This Row],[종목코드]],표3[],2,FALSE)</f>
        <v>예금6m</v>
      </c>
      <c r="D3" s="9" t="str">
        <f>VLOOKUP(CMA_한투183[[#This Row],[종목코드]],표3[],4,FALSE)</f>
        <v>신협 정기예금 6개월</v>
      </c>
      <c r="E3" s="75">
        <v>1</v>
      </c>
      <c r="F3" s="7">
        <v>10000000</v>
      </c>
      <c r="G3" s="8">
        <v>10000000</v>
      </c>
      <c r="H3" s="8">
        <f>CMA_한투183[[#This Row],[현금지출]]-CMA_한투183[[#This Row],[매입액]]</f>
        <v>0</v>
      </c>
      <c r="I3" s="13"/>
      <c r="K3" s="7"/>
      <c r="M3" s="7">
        <v>0</v>
      </c>
      <c r="N3" s="8">
        <f>CMA_한투183[[#This Row],[매도액]]-CMA_한투183[[#This Row],[매도원금]]</f>
        <v>0</v>
      </c>
      <c r="O3" s="8">
        <f>CMA_한투183[[#This Row],[매도액]]+CMA_한투183[[#This Row],[이자배당액]]-CMA_한투183[[#This Row],[현금수입]]</f>
        <v>0</v>
      </c>
      <c r="P3" s="8">
        <f>CMA_한투183[[#This Row],[매매수익]]+CMA_한투183[[#This Row],[이자배당액]]-CMA_한투183[[#This Row],[매도비용]]-CMA_한투183[[#This Row],[매입비용]]</f>
        <v>0</v>
      </c>
      <c r="Q3" s="8">
        <v>10000000</v>
      </c>
      <c r="R3" s="8">
        <f>CMA_한투183[[#This Row],[입출금]]+CMA_한투183[[#This Row],[현금수입]]-CMA_한투183[[#This Row],[현금지출]]</f>
        <v>0</v>
      </c>
      <c r="S3" s="8">
        <f>SUM($R$2:R3)</f>
        <v>0</v>
      </c>
    </row>
    <row r="4" spans="1:19" x14ac:dyDescent="0.3">
      <c r="A4" s="3">
        <v>44927</v>
      </c>
      <c r="B4" s="1" t="s">
        <v>84</v>
      </c>
      <c r="C4" s="1" t="str">
        <f>VLOOKUP(CMA_한투183[[#This Row],[종목코드]],표3[],2,FALSE)</f>
        <v>예금1y</v>
      </c>
      <c r="D4" s="9" t="str">
        <f>VLOOKUP(CMA_한투183[[#This Row],[종목코드]],표3[],4,FALSE)</f>
        <v>신협 정기예금 1년</v>
      </c>
      <c r="E4" s="75">
        <v>1</v>
      </c>
      <c r="F4" s="7">
        <v>21000000</v>
      </c>
      <c r="G4" s="8">
        <v>21000000</v>
      </c>
      <c r="H4" s="8">
        <f>CMA_한투183[[#This Row],[현금지출]]-CMA_한투183[[#This Row],[매입액]]</f>
        <v>0</v>
      </c>
      <c r="I4" s="13"/>
      <c r="K4" s="7"/>
      <c r="M4" s="7">
        <v>0</v>
      </c>
      <c r="N4" s="8">
        <f>CMA_한투183[[#This Row],[매도액]]-CMA_한투183[[#This Row],[매도원금]]</f>
        <v>0</v>
      </c>
      <c r="O4" s="8">
        <f>CMA_한투183[[#This Row],[매도액]]+CMA_한투183[[#This Row],[이자배당액]]-CMA_한투183[[#This Row],[현금수입]]</f>
        <v>0</v>
      </c>
      <c r="P4" s="8">
        <f>CMA_한투183[[#This Row],[매매수익]]+CMA_한투183[[#This Row],[이자배당액]]-CMA_한투183[[#This Row],[매도비용]]-CMA_한투183[[#This Row],[매입비용]]</f>
        <v>0</v>
      </c>
      <c r="Q4" s="8">
        <v>21000000</v>
      </c>
      <c r="R4" s="8">
        <f>CMA_한투183[[#This Row],[입출금]]+CMA_한투183[[#This Row],[현금수입]]-CMA_한투183[[#This Row],[현금지출]]</f>
        <v>0</v>
      </c>
      <c r="S4" s="8">
        <f>SUM($R$2:R4)</f>
        <v>0</v>
      </c>
    </row>
    <row r="5" spans="1:19" x14ac:dyDescent="0.3">
      <c r="A5" s="3">
        <v>45048</v>
      </c>
      <c r="B5" s="1" t="s">
        <v>85</v>
      </c>
      <c r="C5" s="1" t="str">
        <f>VLOOKUP(CMA_한투183[[#This Row],[종목코드]],표3[],2,FALSE)</f>
        <v>예금6m</v>
      </c>
      <c r="D5" s="9" t="str">
        <f>VLOOKUP(CMA_한투183[[#This Row],[종목코드]],표3[],4,FALSE)</f>
        <v>신협 정기예금 6개월</v>
      </c>
      <c r="F5" s="52"/>
      <c r="G5" s="53"/>
      <c r="H5" s="53">
        <f>CMA_한투183[[#This Row],[현금지출]]-CMA_한투183[[#This Row],[매입액]]</f>
        <v>0</v>
      </c>
      <c r="I5" s="68">
        <v>1</v>
      </c>
      <c r="J5" s="52">
        <v>10000000</v>
      </c>
      <c r="K5" s="52">
        <v>10000000</v>
      </c>
      <c r="L5" s="52">
        <v>275028</v>
      </c>
      <c r="M5" s="52">
        <v>10232674</v>
      </c>
      <c r="N5" s="53">
        <f>CMA_한투183[[#This Row],[매도액]]-CMA_한투183[[#This Row],[매도원금]]</f>
        <v>0</v>
      </c>
      <c r="O5" s="53">
        <f>CMA_한투183[[#This Row],[매도액]]+CMA_한투183[[#This Row],[이자배당액]]-CMA_한투183[[#This Row],[현금수입]]</f>
        <v>42354</v>
      </c>
      <c r="P5" s="53">
        <f>CMA_한투183[[#This Row],[매매수익]]+CMA_한투183[[#This Row],[이자배당액]]-CMA_한투183[[#This Row],[매도비용]]-CMA_한투183[[#This Row],[매입비용]]</f>
        <v>232674</v>
      </c>
      <c r="Q5" s="53">
        <v>-10232674</v>
      </c>
      <c r="R5" s="53">
        <f>CMA_한투183[[#This Row],[입출금]]+CMA_한투183[[#This Row],[현금수입]]-CMA_한투183[[#This Row],[현금지출]]</f>
        <v>0</v>
      </c>
      <c r="S5" s="8">
        <f>SUM($R$2:R5)</f>
        <v>0</v>
      </c>
    </row>
    <row r="6" spans="1:19" x14ac:dyDescent="0.3">
      <c r="A6" s="3">
        <v>45244</v>
      </c>
      <c r="B6" s="1" t="s">
        <v>84</v>
      </c>
      <c r="C6" s="1" t="str">
        <f>VLOOKUP(CMA_한투183[[#This Row],[종목코드]],표3[],2,FALSE)</f>
        <v>예금1y</v>
      </c>
      <c r="D6" s="9" t="str">
        <f>VLOOKUP(CMA_한투183[[#This Row],[종목코드]],표3[],4,FALSE)</f>
        <v>신협 정기예금 1년</v>
      </c>
      <c r="G6" s="8"/>
      <c r="H6" s="8">
        <f>CMA_한투183[[#This Row],[현금지출]]-CMA_한투183[[#This Row],[매입액]]</f>
        <v>0</v>
      </c>
      <c r="I6" s="13">
        <v>1</v>
      </c>
      <c r="J6" s="7">
        <v>21000000</v>
      </c>
      <c r="K6" s="7">
        <v>21000000</v>
      </c>
      <c r="L6" s="7">
        <v>1165500</v>
      </c>
      <c r="M6" s="7">
        <v>21986020</v>
      </c>
      <c r="N6" s="8">
        <f>CMA_한투183[[#This Row],[매도액]]-CMA_한투183[[#This Row],[매도원금]]</f>
        <v>0</v>
      </c>
      <c r="O6" s="8">
        <f>CMA_한투183[[#This Row],[매도액]]+CMA_한투183[[#This Row],[이자배당액]]-CMA_한투183[[#This Row],[현금수입]]</f>
        <v>179480</v>
      </c>
      <c r="P6" s="8">
        <f>CMA_한투183[[#This Row],[매매수익]]+CMA_한투183[[#This Row],[이자배당액]]-CMA_한투183[[#This Row],[매도비용]]-CMA_한투183[[#This Row],[매입비용]]</f>
        <v>986020</v>
      </c>
      <c r="Q6" s="8">
        <v>-21986020</v>
      </c>
      <c r="R6" s="8">
        <f>CMA_한투183[[#This Row],[입출금]]+CMA_한투183[[#This Row],[현금수입]]-CMA_한투183[[#This Row],[현금지출]]</f>
        <v>0</v>
      </c>
      <c r="S6" s="8">
        <f>SUM($R$2:R6)</f>
        <v>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7"/>
  <sheetViews>
    <sheetView tabSelected="1" topLeftCell="A293" zoomScale="85" zoomScaleNormal="85" workbookViewId="0">
      <selection activeCell="H306" sqref="H306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93" customWidth="1"/>
    <col min="6" max="6" width="12.75" style="95" customWidth="1"/>
    <col min="12" max="13" width="11.875" style="93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216</v>
      </c>
      <c r="C1" s="4" t="s">
        <v>217</v>
      </c>
      <c r="D1" s="4" t="s">
        <v>239</v>
      </c>
      <c r="E1" s="4" t="s">
        <v>218</v>
      </c>
      <c r="F1" s="94" t="s">
        <v>219</v>
      </c>
    </row>
    <row r="2" spans="1:6" x14ac:dyDescent="0.3">
      <c r="A2" s="3">
        <v>45271</v>
      </c>
      <c r="B2" s="5"/>
      <c r="C2" s="7"/>
      <c r="D2" s="7">
        <f>IF(WEEKDAY(표8[[#This Row],[거래일자]])=4, 5000000,0)</f>
        <v>0</v>
      </c>
      <c r="E2" s="7"/>
      <c r="F2" s="7"/>
    </row>
    <row r="3" spans="1:6" x14ac:dyDescent="0.3">
      <c r="A3" s="3">
        <v>45272</v>
      </c>
      <c r="B3" s="5"/>
      <c r="C3" s="7"/>
      <c r="D3" s="7">
        <f>IF(WEEKDAY(표8[[#This Row],[거래일자]])=4, 5000000,0)</f>
        <v>0</v>
      </c>
      <c r="E3" s="7"/>
      <c r="F3" s="7"/>
    </row>
    <row r="4" spans="1:6" x14ac:dyDescent="0.3">
      <c r="A4" s="3">
        <v>45273</v>
      </c>
      <c r="B4" s="5"/>
      <c r="C4" s="7"/>
      <c r="D4" s="7">
        <f>IF(WEEKDAY(표8[[#This Row],[거래일자]])=4, 5000000,0)</f>
        <v>5000000</v>
      </c>
      <c r="E4" s="7"/>
      <c r="F4" s="7"/>
    </row>
    <row r="5" spans="1:6" x14ac:dyDescent="0.3">
      <c r="A5" s="3">
        <v>45274</v>
      </c>
      <c r="B5" s="5"/>
      <c r="C5" s="7"/>
      <c r="D5" s="7">
        <f>IF(WEEKDAY(표8[[#This Row],[거래일자]])=4, 5000000,0)</f>
        <v>0</v>
      </c>
      <c r="E5" s="7"/>
      <c r="F5" s="7"/>
    </row>
    <row r="6" spans="1:6" x14ac:dyDescent="0.3">
      <c r="A6" s="3">
        <v>45275</v>
      </c>
      <c r="B6" s="5"/>
      <c r="C6" s="7"/>
      <c r="D6" s="7">
        <f>IF(WEEKDAY(표8[[#This Row],[거래일자]])=4, 5000000,0)</f>
        <v>0</v>
      </c>
      <c r="E6" s="7"/>
      <c r="F6" s="7">
        <v>1986.58</v>
      </c>
    </row>
    <row r="7" spans="1:6" x14ac:dyDescent="0.3">
      <c r="A7" s="3">
        <v>45276</v>
      </c>
      <c r="B7" s="5"/>
      <c r="C7" s="7"/>
      <c r="D7" s="7">
        <f>IF(WEEKDAY(표8[[#This Row],[거래일자]])=4, 5000000,0)</f>
        <v>0</v>
      </c>
      <c r="E7" s="7"/>
      <c r="F7" s="7"/>
    </row>
    <row r="8" spans="1:6" x14ac:dyDescent="0.3">
      <c r="A8" s="3">
        <v>45277</v>
      </c>
      <c r="B8" s="5"/>
      <c r="C8" s="7"/>
      <c r="D8" s="7">
        <f>IF(WEEKDAY(표8[[#This Row],[거래일자]])=4, 5000000,0)</f>
        <v>0</v>
      </c>
      <c r="E8" s="7"/>
      <c r="F8" s="7"/>
    </row>
    <row r="9" spans="1:6" x14ac:dyDescent="0.3">
      <c r="A9" s="3">
        <v>45278</v>
      </c>
      <c r="B9" s="5"/>
      <c r="C9" s="7"/>
      <c r="D9" s="7">
        <f>IF(WEEKDAY(표8[[#This Row],[거래일자]])=4, 5000000,0)</f>
        <v>0</v>
      </c>
      <c r="E9" s="7"/>
      <c r="F9" s="7"/>
    </row>
    <row r="10" spans="1:6" x14ac:dyDescent="0.3">
      <c r="A10" s="3">
        <v>45279</v>
      </c>
      <c r="B10" s="5"/>
      <c r="C10" s="7"/>
      <c r="D10" s="7">
        <f>IF(WEEKDAY(표8[[#This Row],[거래일자]])=4, 5000000,0)</f>
        <v>0</v>
      </c>
      <c r="E10" s="7"/>
      <c r="F10" s="7"/>
    </row>
    <row r="11" spans="1:6" x14ac:dyDescent="0.3">
      <c r="A11" s="3">
        <v>45280</v>
      </c>
      <c r="B11" s="5"/>
      <c r="C11" s="7"/>
      <c r="D11" s="7">
        <f>IF(WEEKDAY(표8[[#This Row],[거래일자]])=4, 5000000,0)</f>
        <v>5000000</v>
      </c>
      <c r="E11" s="7"/>
      <c r="F11" s="7"/>
    </row>
    <row r="12" spans="1:6" x14ac:dyDescent="0.3">
      <c r="A12" s="3">
        <v>45281</v>
      </c>
      <c r="B12" s="7">
        <v>5846830</v>
      </c>
      <c r="C12" s="7"/>
      <c r="D12" s="7">
        <f>IF(WEEKDAY(표8[[#This Row],[거래일자]])=4, 5000000,0)</f>
        <v>0</v>
      </c>
      <c r="E12" s="7"/>
      <c r="F12" s="7"/>
    </row>
    <row r="13" spans="1:6" x14ac:dyDescent="0.3">
      <c r="A13" s="3">
        <v>45282</v>
      </c>
      <c r="B13" s="5"/>
      <c r="C13" s="7"/>
      <c r="D13" s="7">
        <f>IF(WEEKDAY(표8[[#This Row],[거래일자]])=4, 5000000,0)</f>
        <v>0</v>
      </c>
      <c r="E13" s="7"/>
      <c r="F13" s="7"/>
    </row>
    <row r="14" spans="1:6" x14ac:dyDescent="0.3">
      <c r="A14" s="3">
        <v>45283</v>
      </c>
      <c r="B14" s="5"/>
      <c r="C14" s="7"/>
      <c r="D14" s="7">
        <f>IF(WEEKDAY(표8[[#This Row],[거래일자]])=4, 5000000,0)</f>
        <v>0</v>
      </c>
      <c r="E14" s="7"/>
      <c r="F14" s="7"/>
    </row>
    <row r="15" spans="1:6" x14ac:dyDescent="0.3">
      <c r="A15" s="3">
        <v>45284</v>
      </c>
      <c r="B15" s="5"/>
      <c r="C15" s="7"/>
      <c r="D15" s="7">
        <f>IF(WEEKDAY(표8[[#This Row],[거래일자]])=4, 5000000,0)</f>
        <v>0</v>
      </c>
      <c r="E15" s="7"/>
      <c r="F15" s="7"/>
    </row>
    <row r="16" spans="1:6" x14ac:dyDescent="0.3">
      <c r="A16" s="3">
        <v>45285</v>
      </c>
      <c r="B16" s="5"/>
      <c r="C16" s="7"/>
      <c r="D16" s="7">
        <f>IF(WEEKDAY(표8[[#This Row],[거래일자]])=4, 5000000,0)</f>
        <v>0</v>
      </c>
      <c r="E16" s="7"/>
      <c r="F16" s="7"/>
    </row>
    <row r="17" spans="1:6" x14ac:dyDescent="0.3">
      <c r="A17" s="3">
        <v>45286</v>
      </c>
      <c r="B17" s="5"/>
      <c r="C17" s="7"/>
      <c r="D17" s="7">
        <f>IF(WEEKDAY(표8[[#This Row],[거래일자]])=4, 5000000,0)</f>
        <v>0</v>
      </c>
      <c r="E17" s="7"/>
      <c r="F17" s="7">
        <v>3000</v>
      </c>
    </row>
    <row r="18" spans="1:6" x14ac:dyDescent="0.3">
      <c r="A18" s="3">
        <v>45287</v>
      </c>
      <c r="B18" s="5"/>
      <c r="C18" s="7"/>
      <c r="D18" s="7">
        <f>IF(WEEKDAY(표8[[#This Row],[거래일자]])=4, 5000000,0)</f>
        <v>5000000</v>
      </c>
      <c r="E18" s="7"/>
      <c r="F18" s="7"/>
    </row>
    <row r="19" spans="1:6" x14ac:dyDescent="0.3">
      <c r="A19" s="3">
        <v>45288</v>
      </c>
      <c r="B19" s="5"/>
      <c r="C19" s="7"/>
      <c r="D19" s="7">
        <f>IF(WEEKDAY(표8[[#This Row],[거래일자]])=4, 5000000,0)</f>
        <v>0</v>
      </c>
      <c r="E19" s="7"/>
      <c r="F19" s="7"/>
    </row>
    <row r="20" spans="1:6" x14ac:dyDescent="0.3">
      <c r="A20" s="3">
        <v>45289</v>
      </c>
      <c r="B20" s="5"/>
      <c r="C20" s="7"/>
      <c r="D20" s="7">
        <f>IF(WEEKDAY(표8[[#This Row],[거래일자]])=4, 5000000,0)</f>
        <v>0</v>
      </c>
      <c r="E20" s="7"/>
      <c r="F20" s="7"/>
    </row>
    <row r="21" spans="1:6" x14ac:dyDescent="0.3">
      <c r="A21" s="3">
        <v>45290</v>
      </c>
      <c r="B21" s="5"/>
      <c r="C21" s="7"/>
      <c r="D21" s="7">
        <f>IF(WEEKDAY(표8[[#This Row],[거래일자]])=4, 5000000,0)</f>
        <v>0</v>
      </c>
      <c r="E21" s="7"/>
      <c r="F21" s="7"/>
    </row>
    <row r="22" spans="1:6" x14ac:dyDescent="0.3">
      <c r="A22" s="3">
        <v>45291</v>
      </c>
      <c r="B22" s="5"/>
      <c r="C22" s="7"/>
      <c r="D22" s="7">
        <f>IF(WEEKDAY(표8[[#This Row],[거래일자]])=4, 5000000,0)</f>
        <v>0</v>
      </c>
      <c r="E22" s="7"/>
      <c r="F22" s="7"/>
    </row>
    <row r="23" spans="1:6" x14ac:dyDescent="0.3">
      <c r="A23" s="3">
        <v>45292</v>
      </c>
      <c r="B23" s="5"/>
      <c r="C23" s="7"/>
      <c r="D23" s="7">
        <f>IF(WEEKDAY(표8[[#This Row],[거래일자]])=4, 5000000,0)</f>
        <v>0</v>
      </c>
      <c r="E23" s="7"/>
      <c r="F23" s="7"/>
    </row>
    <row r="24" spans="1:6" x14ac:dyDescent="0.3">
      <c r="A24" s="3">
        <v>45293</v>
      </c>
      <c r="B24" s="5"/>
      <c r="C24" s="7"/>
      <c r="D24" s="7">
        <f>IF(WEEKDAY(표8[[#This Row],[거래일자]])=4, 5000000,0)</f>
        <v>0</v>
      </c>
      <c r="E24" s="7"/>
      <c r="F24" s="7"/>
    </row>
    <row r="25" spans="1:6" x14ac:dyDescent="0.3">
      <c r="A25" s="3">
        <v>45294</v>
      </c>
      <c r="B25" s="5"/>
      <c r="C25" s="7"/>
      <c r="D25" s="7">
        <f>IF(WEEKDAY(표8[[#This Row],[거래일자]])=4, 5000000,0)</f>
        <v>5000000</v>
      </c>
      <c r="E25" s="7"/>
      <c r="F25" s="7"/>
    </row>
    <row r="26" spans="1:6" x14ac:dyDescent="0.3">
      <c r="A26" s="3">
        <v>45295</v>
      </c>
      <c r="B26" s="5"/>
      <c r="C26" s="7"/>
      <c r="D26" s="7">
        <f>IF(WEEKDAY(표8[[#This Row],[거래일자]])=4, 5000000,0)</f>
        <v>0</v>
      </c>
      <c r="E26" s="7"/>
      <c r="F26" s="7"/>
    </row>
    <row r="27" spans="1:6" x14ac:dyDescent="0.3">
      <c r="A27" s="3">
        <v>45296</v>
      </c>
      <c r="B27" s="5"/>
      <c r="C27" s="7"/>
      <c r="D27" s="7">
        <f>IF(WEEKDAY(표8[[#This Row],[거래일자]])=4, 5000000,0)</f>
        <v>0</v>
      </c>
      <c r="E27" s="7"/>
      <c r="F27" s="7"/>
    </row>
    <row r="28" spans="1:6" x14ac:dyDescent="0.3">
      <c r="A28" s="3">
        <v>45297</v>
      </c>
      <c r="B28" s="5"/>
      <c r="C28" s="7"/>
      <c r="D28" s="7">
        <f>IF(WEEKDAY(표8[[#This Row],[거래일자]])=4, 5000000,0)</f>
        <v>0</v>
      </c>
      <c r="E28" s="7"/>
      <c r="F28" s="7"/>
    </row>
    <row r="29" spans="1:6" x14ac:dyDescent="0.3">
      <c r="A29" s="3">
        <v>45298</v>
      </c>
      <c r="B29" s="5"/>
      <c r="C29" s="7"/>
      <c r="D29" s="7">
        <f>IF(WEEKDAY(표8[[#This Row],[거래일자]])=4, 5000000,0)</f>
        <v>0</v>
      </c>
      <c r="E29" s="7"/>
      <c r="F29" s="7"/>
    </row>
    <row r="30" spans="1:6" x14ac:dyDescent="0.3">
      <c r="A30" s="3">
        <v>45299</v>
      </c>
      <c r="B30" s="5"/>
      <c r="C30" s="7"/>
      <c r="D30" s="7">
        <f>IF(WEEKDAY(표8[[#This Row],[거래일자]])=4, 5000000,0)</f>
        <v>0</v>
      </c>
      <c r="E30" s="7"/>
      <c r="F30" s="7"/>
    </row>
    <row r="31" spans="1:6" x14ac:dyDescent="0.3">
      <c r="A31" s="3">
        <v>45300</v>
      </c>
      <c r="B31" s="5"/>
      <c r="C31" s="7"/>
      <c r="D31" s="7">
        <f>IF(WEEKDAY(표8[[#This Row],[거래일자]])=4, 5000000,0)</f>
        <v>0</v>
      </c>
      <c r="E31" s="7"/>
      <c r="F31" s="7"/>
    </row>
    <row r="32" spans="1:6" x14ac:dyDescent="0.3">
      <c r="A32" s="3">
        <v>45301</v>
      </c>
      <c r="B32" s="5"/>
      <c r="C32" s="7"/>
      <c r="D32" s="7">
        <f>IF(WEEKDAY(표8[[#This Row],[거래일자]])=4, 5000000,0)</f>
        <v>5000000</v>
      </c>
      <c r="E32" s="7"/>
      <c r="F32" s="7"/>
    </row>
    <row r="33" spans="1:6" x14ac:dyDescent="0.3">
      <c r="A33" s="3">
        <v>45302</v>
      </c>
      <c r="B33" s="5"/>
      <c r="C33" s="7"/>
      <c r="D33" s="7">
        <f>IF(WEEKDAY(표8[[#This Row],[거래일자]])=4, 5000000,0)</f>
        <v>0</v>
      </c>
      <c r="E33" s="7"/>
      <c r="F33" s="7"/>
    </row>
    <row r="34" spans="1:6" x14ac:dyDescent="0.3">
      <c r="A34" s="3">
        <v>45303</v>
      </c>
      <c r="B34" s="5"/>
      <c r="C34" s="7"/>
      <c r="D34" s="7">
        <f>IF(WEEKDAY(표8[[#This Row],[거래일자]])=4, 5000000,0)</f>
        <v>0</v>
      </c>
      <c r="E34" s="7"/>
      <c r="F34" s="7"/>
    </row>
    <row r="35" spans="1:6" x14ac:dyDescent="0.3">
      <c r="A35" s="3">
        <v>45304</v>
      </c>
      <c r="B35" s="5"/>
      <c r="C35" s="7"/>
      <c r="D35" s="7">
        <f>IF(WEEKDAY(표8[[#This Row],[거래일자]])=4, 5000000,0)</f>
        <v>0</v>
      </c>
      <c r="E35" s="7"/>
      <c r="F35" s="7"/>
    </row>
    <row r="36" spans="1:6" x14ac:dyDescent="0.3">
      <c r="A36" s="3">
        <v>45305</v>
      </c>
      <c r="B36" s="5"/>
      <c r="C36" s="7"/>
      <c r="D36" s="7">
        <f>IF(WEEKDAY(표8[[#This Row],[거래일자]])=4, 5000000,0)</f>
        <v>0</v>
      </c>
      <c r="E36" s="7"/>
      <c r="F36" s="7"/>
    </row>
    <row r="37" spans="1:6" x14ac:dyDescent="0.3">
      <c r="A37" s="3">
        <v>45306</v>
      </c>
      <c r="B37" s="5"/>
      <c r="C37" s="7"/>
      <c r="D37" s="7">
        <f>IF(WEEKDAY(표8[[#This Row],[거래일자]])=4, 5000000,0)</f>
        <v>0</v>
      </c>
      <c r="E37" s="7"/>
      <c r="F37" s="7"/>
    </row>
    <row r="38" spans="1:6" x14ac:dyDescent="0.3">
      <c r="A38" s="3">
        <v>45307</v>
      </c>
      <c r="B38" s="5"/>
      <c r="C38" s="7"/>
      <c r="D38" s="7">
        <f>IF(WEEKDAY(표8[[#This Row],[거래일자]])=4, 5000000,0)</f>
        <v>0</v>
      </c>
      <c r="E38" s="7"/>
      <c r="F38" s="7"/>
    </row>
    <row r="39" spans="1:6" x14ac:dyDescent="0.3">
      <c r="A39" s="3">
        <v>45308</v>
      </c>
      <c r="B39" s="5"/>
      <c r="C39" s="7"/>
      <c r="D39" s="7">
        <f>IF(WEEKDAY(표8[[#This Row],[거래일자]])=4, 5000000,0)</f>
        <v>5000000</v>
      </c>
      <c r="E39" s="7"/>
      <c r="F39" s="7"/>
    </row>
    <row r="40" spans="1:6" x14ac:dyDescent="0.3">
      <c r="A40" s="3">
        <v>45309</v>
      </c>
      <c r="B40" s="5"/>
      <c r="C40" s="7"/>
      <c r="D40" s="7">
        <f>IF(WEEKDAY(표8[[#This Row],[거래일자]])=4, 5000000,0)</f>
        <v>0</v>
      </c>
      <c r="E40" s="7"/>
      <c r="F40" s="7"/>
    </row>
    <row r="41" spans="1:6" x14ac:dyDescent="0.3">
      <c r="A41" s="3">
        <v>45310</v>
      </c>
      <c r="B41" s="5"/>
      <c r="C41" s="7"/>
      <c r="D41" s="7">
        <f>IF(WEEKDAY(표8[[#This Row],[거래일자]])=4, 5000000,0)</f>
        <v>0</v>
      </c>
      <c r="E41" s="7"/>
      <c r="F41" s="7"/>
    </row>
    <row r="42" spans="1:6" x14ac:dyDescent="0.3">
      <c r="A42" s="3">
        <v>45311</v>
      </c>
      <c r="B42" s="5"/>
      <c r="C42" s="7"/>
      <c r="D42" s="7">
        <f>IF(WEEKDAY(표8[[#This Row],[거래일자]])=4, 5000000,0)</f>
        <v>0</v>
      </c>
      <c r="E42" s="7"/>
      <c r="F42" s="7"/>
    </row>
    <row r="43" spans="1:6" x14ac:dyDescent="0.3">
      <c r="A43" s="3">
        <v>45312</v>
      </c>
      <c r="B43" s="5">
        <v>2895077</v>
      </c>
      <c r="C43" s="7"/>
      <c r="D43" s="7">
        <f>IF(WEEKDAY(표8[[#This Row],[거래일자]])=4, 5000000,0)</f>
        <v>0</v>
      </c>
      <c r="E43" s="7"/>
      <c r="F43" s="7"/>
    </row>
    <row r="44" spans="1:6" x14ac:dyDescent="0.3">
      <c r="A44" s="3">
        <v>45313</v>
      </c>
      <c r="B44" s="5"/>
      <c r="C44" s="7"/>
      <c r="D44" s="7">
        <f>IF(WEEKDAY(표8[[#This Row],[거래일자]])=4, 5000000,0)</f>
        <v>0</v>
      </c>
      <c r="E44" s="7"/>
      <c r="F44" s="7"/>
    </row>
    <row r="45" spans="1:6" x14ac:dyDescent="0.3">
      <c r="A45" s="3">
        <v>45314</v>
      </c>
      <c r="B45" s="5"/>
      <c r="C45" s="7"/>
      <c r="D45" s="7">
        <f>IF(WEEKDAY(표8[[#This Row],[거래일자]])=4, 5000000,0)</f>
        <v>0</v>
      </c>
      <c r="E45" s="7"/>
      <c r="F45" s="7"/>
    </row>
    <row r="46" spans="1:6" x14ac:dyDescent="0.3">
      <c r="A46" s="3">
        <v>45315</v>
      </c>
      <c r="B46" s="5"/>
      <c r="C46" s="7"/>
      <c r="D46" s="7">
        <f>IF(WEEKDAY(표8[[#This Row],[거래일자]])=4, 5000000,0)</f>
        <v>5000000</v>
      </c>
      <c r="E46" s="7"/>
      <c r="F46" s="7"/>
    </row>
    <row r="47" spans="1:6" x14ac:dyDescent="0.3">
      <c r="A47" s="3">
        <v>45316</v>
      </c>
      <c r="B47" s="5"/>
      <c r="C47" s="7"/>
      <c r="D47" s="7">
        <f>IF(WEEKDAY(표8[[#This Row],[거래일자]])=4, 5000000,0)</f>
        <v>0</v>
      </c>
      <c r="E47" s="7"/>
      <c r="F47" s="7"/>
    </row>
    <row r="48" spans="1:6" x14ac:dyDescent="0.3">
      <c r="A48" s="3">
        <v>45317</v>
      </c>
      <c r="B48" s="5"/>
      <c r="C48" s="7"/>
      <c r="D48" s="7">
        <f>IF(WEEKDAY(표8[[#This Row],[거래일자]])=4, 5000000,0)</f>
        <v>0</v>
      </c>
      <c r="E48" s="7"/>
      <c r="F48" s="7"/>
    </row>
    <row r="49" spans="1:6" x14ac:dyDescent="0.3">
      <c r="A49" s="3">
        <v>45318</v>
      </c>
      <c r="B49" s="5"/>
      <c r="C49" s="7"/>
      <c r="D49" s="7">
        <f>IF(WEEKDAY(표8[[#This Row],[거래일자]])=4, 5000000,0)</f>
        <v>0</v>
      </c>
      <c r="E49" s="7"/>
      <c r="F49" s="7"/>
    </row>
    <row r="50" spans="1:6" x14ac:dyDescent="0.3">
      <c r="A50" s="3">
        <v>45319</v>
      </c>
      <c r="B50" s="5"/>
      <c r="C50" s="7"/>
      <c r="D50" s="7">
        <f>IF(WEEKDAY(표8[[#This Row],[거래일자]])=4, 5000000,0)</f>
        <v>0</v>
      </c>
      <c r="E50" s="7"/>
      <c r="F50" s="7"/>
    </row>
    <row r="51" spans="1:6" x14ac:dyDescent="0.3">
      <c r="A51" s="3">
        <v>45320</v>
      </c>
      <c r="B51" s="5"/>
      <c r="C51" s="7"/>
      <c r="D51" s="7">
        <f>IF(WEEKDAY(표8[[#This Row],[거래일자]])=4, 5000000,0)</f>
        <v>0</v>
      </c>
      <c r="E51" s="7"/>
      <c r="F51" s="7"/>
    </row>
    <row r="52" spans="1:6" x14ac:dyDescent="0.3">
      <c r="A52" s="3">
        <v>45321</v>
      </c>
      <c r="B52" s="5"/>
      <c r="C52" s="7"/>
      <c r="D52" s="7">
        <f>IF(WEEKDAY(표8[[#This Row],[거래일자]])=4, 5000000,0)</f>
        <v>0</v>
      </c>
      <c r="E52" s="7"/>
      <c r="F52" s="7"/>
    </row>
    <row r="53" spans="1:6" x14ac:dyDescent="0.3">
      <c r="A53" s="3">
        <v>45322</v>
      </c>
      <c r="B53" s="5"/>
      <c r="C53" s="7"/>
      <c r="D53" s="7">
        <f>IF(WEEKDAY(표8[[#This Row],[거래일자]])=4, 5000000,0)</f>
        <v>5000000</v>
      </c>
      <c r="E53" s="7"/>
      <c r="F53" s="7"/>
    </row>
    <row r="54" spans="1:6" x14ac:dyDescent="0.3">
      <c r="A54" s="3">
        <v>45323</v>
      </c>
      <c r="B54" s="5"/>
      <c r="C54" s="7"/>
      <c r="D54" s="7">
        <f>IF(WEEKDAY(표8[[#This Row],[거래일자]])=4, 5000000,0)</f>
        <v>0</v>
      </c>
      <c r="E54" s="7"/>
      <c r="F54" s="7"/>
    </row>
    <row r="55" spans="1:6" x14ac:dyDescent="0.3">
      <c r="A55" s="3">
        <v>45324</v>
      </c>
      <c r="B55" s="5"/>
      <c r="C55" s="7"/>
      <c r="D55" s="7">
        <f>IF(WEEKDAY(표8[[#This Row],[거래일자]])=4, 5000000,0)</f>
        <v>0</v>
      </c>
      <c r="E55" s="7"/>
      <c r="F55" s="7"/>
    </row>
    <row r="56" spans="1:6" x14ac:dyDescent="0.3">
      <c r="A56" s="3">
        <v>45325</v>
      </c>
      <c r="B56" s="5"/>
      <c r="C56" s="7"/>
      <c r="D56" s="7">
        <f>IF(WEEKDAY(표8[[#This Row],[거래일자]])=4, 5000000,0)</f>
        <v>0</v>
      </c>
      <c r="E56" s="7"/>
      <c r="F56" s="7"/>
    </row>
    <row r="57" spans="1:6" x14ac:dyDescent="0.3">
      <c r="A57" s="3">
        <v>45326</v>
      </c>
      <c r="B57" s="5"/>
      <c r="C57" s="7"/>
      <c r="D57" s="7">
        <f>IF(WEEKDAY(표8[[#This Row],[거래일자]])=4, 5000000,0)</f>
        <v>0</v>
      </c>
      <c r="E57" s="7"/>
      <c r="F57" s="7"/>
    </row>
    <row r="58" spans="1:6" x14ac:dyDescent="0.3">
      <c r="A58" s="3">
        <v>45327</v>
      </c>
      <c r="B58" s="5"/>
      <c r="C58" s="7"/>
      <c r="D58" s="7">
        <f>IF(WEEKDAY(표8[[#This Row],[거래일자]])=4, 5000000,0)</f>
        <v>0</v>
      </c>
      <c r="E58" s="7"/>
      <c r="F58" s="7"/>
    </row>
    <row r="59" spans="1:6" x14ac:dyDescent="0.3">
      <c r="A59" s="3">
        <v>45328</v>
      </c>
      <c r="B59" s="5"/>
      <c r="C59" s="7"/>
      <c r="D59" s="7">
        <f>IF(WEEKDAY(표8[[#This Row],[거래일자]])=4, 5000000,0)</f>
        <v>0</v>
      </c>
      <c r="E59" s="7"/>
      <c r="F59" s="7"/>
    </row>
    <row r="60" spans="1:6" x14ac:dyDescent="0.3">
      <c r="A60" s="3">
        <v>45329</v>
      </c>
      <c r="B60" s="5"/>
      <c r="C60" s="7"/>
      <c r="D60" s="7"/>
      <c r="E60" s="7"/>
      <c r="F60" s="7"/>
    </row>
    <row r="61" spans="1:6" x14ac:dyDescent="0.3">
      <c r="A61" s="3">
        <v>45330</v>
      </c>
      <c r="B61" s="5"/>
      <c r="C61" s="7"/>
      <c r="D61" s="7"/>
      <c r="E61" s="7"/>
      <c r="F61" s="7"/>
    </row>
    <row r="62" spans="1:6" x14ac:dyDescent="0.3">
      <c r="A62" s="3">
        <v>45331</v>
      </c>
      <c r="B62" s="5"/>
      <c r="C62" s="7"/>
      <c r="D62" s="7"/>
      <c r="E62" s="7"/>
      <c r="F62" s="7"/>
    </row>
    <row r="63" spans="1:6" x14ac:dyDescent="0.3">
      <c r="A63" s="3">
        <v>45332</v>
      </c>
      <c r="B63" s="5"/>
      <c r="C63" s="7"/>
      <c r="D63" s="7"/>
      <c r="E63" s="7"/>
      <c r="F63" s="7"/>
    </row>
    <row r="64" spans="1:6" x14ac:dyDescent="0.3">
      <c r="A64" s="3">
        <v>45333</v>
      </c>
      <c r="B64" s="5"/>
      <c r="C64" s="7"/>
      <c r="D64" s="7"/>
      <c r="E64" s="7"/>
      <c r="F64" s="7"/>
    </row>
    <row r="65" spans="1:6" x14ac:dyDescent="0.3">
      <c r="A65" s="3">
        <v>45334</v>
      </c>
      <c r="B65" s="5"/>
      <c r="C65" s="7"/>
      <c r="D65" s="7"/>
      <c r="E65" s="7"/>
      <c r="F65" s="7"/>
    </row>
    <row r="66" spans="1:6" x14ac:dyDescent="0.3">
      <c r="A66" s="3">
        <v>45335</v>
      </c>
      <c r="B66" s="5"/>
      <c r="C66" s="7"/>
      <c r="D66" s="7"/>
      <c r="E66" s="7"/>
      <c r="F66" s="7"/>
    </row>
    <row r="67" spans="1:6" x14ac:dyDescent="0.3">
      <c r="A67" s="3">
        <v>45336</v>
      </c>
      <c r="B67" s="5"/>
      <c r="C67" s="7"/>
      <c r="D67" s="7"/>
      <c r="E67" s="7"/>
      <c r="F67" s="7"/>
    </row>
    <row r="68" spans="1:6" x14ac:dyDescent="0.3">
      <c r="A68" s="3">
        <v>45337</v>
      </c>
      <c r="B68" s="5"/>
      <c r="C68" s="7"/>
      <c r="D68" s="7"/>
      <c r="E68" s="7"/>
      <c r="F68" s="7"/>
    </row>
    <row r="69" spans="1:6" x14ac:dyDescent="0.3">
      <c r="A69" s="3">
        <v>45338</v>
      </c>
      <c r="B69" s="5"/>
      <c r="C69" s="7"/>
      <c r="D69" s="7"/>
      <c r="E69" s="7"/>
      <c r="F69" s="7"/>
    </row>
    <row r="70" spans="1:6" x14ac:dyDescent="0.3">
      <c r="A70" s="3">
        <v>45339</v>
      </c>
      <c r="B70" s="5"/>
      <c r="C70" s="7"/>
      <c r="D70" s="7"/>
      <c r="E70" s="7"/>
      <c r="F70" s="7"/>
    </row>
    <row r="71" spans="1:6" x14ac:dyDescent="0.3">
      <c r="A71" s="3">
        <v>45340</v>
      </c>
      <c r="B71" s="5"/>
      <c r="C71" s="7"/>
      <c r="D71" s="7"/>
      <c r="E71" s="7"/>
      <c r="F71" s="7"/>
    </row>
    <row r="72" spans="1:6" x14ac:dyDescent="0.3">
      <c r="A72" s="3">
        <v>45341</v>
      </c>
      <c r="B72" s="5"/>
      <c r="C72" s="7"/>
      <c r="D72" s="7"/>
      <c r="E72" s="7"/>
      <c r="F72" s="7"/>
    </row>
    <row r="73" spans="1:6" x14ac:dyDescent="0.3">
      <c r="A73" s="3">
        <v>45342</v>
      </c>
      <c r="B73" s="5"/>
      <c r="C73" s="7"/>
      <c r="D73" s="7"/>
      <c r="E73" s="7"/>
      <c r="F73" s="7"/>
    </row>
    <row r="74" spans="1:6" x14ac:dyDescent="0.3">
      <c r="A74" s="3">
        <v>45343</v>
      </c>
      <c r="B74" s="5">
        <v>7147809</v>
      </c>
      <c r="C74" s="7"/>
      <c r="D74" s="7">
        <f>1758803+표8[[#This Row],[원화자금유입]]</f>
        <v>8906612</v>
      </c>
      <c r="E74" s="7"/>
      <c r="F74" s="7"/>
    </row>
    <row r="75" spans="1:6" x14ac:dyDescent="0.3">
      <c r="A75" s="3">
        <v>45344</v>
      </c>
      <c r="B75" s="5"/>
      <c r="C75" s="7"/>
      <c r="D75" s="7"/>
      <c r="E75" s="7"/>
      <c r="F75" s="7"/>
    </row>
    <row r="76" spans="1:6" x14ac:dyDescent="0.3">
      <c r="A76" s="3">
        <v>45345</v>
      </c>
      <c r="B76" s="5"/>
      <c r="C76" s="7"/>
      <c r="D76" s="7"/>
      <c r="E76" s="7"/>
      <c r="F76" s="7"/>
    </row>
    <row r="77" spans="1:6" x14ac:dyDescent="0.3">
      <c r="A77" s="3">
        <v>45346</v>
      </c>
      <c r="B77" s="5"/>
      <c r="C77" s="7"/>
      <c r="D77" s="7"/>
      <c r="E77" s="7"/>
      <c r="F77" s="7"/>
    </row>
    <row r="78" spans="1:6" x14ac:dyDescent="0.3">
      <c r="A78" s="3">
        <v>45347</v>
      </c>
      <c r="B78" s="5"/>
      <c r="C78" s="7"/>
      <c r="D78" s="7"/>
      <c r="E78" s="7"/>
      <c r="F78" s="7"/>
    </row>
    <row r="79" spans="1:6" x14ac:dyDescent="0.3">
      <c r="A79" s="3">
        <v>45348</v>
      </c>
      <c r="B79" s="5"/>
      <c r="C79" s="7"/>
      <c r="D79" s="7"/>
      <c r="E79" s="7"/>
      <c r="F79" s="7"/>
    </row>
    <row r="80" spans="1:6" x14ac:dyDescent="0.3">
      <c r="A80" s="3">
        <v>45349</v>
      </c>
      <c r="B80" s="5"/>
      <c r="C80" s="7"/>
      <c r="D80" s="7"/>
      <c r="E80" s="7"/>
      <c r="F80" s="7"/>
    </row>
    <row r="81" spans="1:6" x14ac:dyDescent="0.3">
      <c r="A81" s="3">
        <v>45350</v>
      </c>
      <c r="B81" s="5"/>
      <c r="C81" s="7"/>
      <c r="D81" s="7"/>
      <c r="E81" s="7"/>
      <c r="F81" s="7"/>
    </row>
    <row r="82" spans="1:6" x14ac:dyDescent="0.3">
      <c r="A82" s="3">
        <v>45351</v>
      </c>
      <c r="B82" s="5"/>
      <c r="C82" s="7"/>
      <c r="D82" s="7"/>
      <c r="E82" s="7"/>
      <c r="F82" s="7"/>
    </row>
    <row r="83" spans="1:6" x14ac:dyDescent="0.3">
      <c r="A83" s="3">
        <v>45352</v>
      </c>
      <c r="B83" s="5"/>
      <c r="C83" s="7"/>
      <c r="D83" s="7"/>
      <c r="E83" s="7"/>
      <c r="F83" s="7"/>
    </row>
    <row r="84" spans="1:6" x14ac:dyDescent="0.3">
      <c r="A84" s="3">
        <v>45353</v>
      </c>
      <c r="B84" s="5"/>
      <c r="C84" s="7"/>
      <c r="D84" s="7"/>
      <c r="E84" s="7"/>
      <c r="F84" s="7"/>
    </row>
    <row r="85" spans="1:6" x14ac:dyDescent="0.3">
      <c r="A85" s="3">
        <v>45354</v>
      </c>
      <c r="B85" s="5"/>
      <c r="C85" s="7"/>
      <c r="D85" s="7"/>
      <c r="E85" s="7"/>
      <c r="F85" s="7"/>
    </row>
    <row r="86" spans="1:6" x14ac:dyDescent="0.3">
      <c r="A86" s="3">
        <v>45355</v>
      </c>
      <c r="B86" s="5"/>
      <c r="C86" s="7"/>
      <c r="D86" s="7"/>
      <c r="E86" s="7"/>
      <c r="F86" s="7"/>
    </row>
    <row r="87" spans="1:6" x14ac:dyDescent="0.3">
      <c r="A87" s="3">
        <v>45356</v>
      </c>
      <c r="B87" s="5"/>
      <c r="C87" s="7"/>
      <c r="D87" s="7"/>
      <c r="E87" s="7"/>
      <c r="F87" s="7"/>
    </row>
    <row r="88" spans="1:6" x14ac:dyDescent="0.3">
      <c r="A88" s="3">
        <v>45357</v>
      </c>
      <c r="B88" s="5"/>
      <c r="C88" s="7"/>
      <c r="D88" s="7"/>
      <c r="E88" s="7"/>
      <c r="F88" s="7"/>
    </row>
    <row r="89" spans="1:6" x14ac:dyDescent="0.3">
      <c r="A89" s="3">
        <v>45358</v>
      </c>
      <c r="B89" s="5"/>
      <c r="C89" s="7"/>
      <c r="D89" s="7"/>
      <c r="E89" s="7"/>
      <c r="F89" s="7"/>
    </row>
    <row r="90" spans="1:6" x14ac:dyDescent="0.3">
      <c r="A90" s="3">
        <v>45359</v>
      </c>
      <c r="B90" s="5"/>
      <c r="C90" s="7"/>
      <c r="D90" s="7"/>
      <c r="E90" s="7"/>
      <c r="F90" s="7"/>
    </row>
    <row r="91" spans="1:6" x14ac:dyDescent="0.3">
      <c r="A91" s="3">
        <v>45360</v>
      </c>
      <c r="B91" s="5"/>
      <c r="C91" s="7"/>
      <c r="D91" s="7"/>
      <c r="E91" s="7"/>
      <c r="F91" s="7"/>
    </row>
    <row r="92" spans="1:6" x14ac:dyDescent="0.3">
      <c r="A92" s="3">
        <v>45361</v>
      </c>
      <c r="B92" s="5"/>
      <c r="C92" s="7"/>
      <c r="D92" s="7"/>
      <c r="E92" s="7"/>
      <c r="F92" s="7"/>
    </row>
    <row r="93" spans="1:6" x14ac:dyDescent="0.3">
      <c r="A93" s="3">
        <v>45362</v>
      </c>
      <c r="B93" s="5"/>
      <c r="C93" s="7"/>
      <c r="D93" s="7"/>
      <c r="E93" s="7"/>
      <c r="F93" s="7"/>
    </row>
    <row r="94" spans="1:6" x14ac:dyDescent="0.3">
      <c r="A94" s="3">
        <v>45363</v>
      </c>
      <c r="B94" s="5"/>
      <c r="C94" s="7"/>
      <c r="D94" s="7"/>
      <c r="E94" s="7"/>
      <c r="F94" s="7"/>
    </row>
    <row r="95" spans="1:6" x14ac:dyDescent="0.3">
      <c r="A95" s="3">
        <v>45364</v>
      </c>
      <c r="B95" s="5"/>
      <c r="C95" s="7"/>
      <c r="D95" s="7"/>
      <c r="E95" s="7"/>
      <c r="F95" s="7"/>
    </row>
    <row r="96" spans="1:6" x14ac:dyDescent="0.3">
      <c r="A96" s="3">
        <v>45365</v>
      </c>
      <c r="B96" s="5"/>
      <c r="C96" s="7"/>
      <c r="D96" s="7"/>
      <c r="E96" s="7"/>
      <c r="F96" s="7"/>
    </row>
    <row r="97" spans="1:6" x14ac:dyDescent="0.3">
      <c r="A97" s="3">
        <v>45366</v>
      </c>
      <c r="B97" s="5"/>
      <c r="C97" s="7"/>
      <c r="D97" s="7"/>
      <c r="E97" s="7"/>
      <c r="F97" s="7"/>
    </row>
    <row r="98" spans="1:6" x14ac:dyDescent="0.3">
      <c r="A98" s="3">
        <v>45367</v>
      </c>
      <c r="B98" s="5"/>
      <c r="C98" s="7"/>
      <c r="D98" s="7"/>
      <c r="E98" s="7"/>
      <c r="F98" s="7"/>
    </row>
    <row r="99" spans="1:6" x14ac:dyDescent="0.3">
      <c r="A99" s="3">
        <v>45368</v>
      </c>
      <c r="B99" s="5"/>
      <c r="C99" s="7"/>
      <c r="D99" s="7"/>
      <c r="E99" s="7"/>
      <c r="F99" s="7"/>
    </row>
    <row r="100" spans="1:6" x14ac:dyDescent="0.3">
      <c r="A100" s="3">
        <v>45369</v>
      </c>
      <c r="B100" s="5"/>
      <c r="C100" s="7"/>
      <c r="D100" s="7"/>
      <c r="E100" s="7"/>
      <c r="F100" s="7"/>
    </row>
    <row r="101" spans="1:6" x14ac:dyDescent="0.3">
      <c r="A101" s="3">
        <v>45370</v>
      </c>
      <c r="B101" s="5"/>
      <c r="C101" s="7"/>
      <c r="D101" s="7"/>
      <c r="E101" s="7"/>
      <c r="F101" s="7"/>
    </row>
    <row r="102" spans="1:6" x14ac:dyDescent="0.3">
      <c r="A102" s="3">
        <v>45371</v>
      </c>
      <c r="B102" s="5"/>
      <c r="C102" s="7"/>
      <c r="D102" s="7"/>
      <c r="E102" s="7"/>
      <c r="F102" s="7"/>
    </row>
    <row r="103" spans="1:6" x14ac:dyDescent="0.3">
      <c r="A103" s="3">
        <v>45372</v>
      </c>
      <c r="B103" s="5">
        <v>3314465</v>
      </c>
      <c r="C103" s="7"/>
      <c r="D103" s="7">
        <f>표8[[#This Row],[원화자금유입]]+표8[[#This Row],[원화투자회수]]</f>
        <v>3314465</v>
      </c>
      <c r="E103" s="7"/>
      <c r="F103" s="7"/>
    </row>
    <row r="104" spans="1:6" x14ac:dyDescent="0.3">
      <c r="A104" s="3">
        <v>45373</v>
      </c>
      <c r="B104" s="5"/>
      <c r="C104" s="7"/>
      <c r="D104" s="7">
        <f>표8[[#This Row],[원화자금유입]]+표8[[#This Row],[원화투자회수]]</f>
        <v>0</v>
      </c>
      <c r="E104" s="7"/>
      <c r="F104" s="7"/>
    </row>
    <row r="105" spans="1:6" x14ac:dyDescent="0.3">
      <c r="A105" s="3">
        <v>45374</v>
      </c>
      <c r="B105" s="5"/>
      <c r="C105" s="7"/>
      <c r="D105" s="7">
        <f>표8[[#This Row],[원화자금유입]]+표8[[#This Row],[원화투자회수]]</f>
        <v>0</v>
      </c>
      <c r="E105" s="7"/>
      <c r="F105" s="7"/>
    </row>
    <row r="106" spans="1:6" x14ac:dyDescent="0.3">
      <c r="A106" s="3">
        <v>45375</v>
      </c>
      <c r="B106" s="5"/>
      <c r="C106" s="7"/>
      <c r="D106" s="7">
        <f>표8[[#This Row],[원화자금유입]]+표8[[#This Row],[원화투자회수]]</f>
        <v>0</v>
      </c>
      <c r="E106" s="7"/>
      <c r="F106" s="7"/>
    </row>
    <row r="107" spans="1:6" x14ac:dyDescent="0.3">
      <c r="A107" s="3">
        <v>45376</v>
      </c>
      <c r="B107" s="5"/>
      <c r="C107" s="7"/>
      <c r="D107" s="7">
        <f>표8[[#This Row],[원화자금유입]]+표8[[#This Row],[원화투자회수]]</f>
        <v>0</v>
      </c>
      <c r="E107" s="7"/>
      <c r="F107" s="7"/>
    </row>
    <row r="108" spans="1:6" x14ac:dyDescent="0.3">
      <c r="A108" s="3">
        <v>45377</v>
      </c>
      <c r="B108" s="5"/>
      <c r="C108" s="7"/>
      <c r="D108" s="7">
        <f>표8[[#This Row],[원화자금유입]]+표8[[#This Row],[원화투자회수]]</f>
        <v>0</v>
      </c>
      <c r="E108" s="7"/>
      <c r="F108" s="7"/>
    </row>
    <row r="109" spans="1:6" x14ac:dyDescent="0.3">
      <c r="A109" s="3">
        <v>45378</v>
      </c>
      <c r="B109" s="5"/>
      <c r="C109" s="7"/>
      <c r="D109" s="7">
        <f>표8[[#This Row],[원화자금유입]]+표8[[#This Row],[원화투자회수]]</f>
        <v>0</v>
      </c>
      <c r="E109" s="7"/>
      <c r="F109" s="7"/>
    </row>
    <row r="110" spans="1:6" x14ac:dyDescent="0.3">
      <c r="A110" s="3">
        <v>45379</v>
      </c>
      <c r="B110" s="5"/>
      <c r="C110" s="7"/>
      <c r="D110" s="7">
        <f>표8[[#This Row],[원화자금유입]]+표8[[#This Row],[원화투자회수]]</f>
        <v>0</v>
      </c>
      <c r="E110" s="7"/>
      <c r="F110" s="7"/>
    </row>
    <row r="111" spans="1:6" x14ac:dyDescent="0.3">
      <c r="A111" s="3">
        <v>45380</v>
      </c>
      <c r="B111" s="5"/>
      <c r="C111" s="7"/>
      <c r="D111" s="7">
        <f>표8[[#This Row],[원화자금유입]]+표8[[#This Row],[원화투자회수]]</f>
        <v>0</v>
      </c>
      <c r="E111" s="7"/>
      <c r="F111" s="7"/>
    </row>
    <row r="112" spans="1:6" x14ac:dyDescent="0.3">
      <c r="A112" s="3">
        <v>45381</v>
      </c>
      <c r="B112" s="5"/>
      <c r="C112" s="7"/>
      <c r="D112" s="7">
        <f>표8[[#This Row],[원화자금유입]]+표8[[#This Row],[원화투자회수]]</f>
        <v>0</v>
      </c>
      <c r="E112" s="7"/>
      <c r="F112" s="7"/>
    </row>
    <row r="113" spans="1:6" x14ac:dyDescent="0.3">
      <c r="A113" s="3">
        <v>45382</v>
      </c>
      <c r="B113" s="5"/>
      <c r="C113" s="7"/>
      <c r="D113" s="7">
        <f>표8[[#This Row],[원화자금유입]]+표8[[#This Row],[원화투자회수]]</f>
        <v>0</v>
      </c>
      <c r="E113" s="7"/>
      <c r="F113" s="7"/>
    </row>
    <row r="114" spans="1:6" x14ac:dyDescent="0.3">
      <c r="A114" s="3">
        <v>45383</v>
      </c>
      <c r="B114" s="5"/>
      <c r="C114" s="7"/>
      <c r="D114" s="7">
        <f>표8[[#This Row],[원화자금유입]]+표8[[#This Row],[원화투자회수]]</f>
        <v>0</v>
      </c>
      <c r="E114" s="7"/>
      <c r="F114" s="7"/>
    </row>
    <row r="115" spans="1:6" x14ac:dyDescent="0.3">
      <c r="A115" s="3">
        <v>45384</v>
      </c>
      <c r="B115" s="5"/>
      <c r="C115" s="7"/>
      <c r="D115" s="7">
        <f>표8[[#This Row],[원화자금유입]]+표8[[#This Row],[원화투자회수]]</f>
        <v>0</v>
      </c>
      <c r="E115" s="7"/>
      <c r="F115" s="7"/>
    </row>
    <row r="116" spans="1:6" x14ac:dyDescent="0.3">
      <c r="A116" s="3">
        <v>45385</v>
      </c>
      <c r="B116" s="5"/>
      <c r="C116" s="7"/>
      <c r="D116" s="7">
        <f>표8[[#This Row],[원화자금유입]]+표8[[#This Row],[원화투자회수]]</f>
        <v>0</v>
      </c>
      <c r="E116" s="7"/>
      <c r="F116" s="7"/>
    </row>
    <row r="117" spans="1:6" x14ac:dyDescent="0.3">
      <c r="A117" s="3">
        <v>45386</v>
      </c>
      <c r="B117" s="5"/>
      <c r="C117" s="7"/>
      <c r="D117" s="7">
        <f>표8[[#This Row],[원화자금유입]]+표8[[#This Row],[원화투자회수]]</f>
        <v>0</v>
      </c>
      <c r="E117" s="7"/>
      <c r="F117" s="7"/>
    </row>
    <row r="118" spans="1:6" x14ac:dyDescent="0.3">
      <c r="A118" s="3">
        <v>45387</v>
      </c>
      <c r="B118" s="5"/>
      <c r="C118" s="7"/>
      <c r="D118" s="7">
        <f>표8[[#This Row],[원화자금유입]]+표8[[#This Row],[원화투자회수]]</f>
        <v>0</v>
      </c>
      <c r="E118" s="7"/>
      <c r="F118" s="7"/>
    </row>
    <row r="119" spans="1:6" x14ac:dyDescent="0.3">
      <c r="A119" s="3">
        <v>45388</v>
      </c>
      <c r="B119" s="5"/>
      <c r="C119" s="7"/>
      <c r="D119" s="7">
        <f>표8[[#This Row],[원화자금유입]]+표8[[#This Row],[원화투자회수]]</f>
        <v>0</v>
      </c>
      <c r="E119" s="7"/>
      <c r="F119" s="7"/>
    </row>
    <row r="120" spans="1:6" x14ac:dyDescent="0.3">
      <c r="A120" s="3">
        <v>45389</v>
      </c>
      <c r="B120" s="5"/>
      <c r="C120" s="7"/>
      <c r="D120" s="7">
        <f>표8[[#This Row],[원화자금유입]]+표8[[#This Row],[원화투자회수]]</f>
        <v>0</v>
      </c>
      <c r="E120" s="7"/>
      <c r="F120" s="7"/>
    </row>
    <row r="121" spans="1:6" x14ac:dyDescent="0.3">
      <c r="A121" s="3">
        <v>45390</v>
      </c>
      <c r="B121" s="5"/>
      <c r="C121" s="7"/>
      <c r="D121" s="7">
        <f>표8[[#This Row],[원화자금유입]]+표8[[#This Row],[원화투자회수]]</f>
        <v>0</v>
      </c>
      <c r="E121" s="7"/>
      <c r="F121" s="7"/>
    </row>
    <row r="122" spans="1:6" x14ac:dyDescent="0.3">
      <c r="A122" s="3">
        <v>45391</v>
      </c>
      <c r="B122" s="5"/>
      <c r="C122" s="7"/>
      <c r="D122" s="7">
        <f>표8[[#This Row],[원화자금유입]]+표8[[#This Row],[원화투자회수]]</f>
        <v>0</v>
      </c>
      <c r="E122" s="7"/>
      <c r="F122" s="7"/>
    </row>
    <row r="123" spans="1:6" x14ac:dyDescent="0.3">
      <c r="A123" s="3">
        <v>45392</v>
      </c>
      <c r="B123" s="5"/>
      <c r="C123" s="7"/>
      <c r="D123" s="7">
        <f>표8[[#This Row],[원화자금유입]]+표8[[#This Row],[원화투자회수]]</f>
        <v>0</v>
      </c>
      <c r="E123" s="7"/>
      <c r="F123" s="7"/>
    </row>
    <row r="124" spans="1:6" x14ac:dyDescent="0.3">
      <c r="A124" s="3">
        <v>45393</v>
      </c>
      <c r="B124" s="5"/>
      <c r="C124" s="7"/>
      <c r="D124" s="7">
        <f>표8[[#This Row],[원화자금유입]]+표8[[#This Row],[원화투자회수]]</f>
        <v>0</v>
      </c>
      <c r="E124" s="7"/>
      <c r="F124" s="7"/>
    </row>
    <row r="125" spans="1:6" x14ac:dyDescent="0.3">
      <c r="A125" s="3">
        <v>45394</v>
      </c>
      <c r="B125" s="5"/>
      <c r="C125" s="7"/>
      <c r="D125" s="7">
        <f>표8[[#This Row],[원화자금유입]]+표8[[#This Row],[원화투자회수]]</f>
        <v>0</v>
      </c>
      <c r="E125" s="7"/>
      <c r="F125" s="7"/>
    </row>
    <row r="126" spans="1:6" x14ac:dyDescent="0.3">
      <c r="A126" s="3">
        <v>45395</v>
      </c>
      <c r="B126" s="5"/>
      <c r="C126" s="7"/>
      <c r="D126" s="7">
        <f>표8[[#This Row],[원화자금유입]]+표8[[#This Row],[원화투자회수]]</f>
        <v>0</v>
      </c>
      <c r="E126" s="7"/>
      <c r="F126" s="7"/>
    </row>
    <row r="127" spans="1:6" x14ac:dyDescent="0.3">
      <c r="A127" s="3">
        <v>45396</v>
      </c>
      <c r="B127" s="5"/>
      <c r="C127" s="7"/>
      <c r="D127" s="7">
        <f>표8[[#This Row],[원화자금유입]]+표8[[#This Row],[원화투자회수]]</f>
        <v>0</v>
      </c>
      <c r="E127" s="7"/>
      <c r="F127" s="7"/>
    </row>
    <row r="128" spans="1:6" x14ac:dyDescent="0.3">
      <c r="A128" s="3">
        <v>45397</v>
      </c>
      <c r="B128" s="5"/>
      <c r="C128" s="7"/>
      <c r="D128" s="7">
        <f>표8[[#This Row],[원화자금유입]]+표8[[#This Row],[원화투자회수]]</f>
        <v>0</v>
      </c>
      <c r="E128" s="7"/>
      <c r="F128" s="7"/>
    </row>
    <row r="129" spans="1:6" x14ac:dyDescent="0.3">
      <c r="A129" s="3">
        <v>45398</v>
      </c>
      <c r="B129" s="5"/>
      <c r="C129" s="7"/>
      <c r="D129" s="7">
        <f>표8[[#This Row],[원화자금유입]]+표8[[#This Row],[원화투자회수]]</f>
        <v>0</v>
      </c>
      <c r="E129" s="7"/>
      <c r="F129" s="7"/>
    </row>
    <row r="130" spans="1:6" x14ac:dyDescent="0.3">
      <c r="A130" s="3">
        <v>45399</v>
      </c>
      <c r="B130" s="5"/>
      <c r="C130" s="7"/>
      <c r="D130" s="7">
        <f>표8[[#This Row],[원화자금유입]]+표8[[#This Row],[원화투자회수]]</f>
        <v>0</v>
      </c>
      <c r="E130" s="7"/>
      <c r="F130" s="7"/>
    </row>
    <row r="131" spans="1:6" x14ac:dyDescent="0.3">
      <c r="A131" s="3">
        <v>45400</v>
      </c>
      <c r="B131" s="5"/>
      <c r="C131" s="7"/>
      <c r="D131" s="7">
        <f>표8[[#This Row],[원화자금유입]]+표8[[#This Row],[원화투자회수]]</f>
        <v>0</v>
      </c>
      <c r="E131" s="7"/>
      <c r="F131" s="7"/>
    </row>
    <row r="132" spans="1:6" x14ac:dyDescent="0.3">
      <c r="A132" s="3">
        <v>45401</v>
      </c>
      <c r="B132" s="5"/>
      <c r="C132" s="7"/>
      <c r="D132" s="7">
        <f>표8[[#This Row],[원화자금유입]]+표8[[#This Row],[원화투자회수]]</f>
        <v>0</v>
      </c>
      <c r="E132" s="7"/>
      <c r="F132" s="7"/>
    </row>
    <row r="133" spans="1:6" x14ac:dyDescent="0.3">
      <c r="A133" s="3">
        <v>45402</v>
      </c>
      <c r="B133" s="5"/>
      <c r="C133" s="7"/>
      <c r="D133" s="7">
        <f>표8[[#This Row],[원화자금유입]]+표8[[#This Row],[원화투자회수]]</f>
        <v>0</v>
      </c>
      <c r="E133" s="7"/>
      <c r="F133" s="7"/>
    </row>
    <row r="134" spans="1:6" x14ac:dyDescent="0.3">
      <c r="A134" s="3">
        <v>45403</v>
      </c>
      <c r="B134" s="5">
        <v>2683586</v>
      </c>
      <c r="C134" s="7"/>
      <c r="D134" s="7">
        <f>표8[[#This Row],[원화자금유입]]+표8[[#This Row],[원화투자회수]]</f>
        <v>2683586</v>
      </c>
      <c r="E134" s="7"/>
      <c r="F134" s="7"/>
    </row>
    <row r="135" spans="1:6" x14ac:dyDescent="0.3">
      <c r="A135" s="3">
        <v>45404</v>
      </c>
      <c r="B135" s="5"/>
      <c r="C135" s="7"/>
      <c r="D135" s="7">
        <f>표8[[#This Row],[원화자금유입]]+표8[[#This Row],[원화투자회수]]</f>
        <v>0</v>
      </c>
      <c r="E135" s="7"/>
      <c r="F135" s="7"/>
    </row>
    <row r="136" spans="1:6" x14ac:dyDescent="0.3">
      <c r="A136" s="3">
        <v>45405</v>
      </c>
      <c r="B136" s="5"/>
      <c r="C136" s="7"/>
      <c r="D136" s="7">
        <f>표8[[#This Row],[원화자금유입]]+표8[[#This Row],[원화투자회수]]</f>
        <v>0</v>
      </c>
      <c r="E136" s="7"/>
      <c r="F136" s="7"/>
    </row>
    <row r="137" spans="1:6" x14ac:dyDescent="0.3">
      <c r="A137" s="3">
        <v>45406</v>
      </c>
      <c r="B137" s="5"/>
      <c r="C137" s="7"/>
      <c r="D137" s="7">
        <f>표8[[#This Row],[원화자금유입]]+표8[[#This Row],[원화투자회수]]</f>
        <v>0</v>
      </c>
      <c r="E137" s="7"/>
      <c r="F137" s="7"/>
    </row>
    <row r="138" spans="1:6" x14ac:dyDescent="0.3">
      <c r="A138" s="3">
        <v>45407</v>
      </c>
      <c r="B138" s="5"/>
      <c r="C138" s="7"/>
      <c r="D138" s="7">
        <f>표8[[#This Row],[원화자금유입]]+표8[[#This Row],[원화투자회수]]</f>
        <v>0</v>
      </c>
      <c r="E138" s="7"/>
      <c r="F138" s="7"/>
    </row>
    <row r="139" spans="1:6" x14ac:dyDescent="0.3">
      <c r="A139" s="3">
        <v>45408</v>
      </c>
      <c r="B139" s="5"/>
      <c r="C139" s="7"/>
      <c r="D139" s="7">
        <f>표8[[#This Row],[원화자금유입]]+표8[[#This Row],[원화투자회수]]</f>
        <v>0</v>
      </c>
      <c r="E139" s="7"/>
      <c r="F139" s="7"/>
    </row>
    <row r="140" spans="1:6" x14ac:dyDescent="0.3">
      <c r="A140" s="3">
        <v>45409</v>
      </c>
      <c r="B140" s="5"/>
      <c r="C140" s="7"/>
      <c r="D140" s="7">
        <f>표8[[#This Row],[원화자금유입]]+표8[[#This Row],[원화투자회수]]</f>
        <v>0</v>
      </c>
      <c r="E140" s="7"/>
      <c r="F140" s="7"/>
    </row>
    <row r="141" spans="1:6" x14ac:dyDescent="0.3">
      <c r="A141" s="3">
        <v>45410</v>
      </c>
      <c r="B141" s="5"/>
      <c r="C141" s="7"/>
      <c r="D141" s="7">
        <f>표8[[#This Row],[원화자금유입]]+표8[[#This Row],[원화투자회수]]</f>
        <v>0</v>
      </c>
      <c r="E141" s="7"/>
      <c r="F141" s="7"/>
    </row>
    <row r="142" spans="1:6" x14ac:dyDescent="0.3">
      <c r="A142" s="3">
        <v>45411</v>
      </c>
      <c r="B142" s="5"/>
      <c r="C142" s="7"/>
      <c r="D142" s="7">
        <f>표8[[#This Row],[원화자금유입]]+표8[[#This Row],[원화투자회수]]</f>
        <v>0</v>
      </c>
      <c r="E142" s="7"/>
      <c r="F142" s="7"/>
    </row>
    <row r="143" spans="1:6" x14ac:dyDescent="0.3">
      <c r="A143" s="3">
        <v>45412</v>
      </c>
      <c r="B143" s="5"/>
      <c r="C143" s="7"/>
      <c r="D143" s="7">
        <f>표8[[#This Row],[원화자금유입]]+표8[[#This Row],[원화투자회수]]</f>
        <v>0</v>
      </c>
      <c r="E143" s="7"/>
      <c r="F143" s="7"/>
    </row>
    <row r="144" spans="1:6" x14ac:dyDescent="0.3">
      <c r="A144" s="3">
        <v>45413</v>
      </c>
      <c r="B144" s="5"/>
      <c r="C144" s="7"/>
      <c r="D144" s="7">
        <f>표8[[#This Row],[원화자금유입]]+표8[[#This Row],[원화투자회수]]</f>
        <v>0</v>
      </c>
      <c r="E144" s="7"/>
      <c r="F144" s="7"/>
    </row>
    <row r="145" spans="1:6" x14ac:dyDescent="0.3">
      <c r="A145" s="3">
        <v>45414</v>
      </c>
      <c r="B145" s="5"/>
      <c r="C145" s="7"/>
      <c r="D145" s="7">
        <f>표8[[#This Row],[원화자금유입]]+표8[[#This Row],[원화투자회수]]</f>
        <v>0</v>
      </c>
      <c r="E145" s="7"/>
      <c r="F145" s="7"/>
    </row>
    <row r="146" spans="1:6" x14ac:dyDescent="0.3">
      <c r="A146" s="3">
        <v>45415</v>
      </c>
      <c r="B146" s="5"/>
      <c r="C146" s="7"/>
      <c r="D146" s="7">
        <f>표8[[#This Row],[원화자금유입]]+표8[[#This Row],[원화투자회수]]</f>
        <v>0</v>
      </c>
      <c r="E146" s="7"/>
      <c r="F146" s="7"/>
    </row>
    <row r="147" spans="1:6" x14ac:dyDescent="0.3">
      <c r="A147" s="3">
        <v>45416</v>
      </c>
      <c r="B147" s="5"/>
      <c r="C147" s="7"/>
      <c r="D147" s="7">
        <f>표8[[#This Row],[원화자금유입]]+표8[[#This Row],[원화투자회수]]</f>
        <v>0</v>
      </c>
      <c r="E147" s="7"/>
      <c r="F147" s="7"/>
    </row>
    <row r="148" spans="1:6" x14ac:dyDescent="0.3">
      <c r="A148" s="3">
        <v>45417</v>
      </c>
      <c r="B148" s="5"/>
      <c r="C148" s="7"/>
      <c r="D148" s="7">
        <f>표8[[#This Row],[원화자금유입]]+표8[[#This Row],[원화투자회수]]</f>
        <v>0</v>
      </c>
      <c r="E148" s="7"/>
      <c r="F148" s="7"/>
    </row>
    <row r="149" spans="1:6" x14ac:dyDescent="0.3">
      <c r="A149" s="3">
        <v>45418</v>
      </c>
      <c r="B149" s="5"/>
      <c r="C149" s="7"/>
      <c r="D149" s="7">
        <f>표8[[#This Row],[원화자금유입]]+표8[[#This Row],[원화투자회수]]</f>
        <v>0</v>
      </c>
      <c r="E149" s="7"/>
      <c r="F149" s="7"/>
    </row>
    <row r="150" spans="1:6" x14ac:dyDescent="0.3">
      <c r="A150" s="3">
        <v>45419</v>
      </c>
      <c r="B150" s="5"/>
      <c r="C150" s="7"/>
      <c r="D150" s="7">
        <f>표8[[#This Row],[원화자금유입]]+표8[[#This Row],[원화투자회수]]</f>
        <v>0</v>
      </c>
      <c r="E150" s="7"/>
      <c r="F150" s="7"/>
    </row>
    <row r="151" spans="1:6" x14ac:dyDescent="0.3">
      <c r="A151" s="3">
        <v>45420</v>
      </c>
      <c r="B151" s="5"/>
      <c r="C151" s="7"/>
      <c r="D151" s="7">
        <f>표8[[#This Row],[원화자금유입]]+표8[[#This Row],[원화투자회수]]</f>
        <v>0</v>
      </c>
      <c r="E151" s="7"/>
      <c r="F151" s="7"/>
    </row>
    <row r="152" spans="1:6" x14ac:dyDescent="0.3">
      <c r="A152" s="3">
        <v>45421</v>
      </c>
      <c r="B152" s="5"/>
      <c r="C152" s="7"/>
      <c r="D152" s="7">
        <f>표8[[#This Row],[원화자금유입]]+표8[[#This Row],[원화투자회수]]</f>
        <v>0</v>
      </c>
      <c r="E152" s="7"/>
      <c r="F152" s="7"/>
    </row>
    <row r="153" spans="1:6" x14ac:dyDescent="0.3">
      <c r="A153" s="3">
        <v>45422</v>
      </c>
      <c r="B153" s="5"/>
      <c r="C153" s="7"/>
      <c r="D153" s="7">
        <f>표8[[#This Row],[원화자금유입]]+표8[[#This Row],[원화투자회수]]</f>
        <v>0</v>
      </c>
      <c r="E153" s="7"/>
      <c r="F153" s="7"/>
    </row>
    <row r="154" spans="1:6" x14ac:dyDescent="0.3">
      <c r="A154" s="3">
        <v>45423</v>
      </c>
      <c r="B154" s="5"/>
      <c r="C154" s="7"/>
      <c r="D154" s="7">
        <f>표8[[#This Row],[원화자금유입]]+표8[[#This Row],[원화투자회수]]</f>
        <v>0</v>
      </c>
      <c r="E154" s="7"/>
      <c r="F154" s="7"/>
    </row>
    <row r="155" spans="1:6" x14ac:dyDescent="0.3">
      <c r="A155" s="3">
        <v>45424</v>
      </c>
      <c r="B155" s="5"/>
      <c r="C155" s="7"/>
      <c r="D155" s="7">
        <f>표8[[#This Row],[원화자금유입]]+표8[[#This Row],[원화투자회수]]</f>
        <v>0</v>
      </c>
      <c r="E155" s="7"/>
      <c r="F155" s="7"/>
    </row>
    <row r="156" spans="1:6" x14ac:dyDescent="0.3">
      <c r="A156" s="3">
        <v>45425</v>
      </c>
      <c r="B156" s="5"/>
      <c r="C156" s="7"/>
      <c r="D156" s="7">
        <f>표8[[#This Row],[원화자금유입]]+표8[[#This Row],[원화투자회수]]</f>
        <v>0</v>
      </c>
      <c r="E156" s="7"/>
      <c r="F156" s="7"/>
    </row>
    <row r="157" spans="1:6" x14ac:dyDescent="0.3">
      <c r="A157" s="3">
        <v>45426</v>
      </c>
      <c r="B157" s="5"/>
      <c r="C157" s="7"/>
      <c r="D157" s="7">
        <f>표8[[#This Row],[원화자금유입]]+표8[[#This Row],[원화투자회수]]</f>
        <v>0</v>
      </c>
      <c r="E157" s="7"/>
      <c r="F157" s="7"/>
    </row>
    <row r="158" spans="1:6" x14ac:dyDescent="0.3">
      <c r="A158" s="3">
        <v>45427</v>
      </c>
      <c r="B158" s="5"/>
      <c r="C158" s="7"/>
      <c r="D158" s="7">
        <f>표8[[#This Row],[원화자금유입]]+표8[[#This Row],[원화투자회수]]</f>
        <v>0</v>
      </c>
      <c r="E158" s="7"/>
      <c r="F158" s="7"/>
    </row>
    <row r="159" spans="1:6" x14ac:dyDescent="0.3">
      <c r="A159" s="3">
        <v>45428</v>
      </c>
      <c r="B159" s="5"/>
      <c r="C159" s="7"/>
      <c r="D159" s="7">
        <f>표8[[#This Row],[원화자금유입]]+표8[[#This Row],[원화투자회수]]</f>
        <v>0</v>
      </c>
      <c r="E159" s="7"/>
      <c r="F159" s="7"/>
    </row>
    <row r="160" spans="1:6" x14ac:dyDescent="0.3">
      <c r="A160" s="3">
        <v>45429</v>
      </c>
      <c r="B160" s="5"/>
      <c r="C160" s="7"/>
      <c r="D160" s="7">
        <f>표8[[#This Row],[원화자금유입]]+표8[[#This Row],[원화투자회수]]</f>
        <v>0</v>
      </c>
      <c r="E160" s="7"/>
      <c r="F160" s="7"/>
    </row>
    <row r="161" spans="1:6" x14ac:dyDescent="0.3">
      <c r="A161" s="3">
        <v>45430</v>
      </c>
      <c r="B161" s="5"/>
      <c r="C161" s="7"/>
      <c r="D161" s="7">
        <f>표8[[#This Row],[원화자금유입]]+표8[[#This Row],[원화투자회수]]</f>
        <v>0</v>
      </c>
      <c r="E161" s="7"/>
      <c r="F161" s="7"/>
    </row>
    <row r="162" spans="1:6" x14ac:dyDescent="0.3">
      <c r="A162" s="3">
        <v>45431</v>
      </c>
      <c r="B162" s="5"/>
      <c r="C162" s="7"/>
      <c r="D162" s="7">
        <f>표8[[#This Row],[원화자금유입]]+표8[[#This Row],[원화투자회수]]</f>
        <v>0</v>
      </c>
      <c r="E162" s="7"/>
      <c r="F162" s="7"/>
    </row>
    <row r="163" spans="1:6" x14ac:dyDescent="0.3">
      <c r="A163" s="3">
        <v>45432</v>
      </c>
      <c r="B163" s="5"/>
      <c r="C163" s="7"/>
      <c r="D163" s="7">
        <f>표8[[#This Row],[원화자금유입]]+표8[[#This Row],[원화투자회수]]</f>
        <v>0</v>
      </c>
      <c r="E163" s="7"/>
      <c r="F163" s="7"/>
    </row>
    <row r="164" spans="1:6" x14ac:dyDescent="0.3">
      <c r="A164" s="3">
        <v>45433</v>
      </c>
      <c r="B164" s="5">
        <v>4132261</v>
      </c>
      <c r="C164" s="7"/>
      <c r="D164" s="7">
        <f>표8[[#This Row],[원화자금유입]]+표8[[#This Row],[원화투자회수]]</f>
        <v>4132261</v>
      </c>
      <c r="E164" s="7"/>
      <c r="F164" s="7"/>
    </row>
    <row r="165" spans="1:6" x14ac:dyDescent="0.3">
      <c r="A165" s="3">
        <v>45434</v>
      </c>
      <c r="B165" s="5"/>
      <c r="C165" s="7"/>
      <c r="D165" s="7">
        <f>표8[[#This Row],[원화자금유입]]+표8[[#This Row],[원화투자회수]]</f>
        <v>0</v>
      </c>
      <c r="E165" s="7"/>
      <c r="F165" s="7"/>
    </row>
    <row r="166" spans="1:6" x14ac:dyDescent="0.3">
      <c r="A166" s="3">
        <v>45435</v>
      </c>
      <c r="B166" s="5"/>
      <c r="C166" s="7"/>
      <c r="D166" s="7">
        <f>표8[[#This Row],[원화자금유입]]+표8[[#This Row],[원화투자회수]]</f>
        <v>0</v>
      </c>
      <c r="E166" s="7"/>
      <c r="F166" s="7"/>
    </row>
    <row r="167" spans="1:6" x14ac:dyDescent="0.3">
      <c r="A167" s="3">
        <v>45436</v>
      </c>
      <c r="B167" s="5"/>
      <c r="C167" s="7"/>
      <c r="D167" s="7">
        <f>표8[[#This Row],[원화자금유입]]+표8[[#This Row],[원화투자회수]]</f>
        <v>0</v>
      </c>
      <c r="E167" s="7"/>
      <c r="F167" s="7"/>
    </row>
    <row r="168" spans="1:6" x14ac:dyDescent="0.3">
      <c r="A168" s="3">
        <v>45437</v>
      </c>
      <c r="B168" s="5"/>
      <c r="C168" s="7"/>
      <c r="D168" s="7">
        <f>표8[[#This Row],[원화자금유입]]+표8[[#This Row],[원화투자회수]]</f>
        <v>0</v>
      </c>
      <c r="E168" s="7"/>
      <c r="F168" s="7"/>
    </row>
    <row r="169" spans="1:6" x14ac:dyDescent="0.3">
      <c r="A169" s="3">
        <v>45438</v>
      </c>
      <c r="B169" s="5"/>
      <c r="C169" s="7"/>
      <c r="D169" s="7">
        <f>표8[[#This Row],[원화자금유입]]+표8[[#This Row],[원화투자회수]]</f>
        <v>0</v>
      </c>
      <c r="E169" s="7"/>
      <c r="F169" s="7"/>
    </row>
    <row r="170" spans="1:6" x14ac:dyDescent="0.3">
      <c r="A170" s="3">
        <v>45439</v>
      </c>
      <c r="B170" s="5"/>
      <c r="C170" s="7"/>
      <c r="D170" s="7">
        <f>표8[[#This Row],[원화자금유입]]+표8[[#This Row],[원화투자회수]]</f>
        <v>0</v>
      </c>
      <c r="E170" s="7"/>
      <c r="F170" s="7"/>
    </row>
    <row r="171" spans="1:6" x14ac:dyDescent="0.3">
      <c r="A171" s="3">
        <v>45440</v>
      </c>
      <c r="B171" s="5"/>
      <c r="C171" s="7"/>
      <c r="D171" s="7">
        <f>표8[[#This Row],[원화자금유입]]+표8[[#This Row],[원화투자회수]]</f>
        <v>0</v>
      </c>
      <c r="E171" s="7"/>
      <c r="F171" s="7"/>
    </row>
    <row r="172" spans="1:6" x14ac:dyDescent="0.3">
      <c r="A172" s="3">
        <v>45441</v>
      </c>
      <c r="B172" s="5"/>
      <c r="C172" s="7"/>
      <c r="D172" s="7">
        <f>표8[[#This Row],[원화자금유입]]+표8[[#This Row],[원화투자회수]]</f>
        <v>0</v>
      </c>
      <c r="E172" s="7"/>
      <c r="F172" s="7"/>
    </row>
    <row r="173" spans="1:6" x14ac:dyDescent="0.3">
      <c r="A173" s="3">
        <v>45442</v>
      </c>
      <c r="B173" s="5"/>
      <c r="C173" s="7"/>
      <c r="D173" s="7">
        <f>표8[[#This Row],[원화자금유입]]+표8[[#This Row],[원화투자회수]]</f>
        <v>0</v>
      </c>
      <c r="E173" s="7"/>
      <c r="F173" s="7"/>
    </row>
    <row r="174" spans="1:6" x14ac:dyDescent="0.3">
      <c r="A174" s="3">
        <v>45443</v>
      </c>
      <c r="B174" s="5"/>
      <c r="C174" s="7"/>
      <c r="D174" s="7">
        <f>표8[[#This Row],[원화자금유입]]+표8[[#This Row],[원화투자회수]]</f>
        <v>0</v>
      </c>
      <c r="E174" s="7"/>
      <c r="F174" s="7"/>
    </row>
    <row r="175" spans="1:6" x14ac:dyDescent="0.3">
      <c r="A175" s="3">
        <v>45444</v>
      </c>
      <c r="B175" s="5"/>
      <c r="C175" s="7"/>
      <c r="D175" s="7">
        <f>표8[[#This Row],[원화자금유입]]+표8[[#This Row],[원화투자회수]]</f>
        <v>0</v>
      </c>
      <c r="E175" s="7"/>
      <c r="F175" s="7"/>
    </row>
    <row r="176" spans="1:6" x14ac:dyDescent="0.3">
      <c r="A176" s="3">
        <v>45445</v>
      </c>
      <c r="B176" s="5"/>
      <c r="C176" s="7"/>
      <c r="D176" s="7">
        <f>표8[[#This Row],[원화자금유입]]+표8[[#This Row],[원화투자회수]]</f>
        <v>0</v>
      </c>
      <c r="E176" s="7"/>
      <c r="F176" s="7"/>
    </row>
    <row r="177" spans="1:6" x14ac:dyDescent="0.3">
      <c r="A177" s="3">
        <v>45446</v>
      </c>
      <c r="B177" s="5"/>
      <c r="C177" s="7"/>
      <c r="D177" s="7">
        <f>표8[[#This Row],[원화자금유입]]+표8[[#This Row],[원화투자회수]]</f>
        <v>0</v>
      </c>
      <c r="E177" s="7"/>
      <c r="F177" s="7"/>
    </row>
    <row r="178" spans="1:6" x14ac:dyDescent="0.3">
      <c r="A178" s="3">
        <v>45447</v>
      </c>
      <c r="B178" s="5"/>
      <c r="C178" s="7">
        <v>5010238</v>
      </c>
      <c r="D178" s="7">
        <f>표8[[#This Row],[원화자금유입]]+표8[[#This Row],[원화투자회수]]</f>
        <v>5010238</v>
      </c>
      <c r="E178" s="7"/>
      <c r="F178" s="7"/>
    </row>
    <row r="179" spans="1:6" x14ac:dyDescent="0.3">
      <c r="A179" s="3">
        <v>45448</v>
      </c>
      <c r="B179" s="5"/>
      <c r="C179" s="7"/>
      <c r="D179" s="7">
        <f>표8[[#This Row],[원화자금유입]]+표8[[#This Row],[원화투자회수]]</f>
        <v>0</v>
      </c>
      <c r="E179" s="7"/>
      <c r="F179" s="7"/>
    </row>
    <row r="180" spans="1:6" x14ac:dyDescent="0.3">
      <c r="A180" s="3">
        <v>45449</v>
      </c>
      <c r="B180" s="5"/>
      <c r="C180" s="7"/>
      <c r="D180" s="7">
        <f>표8[[#This Row],[원화자금유입]]+표8[[#This Row],[원화투자회수]]</f>
        <v>0</v>
      </c>
      <c r="E180" s="7"/>
      <c r="F180" s="7"/>
    </row>
    <row r="181" spans="1:6" x14ac:dyDescent="0.3">
      <c r="A181" s="3">
        <v>45450</v>
      </c>
      <c r="B181" s="5"/>
      <c r="C181" s="7"/>
      <c r="D181" s="7">
        <f>표8[[#This Row],[원화자금유입]]+표8[[#This Row],[원화투자회수]]</f>
        <v>0</v>
      </c>
      <c r="E181" s="7"/>
      <c r="F181" s="7"/>
    </row>
    <row r="182" spans="1:6" x14ac:dyDescent="0.3">
      <c r="A182" s="3">
        <v>45451</v>
      </c>
      <c r="B182" s="5"/>
      <c r="C182" s="7"/>
      <c r="D182" s="7">
        <f>표8[[#This Row],[원화자금유입]]+표8[[#This Row],[원화투자회수]]</f>
        <v>0</v>
      </c>
      <c r="E182" s="7"/>
      <c r="F182" s="7"/>
    </row>
    <row r="183" spans="1:6" x14ac:dyDescent="0.3">
      <c r="A183" s="3">
        <v>45452</v>
      </c>
      <c r="B183" s="5"/>
      <c r="C183" s="7"/>
      <c r="D183" s="7">
        <f>표8[[#This Row],[원화자금유입]]+표8[[#This Row],[원화투자회수]]</f>
        <v>0</v>
      </c>
      <c r="E183" s="7"/>
      <c r="F183" s="7"/>
    </row>
    <row r="184" spans="1:6" x14ac:dyDescent="0.3">
      <c r="A184" s="3">
        <v>45453</v>
      </c>
      <c r="B184" s="5"/>
      <c r="C184" s="7"/>
      <c r="D184" s="7">
        <f>표8[[#This Row],[원화자금유입]]+표8[[#This Row],[원화투자회수]]</f>
        <v>0</v>
      </c>
      <c r="E184" s="7"/>
      <c r="F184" s="7"/>
    </row>
    <row r="185" spans="1:6" x14ac:dyDescent="0.3">
      <c r="A185" s="3">
        <v>45454</v>
      </c>
      <c r="B185" s="5"/>
      <c r="C185" s="7"/>
      <c r="D185" s="7">
        <f>표8[[#This Row],[원화자금유입]]+표8[[#This Row],[원화투자회수]]</f>
        <v>0</v>
      </c>
      <c r="E185" s="7"/>
      <c r="F185" s="7"/>
    </row>
    <row r="186" spans="1:6" x14ac:dyDescent="0.3">
      <c r="A186" s="3">
        <v>45455</v>
      </c>
      <c r="B186" s="5"/>
      <c r="C186" s="7"/>
      <c r="D186" s="7">
        <f>표8[[#This Row],[원화자금유입]]+표8[[#This Row],[원화투자회수]]</f>
        <v>0</v>
      </c>
      <c r="E186" s="7"/>
      <c r="F186" s="7"/>
    </row>
    <row r="187" spans="1:6" x14ac:dyDescent="0.3">
      <c r="A187" s="3">
        <v>45456</v>
      </c>
      <c r="B187" s="5"/>
      <c r="C187" s="7"/>
      <c r="D187" s="7">
        <f>표8[[#This Row],[원화자금유입]]+표8[[#This Row],[원화투자회수]]</f>
        <v>0</v>
      </c>
      <c r="E187" s="7"/>
      <c r="F187" s="7"/>
    </row>
    <row r="188" spans="1:6" x14ac:dyDescent="0.3">
      <c r="A188" s="3">
        <v>45457</v>
      </c>
      <c r="B188" s="5"/>
      <c r="C188" s="7"/>
      <c r="D188" s="7">
        <f>표8[[#This Row],[원화자금유입]]+표8[[#This Row],[원화투자회수]]</f>
        <v>0</v>
      </c>
      <c r="E188" s="7"/>
      <c r="F188" s="7"/>
    </row>
    <row r="189" spans="1:6" x14ac:dyDescent="0.3">
      <c r="A189" s="3">
        <v>45458</v>
      </c>
      <c r="B189" s="5"/>
      <c r="C189" s="7"/>
      <c r="D189" s="7">
        <f>표8[[#This Row],[원화자금유입]]+표8[[#This Row],[원화투자회수]]</f>
        <v>0</v>
      </c>
      <c r="E189" s="7"/>
      <c r="F189" s="7"/>
    </row>
    <row r="190" spans="1:6" x14ac:dyDescent="0.3">
      <c r="A190" s="3">
        <v>45459</v>
      </c>
      <c r="B190" s="5"/>
      <c r="C190" s="7"/>
      <c r="D190" s="7">
        <f>표8[[#This Row],[원화자금유입]]+표8[[#This Row],[원화투자회수]]</f>
        <v>0</v>
      </c>
      <c r="E190" s="7"/>
      <c r="F190" s="7"/>
    </row>
    <row r="191" spans="1:6" x14ac:dyDescent="0.3">
      <c r="A191" s="3">
        <v>45460</v>
      </c>
      <c r="B191" s="5"/>
      <c r="C191" s="7"/>
      <c r="D191" s="7">
        <f>표8[[#This Row],[원화자금유입]]+표8[[#This Row],[원화투자회수]]</f>
        <v>0</v>
      </c>
      <c r="E191" s="7"/>
      <c r="F191" s="7"/>
    </row>
    <row r="192" spans="1:6" x14ac:dyDescent="0.3">
      <c r="A192" s="3">
        <v>45461</v>
      </c>
      <c r="B192" s="5"/>
      <c r="C192" s="7"/>
      <c r="D192" s="7">
        <f>표8[[#This Row],[원화자금유입]]+표8[[#This Row],[원화투자회수]]</f>
        <v>0</v>
      </c>
      <c r="E192" s="7"/>
      <c r="F192" s="7"/>
    </row>
    <row r="193" spans="1:6" x14ac:dyDescent="0.3">
      <c r="A193" s="3">
        <v>45462</v>
      </c>
      <c r="B193" s="5"/>
      <c r="C193" s="7"/>
      <c r="D193" s="7">
        <f>표8[[#This Row],[원화자금유입]]+표8[[#This Row],[원화투자회수]]</f>
        <v>0</v>
      </c>
      <c r="E193" s="7"/>
      <c r="F193" s="7"/>
    </row>
    <row r="194" spans="1:6" x14ac:dyDescent="0.3">
      <c r="A194" s="3">
        <v>45463</v>
      </c>
      <c r="B194" s="5"/>
      <c r="C194" s="7"/>
      <c r="D194" s="7">
        <f>표8[[#This Row],[원화자금유입]]+표8[[#This Row],[원화투자회수]]</f>
        <v>0</v>
      </c>
      <c r="E194" s="7"/>
      <c r="F194" s="7"/>
    </row>
    <row r="195" spans="1:6" x14ac:dyDescent="0.3">
      <c r="A195" s="3">
        <v>45464</v>
      </c>
      <c r="B195" s="5">
        <v>3048373</v>
      </c>
      <c r="C195" s="7"/>
      <c r="D195" s="7">
        <f>표8[[#This Row],[원화자금유입]]+표8[[#This Row],[원화투자회수]]</f>
        <v>3048373</v>
      </c>
      <c r="E195" s="7"/>
      <c r="F195" s="7"/>
    </row>
    <row r="196" spans="1:6" x14ac:dyDescent="0.3">
      <c r="A196" s="3">
        <v>45465</v>
      </c>
      <c r="B196" s="5"/>
      <c r="C196" s="7"/>
      <c r="D196" s="7">
        <f>표8[[#This Row],[원화자금유입]]+표8[[#This Row],[원화투자회수]]</f>
        <v>0</v>
      </c>
      <c r="E196" s="7"/>
      <c r="F196" s="7"/>
    </row>
    <row r="197" spans="1:6" x14ac:dyDescent="0.3">
      <c r="A197" s="3">
        <v>45466</v>
      </c>
      <c r="B197" s="5"/>
      <c r="C197" s="7"/>
      <c r="D197" s="7">
        <f>표8[[#This Row],[원화자금유입]]+표8[[#This Row],[원화투자회수]]</f>
        <v>0</v>
      </c>
      <c r="E197" s="7"/>
      <c r="F197" s="7"/>
    </row>
    <row r="198" spans="1:6" x14ac:dyDescent="0.3">
      <c r="A198" s="3">
        <v>45467</v>
      </c>
      <c r="B198" s="5"/>
      <c r="C198" s="7"/>
      <c r="D198" s="7">
        <f>표8[[#This Row],[원화자금유입]]+표8[[#This Row],[원화투자회수]]</f>
        <v>0</v>
      </c>
      <c r="E198" s="7"/>
      <c r="F198" s="7"/>
    </row>
    <row r="199" spans="1:6" x14ac:dyDescent="0.3">
      <c r="A199" s="3">
        <v>45468</v>
      </c>
      <c r="B199" s="5"/>
      <c r="C199" s="7"/>
      <c r="D199" s="7">
        <f>표8[[#This Row],[원화자금유입]]+표8[[#This Row],[원화투자회수]]</f>
        <v>0</v>
      </c>
      <c r="E199" s="7"/>
      <c r="F199" s="7"/>
    </row>
    <row r="200" spans="1:6" x14ac:dyDescent="0.3">
      <c r="A200" s="3">
        <v>45469</v>
      </c>
      <c r="B200" s="5"/>
      <c r="C200" s="7"/>
      <c r="D200" s="7">
        <f>표8[[#This Row],[원화자금유입]]+표8[[#This Row],[원화투자회수]]</f>
        <v>0</v>
      </c>
      <c r="E200" s="7"/>
      <c r="F200" s="7"/>
    </row>
    <row r="201" spans="1:6" x14ac:dyDescent="0.3">
      <c r="A201" s="3">
        <v>45470</v>
      </c>
      <c r="B201" s="5"/>
      <c r="C201" s="7"/>
      <c r="D201" s="7">
        <f>표8[[#This Row],[원화자금유입]]+표8[[#This Row],[원화투자회수]]</f>
        <v>0</v>
      </c>
      <c r="E201" s="7"/>
      <c r="F201" s="7"/>
    </row>
    <row r="202" spans="1:6" x14ac:dyDescent="0.3">
      <c r="A202" s="3">
        <v>45471</v>
      </c>
      <c r="B202" s="5"/>
      <c r="C202" s="7"/>
      <c r="D202" s="7">
        <f>표8[[#This Row],[원화자금유입]]+표8[[#This Row],[원화투자회수]]</f>
        <v>0</v>
      </c>
      <c r="E202" s="7"/>
      <c r="F202" s="7"/>
    </row>
    <row r="203" spans="1:6" x14ac:dyDescent="0.3">
      <c r="A203" s="3">
        <v>45472</v>
      </c>
      <c r="B203" s="5"/>
      <c r="C203" s="7"/>
      <c r="D203" s="7">
        <f>표8[[#This Row],[원화자금유입]]+표8[[#This Row],[원화투자회수]]</f>
        <v>0</v>
      </c>
      <c r="E203" s="7"/>
      <c r="F203" s="7"/>
    </row>
    <row r="204" spans="1:6" x14ac:dyDescent="0.3">
      <c r="A204" s="3">
        <v>45473</v>
      </c>
      <c r="B204" s="5"/>
      <c r="C204" s="7"/>
      <c r="D204" s="7">
        <f>표8[[#This Row],[원화자금유입]]+표8[[#This Row],[원화투자회수]]</f>
        <v>0</v>
      </c>
      <c r="E204" s="7"/>
      <c r="F204" s="7"/>
    </row>
    <row r="205" spans="1:6" x14ac:dyDescent="0.3">
      <c r="A205" s="3">
        <v>45474</v>
      </c>
      <c r="B205" s="5"/>
      <c r="C205" s="7"/>
      <c r="D205" s="7">
        <f>표8[[#This Row],[원화자금유입]]+표8[[#This Row],[원화투자회수]]</f>
        <v>0</v>
      </c>
      <c r="E205" s="7"/>
      <c r="F205" s="7"/>
    </row>
    <row r="206" spans="1:6" x14ac:dyDescent="0.3">
      <c r="A206" s="3">
        <v>45475</v>
      </c>
      <c r="B206" s="5"/>
      <c r="C206" s="7"/>
      <c r="D206" s="7">
        <f>표8[[#This Row],[원화자금유입]]+표8[[#This Row],[원화투자회수]]</f>
        <v>0</v>
      </c>
      <c r="E206" s="7"/>
      <c r="F206" s="7"/>
    </row>
    <row r="207" spans="1:6" x14ac:dyDescent="0.3">
      <c r="A207" s="3">
        <v>45476</v>
      </c>
      <c r="B207" s="5"/>
      <c r="C207" s="7"/>
      <c r="D207" s="7">
        <f>표8[[#This Row],[원화자금유입]]+표8[[#This Row],[원화투자회수]]</f>
        <v>0</v>
      </c>
      <c r="E207" s="7"/>
      <c r="F207" s="7"/>
    </row>
    <row r="208" spans="1:6" x14ac:dyDescent="0.3">
      <c r="A208" s="3">
        <v>45477</v>
      </c>
      <c r="B208" s="5"/>
      <c r="C208" s="7"/>
      <c r="D208" s="7">
        <f>표8[[#This Row],[원화자금유입]]+표8[[#This Row],[원화투자회수]]</f>
        <v>0</v>
      </c>
      <c r="E208" s="7"/>
      <c r="F208" s="7"/>
    </row>
    <row r="209" spans="1:6" x14ac:dyDescent="0.3">
      <c r="A209" s="3">
        <v>45478</v>
      </c>
      <c r="B209" s="5"/>
      <c r="C209" s="7"/>
      <c r="D209" s="7">
        <f>표8[[#This Row],[원화자금유입]]+표8[[#This Row],[원화투자회수]]</f>
        <v>0</v>
      </c>
      <c r="E209" s="7"/>
      <c r="F209" s="7"/>
    </row>
    <row r="210" spans="1:6" x14ac:dyDescent="0.3">
      <c r="A210" s="3">
        <v>45479</v>
      </c>
      <c r="B210" s="5"/>
      <c r="C210" s="7"/>
      <c r="D210" s="7">
        <f>표8[[#This Row],[원화자금유입]]+표8[[#This Row],[원화투자회수]]</f>
        <v>0</v>
      </c>
      <c r="E210" s="7"/>
      <c r="F210" s="7"/>
    </row>
    <row r="211" spans="1:6" x14ac:dyDescent="0.3">
      <c r="A211" s="3">
        <v>45480</v>
      </c>
      <c r="B211" s="5"/>
      <c r="C211" s="7"/>
      <c r="D211" s="7">
        <f>표8[[#This Row],[원화자금유입]]+표8[[#This Row],[원화투자회수]]</f>
        <v>0</v>
      </c>
      <c r="E211" s="7"/>
      <c r="F211" s="7"/>
    </row>
    <row r="212" spans="1:6" x14ac:dyDescent="0.3">
      <c r="A212" s="3">
        <v>45481</v>
      </c>
      <c r="B212" s="5"/>
      <c r="C212" s="7"/>
      <c r="D212" s="7">
        <f>표8[[#This Row],[원화자금유입]]+표8[[#This Row],[원화투자회수]]</f>
        <v>0</v>
      </c>
      <c r="E212" s="7"/>
      <c r="F212" s="7"/>
    </row>
    <row r="213" spans="1:6" x14ac:dyDescent="0.3">
      <c r="A213" s="3">
        <v>45482</v>
      </c>
      <c r="B213" s="5"/>
      <c r="C213" s="7"/>
      <c r="D213" s="7">
        <f>표8[[#This Row],[원화자금유입]]+표8[[#This Row],[원화투자회수]]</f>
        <v>0</v>
      </c>
      <c r="E213" s="7"/>
      <c r="F213" s="7"/>
    </row>
    <row r="214" spans="1:6" x14ac:dyDescent="0.3">
      <c r="A214" s="3">
        <v>45483</v>
      </c>
      <c r="B214" s="5"/>
      <c r="C214" s="7"/>
      <c r="D214" s="7">
        <f>표8[[#This Row],[원화자금유입]]+표8[[#This Row],[원화투자회수]]</f>
        <v>0</v>
      </c>
      <c r="E214" s="7"/>
      <c r="F214" s="7"/>
    </row>
    <row r="215" spans="1:6" x14ac:dyDescent="0.3">
      <c r="A215" s="3">
        <v>45484</v>
      </c>
      <c r="B215" s="5"/>
      <c r="C215" s="7"/>
      <c r="D215" s="7">
        <f>표8[[#This Row],[원화자금유입]]+표8[[#This Row],[원화투자회수]]</f>
        <v>0</v>
      </c>
      <c r="E215" s="7"/>
      <c r="F215" s="7"/>
    </row>
    <row r="216" spans="1:6" x14ac:dyDescent="0.3">
      <c r="A216" s="3">
        <v>45485</v>
      </c>
      <c r="B216" s="5"/>
      <c r="C216" s="7"/>
      <c r="D216" s="7">
        <f>표8[[#This Row],[원화자금유입]]+표8[[#This Row],[원화투자회수]]</f>
        <v>0</v>
      </c>
      <c r="E216" s="7"/>
      <c r="F216" s="7"/>
    </row>
    <row r="217" spans="1:6" x14ac:dyDescent="0.3">
      <c r="A217" s="3">
        <v>45486</v>
      </c>
      <c r="B217" s="5"/>
      <c r="C217" s="7"/>
      <c r="D217" s="7">
        <f>표8[[#This Row],[원화자금유입]]+표8[[#This Row],[원화투자회수]]</f>
        <v>0</v>
      </c>
      <c r="E217" s="7"/>
      <c r="F217" s="7"/>
    </row>
    <row r="218" spans="1:6" x14ac:dyDescent="0.3">
      <c r="A218" s="3">
        <v>45487</v>
      </c>
      <c r="B218" s="5"/>
      <c r="C218" s="7"/>
      <c r="D218" s="7">
        <f>표8[[#This Row],[원화자금유입]]+표8[[#This Row],[원화투자회수]]</f>
        <v>0</v>
      </c>
      <c r="E218" s="7"/>
      <c r="F218" s="7"/>
    </row>
    <row r="219" spans="1:6" x14ac:dyDescent="0.3">
      <c r="A219" s="3">
        <v>45488</v>
      </c>
      <c r="B219" s="5"/>
      <c r="C219" s="7"/>
      <c r="D219" s="7">
        <f>표8[[#This Row],[원화자금유입]]+표8[[#This Row],[원화투자회수]]</f>
        <v>0</v>
      </c>
      <c r="E219" s="7"/>
      <c r="F219" s="7"/>
    </row>
    <row r="220" spans="1:6" x14ac:dyDescent="0.3">
      <c r="A220" s="3">
        <v>45489</v>
      </c>
      <c r="B220" s="5"/>
      <c r="C220" s="7"/>
      <c r="D220" s="7">
        <f>표8[[#This Row],[원화자금유입]]+표8[[#This Row],[원화투자회수]]</f>
        <v>0</v>
      </c>
      <c r="E220" s="7"/>
      <c r="F220" s="7"/>
    </row>
    <row r="221" spans="1:6" x14ac:dyDescent="0.3">
      <c r="A221" s="3">
        <v>45490</v>
      </c>
      <c r="B221" s="5"/>
      <c r="C221" s="7"/>
      <c r="D221" s="7">
        <f>표8[[#This Row],[원화자금유입]]+표8[[#This Row],[원화투자회수]]</f>
        <v>0</v>
      </c>
      <c r="E221" s="7"/>
      <c r="F221" s="7"/>
    </row>
    <row r="222" spans="1:6" x14ac:dyDescent="0.3">
      <c r="A222" s="3">
        <v>45491</v>
      </c>
      <c r="B222" s="5"/>
      <c r="C222" s="7"/>
      <c r="D222" s="7">
        <f>표8[[#This Row],[원화자금유입]]+표8[[#This Row],[원화투자회수]]</f>
        <v>0</v>
      </c>
      <c r="E222" s="7"/>
      <c r="F222" s="7"/>
    </row>
    <row r="223" spans="1:6" x14ac:dyDescent="0.3">
      <c r="A223" s="3">
        <v>45492</v>
      </c>
      <c r="B223" s="5"/>
      <c r="C223" s="7"/>
      <c r="D223" s="7">
        <f>표8[[#This Row],[원화자금유입]]+표8[[#This Row],[원화투자회수]]</f>
        <v>0</v>
      </c>
      <c r="E223" s="7"/>
      <c r="F223" s="7"/>
    </row>
    <row r="224" spans="1:6" x14ac:dyDescent="0.3">
      <c r="A224" s="3">
        <v>45493</v>
      </c>
      <c r="B224" s="5"/>
      <c r="C224" s="7"/>
      <c r="D224" s="7">
        <f>표8[[#This Row],[원화자금유입]]+표8[[#This Row],[원화투자회수]]</f>
        <v>0</v>
      </c>
      <c r="E224" s="7"/>
      <c r="F224" s="7"/>
    </row>
    <row r="225" spans="1:6" x14ac:dyDescent="0.3">
      <c r="A225" s="3">
        <v>45494</v>
      </c>
      <c r="B225" s="5">
        <v>2490355</v>
      </c>
      <c r="C225" s="7"/>
      <c r="D225" s="7">
        <f>표8[[#This Row],[원화자금유입]]+표8[[#This Row],[원화투자회수]]</f>
        <v>2490355</v>
      </c>
      <c r="E225" s="7"/>
      <c r="F225" s="7"/>
    </row>
    <row r="226" spans="1:6" x14ac:dyDescent="0.3">
      <c r="A226" s="3">
        <v>45495</v>
      </c>
      <c r="B226" s="5"/>
      <c r="C226" s="7"/>
      <c r="D226" s="7">
        <f>표8[[#This Row],[원화자금유입]]+표8[[#This Row],[원화투자회수]]</f>
        <v>0</v>
      </c>
      <c r="E226" s="7"/>
      <c r="F226" s="7"/>
    </row>
    <row r="227" spans="1:6" x14ac:dyDescent="0.3">
      <c r="A227" s="3">
        <v>45496</v>
      </c>
      <c r="B227" s="5"/>
      <c r="C227" s="7"/>
      <c r="D227" s="7">
        <f>표8[[#This Row],[원화자금유입]]+표8[[#This Row],[원화투자회수]]</f>
        <v>0</v>
      </c>
      <c r="E227" s="7"/>
      <c r="F227" s="7"/>
    </row>
    <row r="228" spans="1:6" x14ac:dyDescent="0.3">
      <c r="A228" s="3">
        <v>45497</v>
      </c>
      <c r="B228" s="5"/>
      <c r="C228" s="7"/>
      <c r="D228" s="7">
        <f>표8[[#This Row],[원화자금유입]]+표8[[#This Row],[원화투자회수]]</f>
        <v>0</v>
      </c>
      <c r="E228" s="7"/>
      <c r="F228" s="7"/>
    </row>
    <row r="229" spans="1:6" x14ac:dyDescent="0.3">
      <c r="A229" s="3">
        <v>45498</v>
      </c>
      <c r="B229" s="5"/>
      <c r="C229" s="7"/>
      <c r="D229" s="7">
        <f>표8[[#This Row],[원화자금유입]]+표8[[#This Row],[원화투자회수]]</f>
        <v>0</v>
      </c>
      <c r="E229" s="7"/>
      <c r="F229" s="7"/>
    </row>
    <row r="230" spans="1:6" x14ac:dyDescent="0.3">
      <c r="A230" s="3">
        <v>45499</v>
      </c>
      <c r="B230" s="5"/>
      <c r="C230" s="7"/>
      <c r="D230" s="7">
        <f>표8[[#This Row],[원화자금유입]]+표8[[#This Row],[원화투자회수]]</f>
        <v>0</v>
      </c>
      <c r="E230" s="7"/>
      <c r="F230" s="7"/>
    </row>
    <row r="231" spans="1:6" x14ac:dyDescent="0.3">
      <c r="A231" s="3">
        <v>45500</v>
      </c>
      <c r="B231" s="5"/>
      <c r="C231" s="7"/>
      <c r="D231" s="7">
        <f>표8[[#This Row],[원화자금유입]]+표8[[#This Row],[원화투자회수]]</f>
        <v>0</v>
      </c>
      <c r="E231" s="7"/>
      <c r="F231" s="7"/>
    </row>
    <row r="232" spans="1:6" x14ac:dyDescent="0.3">
      <c r="A232" s="3">
        <v>45501</v>
      </c>
      <c r="B232" s="5"/>
      <c r="C232" s="7"/>
      <c r="D232" s="7">
        <f>표8[[#This Row],[원화자금유입]]+표8[[#This Row],[원화투자회수]]</f>
        <v>0</v>
      </c>
      <c r="E232" s="7"/>
      <c r="F232" s="7"/>
    </row>
    <row r="233" spans="1:6" x14ac:dyDescent="0.3">
      <c r="A233" s="3">
        <v>45502</v>
      </c>
      <c r="B233" s="5"/>
      <c r="C233" s="7"/>
      <c r="D233" s="7">
        <f>표8[[#This Row],[원화자금유입]]+표8[[#This Row],[원화투자회수]]</f>
        <v>0</v>
      </c>
      <c r="E233" s="7"/>
      <c r="F233" s="7"/>
    </row>
    <row r="234" spans="1:6" x14ac:dyDescent="0.3">
      <c r="A234" s="3">
        <v>45503</v>
      </c>
      <c r="B234" s="5"/>
      <c r="C234" s="7"/>
      <c r="D234" s="7">
        <f>표8[[#This Row],[원화자금유입]]+표8[[#This Row],[원화투자회수]]</f>
        <v>0</v>
      </c>
      <c r="E234" s="7"/>
      <c r="F234" s="7"/>
    </row>
    <row r="235" spans="1:6" x14ac:dyDescent="0.3">
      <c r="A235" s="3">
        <v>45504</v>
      </c>
      <c r="B235" s="5"/>
      <c r="C235" s="7"/>
      <c r="D235" s="7">
        <f>표8[[#This Row],[원화자금유입]]+표8[[#This Row],[원화투자회수]]</f>
        <v>0</v>
      </c>
      <c r="E235" s="7"/>
      <c r="F235" s="7"/>
    </row>
    <row r="236" spans="1:6" x14ac:dyDescent="0.3">
      <c r="A236" s="3">
        <v>45505</v>
      </c>
      <c r="B236" s="5"/>
      <c r="C236" s="7"/>
      <c r="D236" s="7">
        <f>표8[[#This Row],[원화자금유입]]+표8[[#This Row],[원화투자회수]]</f>
        <v>0</v>
      </c>
      <c r="E236" s="7"/>
      <c r="F236" s="7"/>
    </row>
    <row r="237" spans="1:6" x14ac:dyDescent="0.3">
      <c r="A237" s="3">
        <v>45506</v>
      </c>
      <c r="B237" s="5"/>
      <c r="C237" s="7"/>
      <c r="D237" s="7">
        <f>표8[[#This Row],[원화자금유입]]+표8[[#This Row],[원화투자회수]]</f>
        <v>0</v>
      </c>
      <c r="E237" s="7"/>
      <c r="F237" s="7"/>
    </row>
    <row r="238" spans="1:6" x14ac:dyDescent="0.3">
      <c r="A238" s="3">
        <v>45507</v>
      </c>
      <c r="B238" s="5"/>
      <c r="C238" s="7"/>
      <c r="D238" s="7">
        <f>표8[[#This Row],[원화자금유입]]+표8[[#This Row],[원화투자회수]]</f>
        <v>0</v>
      </c>
      <c r="E238" s="7"/>
      <c r="F238" s="7"/>
    </row>
    <row r="239" spans="1:6" x14ac:dyDescent="0.3">
      <c r="A239" s="3">
        <v>45508</v>
      </c>
      <c r="B239" s="5"/>
      <c r="C239" s="7"/>
      <c r="D239" s="7">
        <f>표8[[#This Row],[원화자금유입]]+표8[[#This Row],[원화투자회수]]</f>
        <v>0</v>
      </c>
      <c r="E239" s="7"/>
      <c r="F239" s="7"/>
    </row>
    <row r="240" spans="1:6" x14ac:dyDescent="0.3">
      <c r="A240" s="3">
        <v>45509</v>
      </c>
      <c r="B240" s="5"/>
      <c r="C240" s="7"/>
      <c r="D240" s="7">
        <f>표8[[#This Row],[원화자금유입]]+표8[[#This Row],[원화투자회수]]</f>
        <v>0</v>
      </c>
      <c r="E240" s="7"/>
      <c r="F240" s="7"/>
    </row>
    <row r="241" spans="1:6" x14ac:dyDescent="0.3">
      <c r="A241" s="3">
        <v>45510</v>
      </c>
      <c r="B241" s="5"/>
      <c r="C241" s="7"/>
      <c r="D241" s="7">
        <f>표8[[#This Row],[원화자금유입]]+표8[[#This Row],[원화투자회수]]</f>
        <v>0</v>
      </c>
      <c r="E241" s="7"/>
      <c r="F241" s="7"/>
    </row>
    <row r="242" spans="1:6" x14ac:dyDescent="0.3">
      <c r="A242" s="3">
        <v>45511</v>
      </c>
      <c r="B242" s="5"/>
      <c r="C242" s="7"/>
      <c r="D242" s="7">
        <f>표8[[#This Row],[원화자금유입]]+표8[[#This Row],[원화투자회수]]</f>
        <v>0</v>
      </c>
      <c r="E242" s="7"/>
      <c r="F242" s="7"/>
    </row>
    <row r="243" spans="1:6" x14ac:dyDescent="0.3">
      <c r="A243" s="3">
        <v>45512</v>
      </c>
      <c r="B243" s="5"/>
      <c r="C243" s="7"/>
      <c r="D243" s="7">
        <f>표8[[#This Row],[원화자금유입]]+표8[[#This Row],[원화투자회수]]</f>
        <v>0</v>
      </c>
      <c r="E243" s="7"/>
      <c r="F243" s="7"/>
    </row>
    <row r="244" spans="1:6" x14ac:dyDescent="0.3">
      <c r="A244" s="3">
        <v>45513</v>
      </c>
      <c r="B244" s="5"/>
      <c r="C244" s="7"/>
      <c r="D244" s="7">
        <f>표8[[#This Row],[원화자금유입]]+표8[[#This Row],[원화투자회수]]</f>
        <v>0</v>
      </c>
      <c r="E244" s="7"/>
      <c r="F244" s="7"/>
    </row>
    <row r="245" spans="1:6" x14ac:dyDescent="0.3">
      <c r="A245" s="3">
        <v>45514</v>
      </c>
      <c r="B245" s="5"/>
      <c r="C245" s="7"/>
      <c r="D245" s="7">
        <f>표8[[#This Row],[원화자금유입]]+표8[[#This Row],[원화투자회수]]</f>
        <v>0</v>
      </c>
      <c r="E245" s="7"/>
      <c r="F245" s="7"/>
    </row>
    <row r="246" spans="1:6" x14ac:dyDescent="0.3">
      <c r="A246" s="3">
        <v>45515</v>
      </c>
      <c r="B246" s="5"/>
      <c r="C246" s="7"/>
      <c r="D246" s="7">
        <f>표8[[#This Row],[원화자금유입]]+표8[[#This Row],[원화투자회수]]</f>
        <v>0</v>
      </c>
      <c r="E246" s="7"/>
      <c r="F246" s="7"/>
    </row>
    <row r="247" spans="1:6" x14ac:dyDescent="0.3">
      <c r="A247" s="3">
        <v>45516</v>
      </c>
      <c r="B247" s="5"/>
      <c r="C247" s="7"/>
      <c r="D247" s="7">
        <f>표8[[#This Row],[원화자금유입]]+표8[[#This Row],[원화투자회수]]</f>
        <v>0</v>
      </c>
      <c r="E247" s="7"/>
      <c r="F247" s="7"/>
    </row>
    <row r="248" spans="1:6" x14ac:dyDescent="0.3">
      <c r="A248" s="3">
        <v>45517</v>
      </c>
      <c r="B248" s="5"/>
      <c r="C248" s="7"/>
      <c r="D248" s="7">
        <f>표8[[#This Row],[원화자금유입]]+표8[[#This Row],[원화투자회수]]</f>
        <v>0</v>
      </c>
      <c r="E248" s="7"/>
      <c r="F248" s="7"/>
    </row>
    <row r="249" spans="1:6" x14ac:dyDescent="0.3">
      <c r="A249" s="3">
        <v>45518</v>
      </c>
      <c r="B249" s="5"/>
      <c r="C249" s="7"/>
      <c r="D249" s="7">
        <f>표8[[#This Row],[원화자금유입]]+표8[[#This Row],[원화투자회수]]</f>
        <v>0</v>
      </c>
      <c r="E249" s="7"/>
      <c r="F249" s="7"/>
    </row>
    <row r="250" spans="1:6" x14ac:dyDescent="0.3">
      <c r="A250" s="3">
        <v>45519</v>
      </c>
      <c r="B250" s="5"/>
      <c r="C250" s="7"/>
      <c r="D250" s="7">
        <f>표8[[#This Row],[원화자금유입]]+표8[[#This Row],[원화투자회수]]</f>
        <v>0</v>
      </c>
      <c r="E250" s="7"/>
      <c r="F250" s="7"/>
    </row>
    <row r="251" spans="1:6" x14ac:dyDescent="0.3">
      <c r="A251" s="3">
        <v>45520</v>
      </c>
      <c r="B251" s="5"/>
      <c r="C251" s="7"/>
      <c r="D251" s="7">
        <f>표8[[#This Row],[원화자금유입]]+표8[[#This Row],[원화투자회수]]</f>
        <v>0</v>
      </c>
      <c r="E251" s="7"/>
      <c r="F251" s="7"/>
    </row>
    <row r="252" spans="1:6" x14ac:dyDescent="0.3">
      <c r="A252" s="3">
        <v>45521</v>
      </c>
      <c r="B252" s="5"/>
      <c r="C252" s="7"/>
      <c r="D252" s="7">
        <f>표8[[#This Row],[원화자금유입]]+표8[[#This Row],[원화투자회수]]</f>
        <v>0</v>
      </c>
      <c r="E252" s="7"/>
      <c r="F252" s="7"/>
    </row>
    <row r="253" spans="1:6" x14ac:dyDescent="0.3">
      <c r="A253" s="3">
        <v>45522</v>
      </c>
      <c r="B253" s="5"/>
      <c r="C253" s="7"/>
      <c r="D253" s="7">
        <f>표8[[#This Row],[원화자금유입]]+표8[[#This Row],[원화투자회수]]</f>
        <v>0</v>
      </c>
      <c r="E253" s="7"/>
      <c r="F253" s="7"/>
    </row>
    <row r="254" spans="1:6" x14ac:dyDescent="0.3">
      <c r="A254" s="3">
        <v>45523</v>
      </c>
      <c r="B254" s="5"/>
      <c r="C254" s="7"/>
      <c r="D254" s="7">
        <f>표8[[#This Row],[원화자금유입]]+표8[[#This Row],[원화투자회수]]</f>
        <v>0</v>
      </c>
      <c r="E254" s="7"/>
      <c r="F254" s="7"/>
    </row>
    <row r="255" spans="1:6" x14ac:dyDescent="0.3">
      <c r="A255" s="3">
        <v>45524</v>
      </c>
      <c r="B255" s="5"/>
      <c r="C255" s="7"/>
      <c r="D255" s="7">
        <f>표8[[#This Row],[원화자금유입]]+표8[[#This Row],[원화투자회수]]</f>
        <v>0</v>
      </c>
      <c r="E255" s="7"/>
      <c r="F255" s="7"/>
    </row>
    <row r="256" spans="1:6" x14ac:dyDescent="0.3">
      <c r="A256" s="3">
        <v>45525</v>
      </c>
      <c r="B256" s="5">
        <v>6292866</v>
      </c>
      <c r="C256" s="7"/>
      <c r="D256" s="7">
        <f>표8[[#This Row],[원화자금유입]]+표8[[#This Row],[원화투자회수]]</f>
        <v>6292866</v>
      </c>
      <c r="E256" s="7"/>
      <c r="F256" s="7"/>
    </row>
    <row r="257" spans="1:6" x14ac:dyDescent="0.3">
      <c r="A257" s="3">
        <v>45526</v>
      </c>
      <c r="B257" s="5"/>
      <c r="C257" s="7"/>
      <c r="D257" s="7">
        <f>표8[[#This Row],[원화자금유입]]+표8[[#This Row],[원화투자회수]]</f>
        <v>0</v>
      </c>
      <c r="E257" s="7"/>
      <c r="F257" s="7"/>
    </row>
    <row r="258" spans="1:6" x14ac:dyDescent="0.3">
      <c r="A258" s="3">
        <v>45527</v>
      </c>
      <c r="B258" s="5"/>
      <c r="C258" s="7"/>
      <c r="D258" s="7">
        <f>표8[[#This Row],[원화자금유입]]+표8[[#This Row],[원화투자회수]]</f>
        <v>0</v>
      </c>
      <c r="E258" s="7"/>
      <c r="F258" s="7"/>
    </row>
    <row r="259" spans="1:6" x14ac:dyDescent="0.3">
      <c r="A259" s="3">
        <v>45528</v>
      </c>
      <c r="B259" s="5"/>
      <c r="C259" s="7"/>
      <c r="D259" s="7">
        <f>표8[[#This Row],[원화자금유입]]+표8[[#This Row],[원화투자회수]]</f>
        <v>0</v>
      </c>
      <c r="E259" s="7"/>
      <c r="F259" s="7"/>
    </row>
    <row r="260" spans="1:6" x14ac:dyDescent="0.3">
      <c r="A260" s="3">
        <v>45529</v>
      </c>
      <c r="B260" s="5"/>
      <c r="C260" s="7"/>
      <c r="D260" s="7">
        <f>표8[[#This Row],[원화자금유입]]+표8[[#This Row],[원화투자회수]]</f>
        <v>0</v>
      </c>
      <c r="E260" s="7"/>
      <c r="F260" s="7"/>
    </row>
    <row r="261" spans="1:6" x14ac:dyDescent="0.3">
      <c r="A261" s="3">
        <v>45530</v>
      </c>
      <c r="B261" s="5"/>
      <c r="C261" s="7"/>
      <c r="D261" s="7">
        <f>표8[[#This Row],[원화자금유입]]+표8[[#This Row],[원화투자회수]]</f>
        <v>0</v>
      </c>
      <c r="E261" s="7"/>
      <c r="F261" s="7"/>
    </row>
    <row r="262" spans="1:6" x14ac:dyDescent="0.3">
      <c r="A262" s="3">
        <v>45531</v>
      </c>
      <c r="B262" s="5"/>
      <c r="C262" s="7"/>
      <c r="D262" s="7">
        <f>표8[[#This Row],[원화자금유입]]+표8[[#This Row],[원화투자회수]]</f>
        <v>0</v>
      </c>
      <c r="E262" s="7"/>
      <c r="F262" s="7"/>
    </row>
    <row r="263" spans="1:6" x14ac:dyDescent="0.3">
      <c r="A263" s="3">
        <v>45532</v>
      </c>
      <c r="B263" s="5"/>
      <c r="C263" s="7"/>
      <c r="D263" s="7">
        <f>표8[[#This Row],[원화자금유입]]+표8[[#This Row],[원화투자회수]]</f>
        <v>0</v>
      </c>
      <c r="E263" s="7"/>
      <c r="F263" s="7"/>
    </row>
    <row r="264" spans="1:6" x14ac:dyDescent="0.3">
      <c r="A264" s="3">
        <v>45533</v>
      </c>
      <c r="B264" s="5"/>
      <c r="C264" s="7"/>
      <c r="D264" s="7">
        <f>표8[[#This Row],[원화자금유입]]+표8[[#This Row],[원화투자회수]]</f>
        <v>0</v>
      </c>
      <c r="E264" s="7"/>
      <c r="F264" s="7"/>
    </row>
    <row r="265" spans="1:6" x14ac:dyDescent="0.3">
      <c r="A265" s="3">
        <v>45534</v>
      </c>
      <c r="B265" s="5"/>
      <c r="C265" s="7"/>
      <c r="D265" s="7">
        <f>표8[[#This Row],[원화자금유입]]+표8[[#This Row],[원화투자회수]]</f>
        <v>0</v>
      </c>
      <c r="E265" s="7"/>
      <c r="F265" s="7"/>
    </row>
    <row r="266" spans="1:6" x14ac:dyDescent="0.3">
      <c r="A266" s="3">
        <v>45535</v>
      </c>
      <c r="B266" s="5"/>
      <c r="C266" s="7"/>
      <c r="D266" s="7">
        <f>표8[[#This Row],[원화자금유입]]+표8[[#This Row],[원화투자회수]]</f>
        <v>0</v>
      </c>
      <c r="E266" s="7"/>
      <c r="F266" s="7"/>
    </row>
    <row r="267" spans="1:6" x14ac:dyDescent="0.3">
      <c r="A267" s="3">
        <v>45536</v>
      </c>
      <c r="B267" s="5"/>
      <c r="C267" s="7"/>
      <c r="D267" s="7">
        <f>표8[[#This Row],[원화자금유입]]+표8[[#This Row],[원화투자회수]]</f>
        <v>0</v>
      </c>
      <c r="E267" s="7"/>
      <c r="F267" s="7"/>
    </row>
    <row r="268" spans="1:6" x14ac:dyDescent="0.3">
      <c r="A268" s="3">
        <v>45537</v>
      </c>
      <c r="B268" s="5"/>
      <c r="C268" s="7"/>
      <c r="D268" s="7">
        <f>표8[[#This Row],[원화자금유입]]+표8[[#This Row],[원화투자회수]]</f>
        <v>0</v>
      </c>
      <c r="E268" s="7"/>
      <c r="F268" s="7"/>
    </row>
    <row r="269" spans="1:6" x14ac:dyDescent="0.3">
      <c r="A269" s="3">
        <v>45538</v>
      </c>
      <c r="B269" s="5"/>
      <c r="C269" s="7"/>
      <c r="D269" s="7">
        <f>표8[[#This Row],[원화자금유입]]+표8[[#This Row],[원화투자회수]]</f>
        <v>0</v>
      </c>
      <c r="E269" s="7"/>
      <c r="F269" s="7"/>
    </row>
    <row r="270" spans="1:6" x14ac:dyDescent="0.3">
      <c r="A270" s="3">
        <v>45539</v>
      </c>
      <c r="B270" s="5"/>
      <c r="C270" s="7"/>
      <c r="D270" s="7">
        <f>표8[[#This Row],[원화자금유입]]+표8[[#This Row],[원화투자회수]]</f>
        <v>0</v>
      </c>
      <c r="E270" s="7"/>
      <c r="F270" s="7"/>
    </row>
    <row r="271" spans="1:6" x14ac:dyDescent="0.3">
      <c r="A271" s="3">
        <v>45540</v>
      </c>
      <c r="B271" s="5"/>
      <c r="C271" s="7"/>
      <c r="D271" s="7">
        <f>표8[[#This Row],[원화자금유입]]+표8[[#This Row],[원화투자회수]]</f>
        <v>0</v>
      </c>
      <c r="E271" s="7"/>
      <c r="F271" s="7"/>
    </row>
    <row r="272" spans="1:6" x14ac:dyDescent="0.3">
      <c r="A272" s="3">
        <v>45541</v>
      </c>
      <c r="B272" s="5"/>
      <c r="C272" s="7"/>
      <c r="D272" s="7">
        <f>표8[[#This Row],[원화자금유입]]+표8[[#This Row],[원화투자회수]]</f>
        <v>0</v>
      </c>
      <c r="E272" s="7"/>
      <c r="F272" s="7"/>
    </row>
    <row r="273" spans="1:6" x14ac:dyDescent="0.3">
      <c r="A273" s="3">
        <v>45542</v>
      </c>
      <c r="B273" s="5"/>
      <c r="C273" s="7"/>
      <c r="D273" s="7">
        <f>표8[[#This Row],[원화자금유입]]+표8[[#This Row],[원화투자회수]]</f>
        <v>0</v>
      </c>
      <c r="E273" s="7"/>
      <c r="F273" s="7"/>
    </row>
    <row r="274" spans="1:6" x14ac:dyDescent="0.3">
      <c r="A274" s="3">
        <v>45543</v>
      </c>
      <c r="B274" s="5"/>
      <c r="C274" s="7"/>
      <c r="D274" s="7">
        <f>표8[[#This Row],[원화자금유입]]+표8[[#This Row],[원화투자회수]]</f>
        <v>0</v>
      </c>
      <c r="E274" s="7"/>
      <c r="F274" s="7"/>
    </row>
    <row r="275" spans="1:6" x14ac:dyDescent="0.3">
      <c r="A275" s="3">
        <v>45544</v>
      </c>
      <c r="B275" s="5"/>
      <c r="C275" s="7"/>
      <c r="D275" s="7">
        <f>표8[[#This Row],[원화자금유입]]+표8[[#This Row],[원화투자회수]]</f>
        <v>0</v>
      </c>
      <c r="E275" s="7"/>
      <c r="F275" s="7"/>
    </row>
    <row r="276" spans="1:6" x14ac:dyDescent="0.3">
      <c r="A276" s="3">
        <v>45545</v>
      </c>
      <c r="B276" s="5"/>
      <c r="C276" s="7"/>
      <c r="D276" s="7">
        <f>표8[[#This Row],[원화자금유입]]+표8[[#This Row],[원화투자회수]]</f>
        <v>0</v>
      </c>
      <c r="E276" s="7"/>
      <c r="F276" s="7"/>
    </row>
    <row r="277" spans="1:6" x14ac:dyDescent="0.3">
      <c r="A277" s="3">
        <v>45546</v>
      </c>
      <c r="B277" s="5"/>
      <c r="C277" s="7"/>
      <c r="D277" s="7">
        <f>표8[[#This Row],[원화자금유입]]+표8[[#This Row],[원화투자회수]]</f>
        <v>0</v>
      </c>
      <c r="E277" s="7"/>
      <c r="F277" s="7"/>
    </row>
    <row r="278" spans="1:6" x14ac:dyDescent="0.3">
      <c r="A278" s="3">
        <v>45547</v>
      </c>
      <c r="B278" s="5"/>
      <c r="C278" s="7"/>
      <c r="D278" s="7">
        <f>표8[[#This Row],[원화자금유입]]+표8[[#This Row],[원화투자회수]]</f>
        <v>0</v>
      </c>
      <c r="E278" s="7"/>
      <c r="F278" s="7"/>
    </row>
    <row r="279" spans="1:6" x14ac:dyDescent="0.3">
      <c r="A279" s="3">
        <v>45548</v>
      </c>
      <c r="B279" s="5"/>
      <c r="C279" s="7"/>
      <c r="D279" s="7">
        <f>표8[[#This Row],[원화자금유입]]+표8[[#This Row],[원화투자회수]]</f>
        <v>0</v>
      </c>
      <c r="E279" s="7"/>
      <c r="F279" s="7"/>
    </row>
    <row r="280" spans="1:6" x14ac:dyDescent="0.3">
      <c r="A280" s="3">
        <v>45549</v>
      </c>
      <c r="B280" s="5"/>
      <c r="C280" s="7"/>
      <c r="D280" s="7">
        <f>표8[[#This Row],[원화자금유입]]+표8[[#This Row],[원화투자회수]]</f>
        <v>0</v>
      </c>
      <c r="E280" s="7"/>
      <c r="F280" s="7"/>
    </row>
    <row r="281" spans="1:6" x14ac:dyDescent="0.3">
      <c r="A281" s="3">
        <v>45550</v>
      </c>
      <c r="B281" s="5"/>
      <c r="C281" s="7"/>
      <c r="D281" s="7">
        <f>표8[[#This Row],[원화자금유입]]+표8[[#This Row],[원화투자회수]]</f>
        <v>0</v>
      </c>
      <c r="E281" s="7"/>
      <c r="F281" s="7"/>
    </row>
    <row r="282" spans="1:6" x14ac:dyDescent="0.3">
      <c r="A282" s="3">
        <v>45551</v>
      </c>
      <c r="B282" s="5"/>
      <c r="C282" s="7"/>
      <c r="D282" s="7">
        <f>표8[[#This Row],[원화자금유입]]+표8[[#This Row],[원화투자회수]]</f>
        <v>0</v>
      </c>
      <c r="E282" s="7"/>
      <c r="F282" s="7"/>
    </row>
    <row r="283" spans="1:6" x14ac:dyDescent="0.3">
      <c r="A283" s="3">
        <v>45552</v>
      </c>
      <c r="B283" s="5"/>
      <c r="C283" s="7"/>
      <c r="D283" s="7">
        <f>표8[[#This Row],[원화자금유입]]+표8[[#This Row],[원화투자회수]]</f>
        <v>0</v>
      </c>
      <c r="E283" s="7"/>
      <c r="F283" s="7"/>
    </row>
    <row r="284" spans="1:6" x14ac:dyDescent="0.3">
      <c r="A284" s="3">
        <v>45553</v>
      </c>
      <c r="B284" s="5"/>
      <c r="C284" s="7"/>
      <c r="D284" s="7">
        <f>표8[[#This Row],[원화자금유입]]+표8[[#This Row],[원화투자회수]]</f>
        <v>0</v>
      </c>
      <c r="E284" s="7"/>
      <c r="F284" s="7"/>
    </row>
    <row r="285" spans="1:6" x14ac:dyDescent="0.3">
      <c r="A285" s="3">
        <v>45554</v>
      </c>
      <c r="B285" s="5"/>
      <c r="C285" s="7"/>
      <c r="D285" s="7">
        <f>표8[[#This Row],[원화자금유입]]+표8[[#This Row],[원화투자회수]]</f>
        <v>0</v>
      </c>
      <c r="E285" s="7"/>
      <c r="F285" s="7"/>
    </row>
    <row r="286" spans="1:6" x14ac:dyDescent="0.3">
      <c r="A286" s="3">
        <v>45555</v>
      </c>
      <c r="B286" s="5"/>
      <c r="C286" s="7"/>
      <c r="D286" s="7">
        <f>표8[[#This Row],[원화자금유입]]+표8[[#This Row],[원화투자회수]]</f>
        <v>0</v>
      </c>
      <c r="E286" s="7"/>
      <c r="F286" s="7"/>
    </row>
    <row r="287" spans="1:6" x14ac:dyDescent="0.3">
      <c r="A287" s="3">
        <v>45556</v>
      </c>
      <c r="B287" s="5">
        <v>3501776</v>
      </c>
      <c r="C287" s="7"/>
      <c r="D287" s="7">
        <f>표8[[#This Row],[원화자금유입]]+표8[[#This Row],[원화투자회수]]</f>
        <v>3501776</v>
      </c>
      <c r="E287" s="7"/>
      <c r="F287" s="7"/>
    </row>
    <row r="288" spans="1:6" x14ac:dyDescent="0.3">
      <c r="A288" s="3">
        <v>45557</v>
      </c>
      <c r="B288" s="5"/>
      <c r="C288" s="7"/>
      <c r="D288" s="7">
        <f>표8[[#This Row],[원화자금유입]]+표8[[#This Row],[원화투자회수]]</f>
        <v>0</v>
      </c>
      <c r="E288" s="7"/>
      <c r="F288" s="7"/>
    </row>
    <row r="289" spans="1:6" x14ac:dyDescent="0.3">
      <c r="A289" s="3">
        <v>45558</v>
      </c>
      <c r="B289" s="5"/>
      <c r="C289" s="7"/>
      <c r="D289" s="7">
        <f>표8[[#This Row],[원화자금유입]]+표8[[#This Row],[원화투자회수]]</f>
        <v>0</v>
      </c>
      <c r="E289" s="7"/>
      <c r="F289" s="7"/>
    </row>
    <row r="290" spans="1:6" x14ac:dyDescent="0.3">
      <c r="A290" s="3">
        <v>45559</v>
      </c>
      <c r="B290" s="5"/>
      <c r="C290" s="7"/>
      <c r="D290" s="7">
        <f>표8[[#This Row],[원화자금유입]]+표8[[#This Row],[원화투자회수]]</f>
        <v>0</v>
      </c>
      <c r="E290" s="7"/>
      <c r="F290" s="7"/>
    </row>
    <row r="291" spans="1:6" x14ac:dyDescent="0.3">
      <c r="A291" s="3">
        <v>45560</v>
      </c>
      <c r="B291" s="5"/>
      <c r="C291" s="7"/>
      <c r="D291" s="7">
        <f>표8[[#This Row],[원화자금유입]]+표8[[#This Row],[원화투자회수]]</f>
        <v>0</v>
      </c>
      <c r="E291" s="7"/>
      <c r="F291" s="7"/>
    </row>
    <row r="292" spans="1:6" x14ac:dyDescent="0.3">
      <c r="A292" s="3">
        <v>45561</v>
      </c>
      <c r="B292" s="5"/>
      <c r="C292" s="7"/>
      <c r="D292" s="7">
        <f>표8[[#This Row],[원화자금유입]]+표8[[#This Row],[원화투자회수]]</f>
        <v>0</v>
      </c>
      <c r="E292" s="7"/>
      <c r="F292" s="7"/>
    </row>
    <row r="293" spans="1:6" x14ac:dyDescent="0.3">
      <c r="A293" s="3">
        <v>45562</v>
      </c>
      <c r="B293" s="5"/>
      <c r="C293" s="7"/>
      <c r="D293" s="7">
        <f>표8[[#This Row],[원화자금유입]]+표8[[#This Row],[원화투자회수]]</f>
        <v>0</v>
      </c>
      <c r="E293" s="7"/>
      <c r="F293" s="7"/>
    </row>
    <row r="294" spans="1:6" x14ac:dyDescent="0.3">
      <c r="A294" s="3">
        <v>45563</v>
      </c>
      <c r="B294" s="5"/>
      <c r="C294" s="7"/>
      <c r="D294" s="7">
        <f>표8[[#This Row],[원화자금유입]]+표8[[#This Row],[원화투자회수]]</f>
        <v>0</v>
      </c>
      <c r="E294" s="7"/>
      <c r="F294" s="7"/>
    </row>
    <row r="295" spans="1:6" x14ac:dyDescent="0.3">
      <c r="A295" s="3">
        <v>45564</v>
      </c>
      <c r="B295" s="5"/>
      <c r="C295" s="7"/>
      <c r="D295" s="7">
        <f>표8[[#This Row],[원화자금유입]]+표8[[#This Row],[원화투자회수]]</f>
        <v>0</v>
      </c>
      <c r="E295" s="7"/>
      <c r="F295" s="7"/>
    </row>
    <row r="296" spans="1:6" x14ac:dyDescent="0.3">
      <c r="A296" s="3">
        <v>45565</v>
      </c>
      <c r="B296" s="5"/>
      <c r="C296" s="7"/>
      <c r="D296" s="7">
        <f>표8[[#This Row],[원화자금유입]]+표8[[#This Row],[원화투자회수]]</f>
        <v>0</v>
      </c>
      <c r="E296" s="7"/>
      <c r="F296" s="7"/>
    </row>
    <row r="297" spans="1:6" x14ac:dyDescent="0.3">
      <c r="A297" s="3">
        <v>45566</v>
      </c>
      <c r="B297" s="5"/>
      <c r="C297" s="7"/>
      <c r="D297" s="7">
        <f>표8[[#This Row],[원화자금유입]]+표8[[#This Row],[원화투자회수]]</f>
        <v>0</v>
      </c>
      <c r="E297" s="7"/>
      <c r="F297" s="7"/>
    </row>
    <row r="298" spans="1:6" x14ac:dyDescent="0.3">
      <c r="A298" s="3">
        <v>45567</v>
      </c>
      <c r="B298" s="5"/>
      <c r="C298" s="7"/>
      <c r="D298" s="7">
        <f>표8[[#This Row],[원화자금유입]]+표8[[#This Row],[원화투자회수]]</f>
        <v>0</v>
      </c>
      <c r="E298" s="7"/>
      <c r="F298" s="7"/>
    </row>
    <row r="299" spans="1:6" x14ac:dyDescent="0.3">
      <c r="A299" s="3">
        <v>45568</v>
      </c>
      <c r="B299" s="5"/>
      <c r="C299" s="7"/>
      <c r="D299" s="7">
        <f>표8[[#This Row],[원화자금유입]]+표8[[#This Row],[원화투자회수]]</f>
        <v>0</v>
      </c>
      <c r="E299" s="7"/>
      <c r="F299" s="7"/>
    </row>
    <row r="300" spans="1:6" x14ac:dyDescent="0.3">
      <c r="A300" s="3">
        <v>45569</v>
      </c>
      <c r="B300" s="5"/>
      <c r="C300" s="7"/>
      <c r="D300" s="7">
        <f>표8[[#This Row],[원화자금유입]]+표8[[#This Row],[원화투자회수]]</f>
        <v>0</v>
      </c>
      <c r="E300" s="7"/>
      <c r="F300" s="7"/>
    </row>
    <row r="301" spans="1:6" x14ac:dyDescent="0.3">
      <c r="A301" s="3">
        <v>45570</v>
      </c>
      <c r="B301" s="5"/>
      <c r="C301" s="7"/>
      <c r="D301" s="7">
        <f>표8[[#This Row],[원화자금유입]]+표8[[#This Row],[원화투자회수]]</f>
        <v>0</v>
      </c>
      <c r="E301" s="7"/>
      <c r="F301" s="7"/>
    </row>
    <row r="302" spans="1:6" x14ac:dyDescent="0.3">
      <c r="A302" s="3">
        <v>45571</v>
      </c>
      <c r="B302" s="5"/>
      <c r="C302" s="7"/>
      <c r="D302" s="7">
        <f>표8[[#This Row],[원화자금유입]]+표8[[#This Row],[원화투자회수]]</f>
        <v>0</v>
      </c>
      <c r="E302" s="7"/>
      <c r="F302" s="7"/>
    </row>
    <row r="303" spans="1:6" x14ac:dyDescent="0.3">
      <c r="A303" s="3">
        <v>45572</v>
      </c>
      <c r="B303" s="5"/>
      <c r="C303" s="7"/>
      <c r="D303" s="7">
        <f>표8[[#This Row],[원화자금유입]]+표8[[#This Row],[원화투자회수]]</f>
        <v>0</v>
      </c>
      <c r="E303" s="7"/>
      <c r="F303" s="7"/>
    </row>
    <row r="304" spans="1:6" x14ac:dyDescent="0.3">
      <c r="A304" s="3">
        <v>45573</v>
      </c>
      <c r="B304" s="5"/>
      <c r="C304" s="7"/>
      <c r="D304" s="7">
        <f>표8[[#This Row],[원화자금유입]]+표8[[#This Row],[원화투자회수]]</f>
        <v>0</v>
      </c>
      <c r="E304" s="7"/>
      <c r="F304" s="7"/>
    </row>
    <row r="305" spans="1:6" x14ac:dyDescent="0.3">
      <c r="A305" s="3">
        <v>45574</v>
      </c>
      <c r="B305" s="5"/>
      <c r="C305" s="7"/>
      <c r="D305" s="7">
        <f>표8[[#This Row],[원화자금유입]]+표8[[#This Row],[원화투자회수]]</f>
        <v>0</v>
      </c>
      <c r="E305" s="7"/>
      <c r="F305" s="7"/>
    </row>
    <row r="306" spans="1:6" x14ac:dyDescent="0.3">
      <c r="A306" s="3">
        <v>45575</v>
      </c>
      <c r="B306" s="5"/>
      <c r="C306" s="7"/>
      <c r="D306" s="7">
        <f>표8[[#This Row],[원화자금유입]]+표8[[#This Row],[원화투자회수]]</f>
        <v>0</v>
      </c>
      <c r="E306" s="7"/>
      <c r="F306" s="7"/>
    </row>
    <row r="307" spans="1:6" x14ac:dyDescent="0.3">
      <c r="A307" s="3">
        <v>45576</v>
      </c>
      <c r="B307" s="5"/>
      <c r="C307" s="7"/>
      <c r="D307" s="7">
        <f>표8[[#This Row],[원화자금유입]]+표8[[#This Row],[원화투자회수]]</f>
        <v>0</v>
      </c>
      <c r="E307" s="7"/>
      <c r="F307" s="7"/>
    </row>
    <row r="308" spans="1:6" x14ac:dyDescent="0.3">
      <c r="A308" s="3">
        <v>45577</v>
      </c>
      <c r="B308" s="5"/>
      <c r="C308" s="7"/>
      <c r="D308" s="7">
        <f>표8[[#This Row],[원화자금유입]]+표8[[#This Row],[원화투자회수]]</f>
        <v>0</v>
      </c>
      <c r="E308" s="7"/>
      <c r="F308" s="7"/>
    </row>
    <row r="309" spans="1:6" x14ac:dyDescent="0.3">
      <c r="A309" s="3">
        <v>45578</v>
      </c>
      <c r="B309" s="5"/>
      <c r="C309" s="7"/>
      <c r="D309" s="7">
        <f>표8[[#This Row],[원화자금유입]]+표8[[#This Row],[원화투자회수]]</f>
        <v>0</v>
      </c>
      <c r="E309" s="7"/>
      <c r="F309" s="7"/>
    </row>
    <row r="310" spans="1:6" x14ac:dyDescent="0.3">
      <c r="A310" s="3">
        <v>45579</v>
      </c>
      <c r="B310" s="5"/>
      <c r="C310" s="7"/>
      <c r="D310" s="7">
        <f>표8[[#This Row],[원화자금유입]]+표8[[#This Row],[원화투자회수]]</f>
        <v>0</v>
      </c>
      <c r="E310" s="7"/>
      <c r="F310" s="7"/>
    </row>
    <row r="311" spans="1:6" x14ac:dyDescent="0.3">
      <c r="A311" s="3">
        <v>45580</v>
      </c>
      <c r="B311" s="5"/>
      <c r="C311" s="7"/>
      <c r="D311" s="7">
        <f>표8[[#This Row],[원화자금유입]]+표8[[#This Row],[원화투자회수]]</f>
        <v>0</v>
      </c>
      <c r="E311" s="7"/>
      <c r="F311" s="7"/>
    </row>
    <row r="312" spans="1:6" x14ac:dyDescent="0.3">
      <c r="A312" s="3">
        <v>45581</v>
      </c>
      <c r="B312" s="5"/>
      <c r="C312" s="7"/>
      <c r="D312" s="7">
        <f>표8[[#This Row],[원화자금유입]]+표8[[#This Row],[원화투자회수]]</f>
        <v>0</v>
      </c>
      <c r="E312" s="7"/>
      <c r="F312" s="7"/>
    </row>
    <row r="313" spans="1:6" x14ac:dyDescent="0.3">
      <c r="A313" s="3">
        <v>45582</v>
      </c>
      <c r="B313" s="5"/>
      <c r="C313" s="7"/>
      <c r="D313" s="7">
        <f>표8[[#This Row],[원화자금유입]]+표8[[#This Row],[원화투자회수]]</f>
        <v>0</v>
      </c>
      <c r="E313" s="7"/>
      <c r="F313" s="7"/>
    </row>
    <row r="314" spans="1:6" x14ac:dyDescent="0.3">
      <c r="A314" s="3">
        <v>45583</v>
      </c>
      <c r="B314" s="5"/>
      <c r="C314" s="7"/>
      <c r="D314" s="7">
        <f>표8[[#This Row],[원화자금유입]]+표8[[#This Row],[원화투자회수]]</f>
        <v>0</v>
      </c>
      <c r="E314" s="7"/>
      <c r="F314" s="7"/>
    </row>
    <row r="315" spans="1:6" x14ac:dyDescent="0.3">
      <c r="A315" s="3">
        <v>45584</v>
      </c>
      <c r="B315" s="5"/>
      <c r="C315" s="7"/>
      <c r="D315" s="7">
        <f>표8[[#This Row],[원화자금유입]]+표8[[#This Row],[원화투자회수]]</f>
        <v>0</v>
      </c>
      <c r="E315" s="7"/>
      <c r="F315" s="7"/>
    </row>
    <row r="316" spans="1:6" x14ac:dyDescent="0.3">
      <c r="A316" s="3">
        <v>45585</v>
      </c>
      <c r="B316" s="5"/>
      <c r="C316" s="7"/>
      <c r="D316" s="7">
        <f>표8[[#This Row],[원화자금유입]]+표8[[#This Row],[원화투자회수]]</f>
        <v>0</v>
      </c>
      <c r="E316" s="7"/>
      <c r="F316" s="7"/>
    </row>
    <row r="317" spans="1:6" x14ac:dyDescent="0.3">
      <c r="A317" s="3">
        <v>45586</v>
      </c>
      <c r="B317" s="5">
        <v>3171188</v>
      </c>
      <c r="C317" s="7"/>
      <c r="D317" s="7">
        <f>표8[[#This Row],[원화자금유입]]+표8[[#This Row],[원화투자회수]]</f>
        <v>3171188</v>
      </c>
      <c r="E317" s="7"/>
      <c r="F317" s="7"/>
    </row>
    <row r="318" spans="1:6" x14ac:dyDescent="0.3">
      <c r="A318" s="3">
        <v>45587</v>
      </c>
      <c r="B318" s="5"/>
      <c r="C318" s="7"/>
      <c r="D318" s="7">
        <f>표8[[#This Row],[원화자금유입]]+표8[[#This Row],[원화투자회수]]</f>
        <v>0</v>
      </c>
      <c r="E318" s="7"/>
      <c r="F318" s="7"/>
    </row>
    <row r="319" spans="1:6" x14ac:dyDescent="0.3">
      <c r="A319" s="3">
        <v>45588</v>
      </c>
      <c r="B319" s="5"/>
      <c r="C319" s="7"/>
      <c r="D319" s="7">
        <f>표8[[#This Row],[원화자금유입]]+표8[[#This Row],[원화투자회수]]</f>
        <v>0</v>
      </c>
      <c r="E319" s="7"/>
      <c r="F319" s="7"/>
    </row>
    <row r="320" spans="1:6" x14ac:dyDescent="0.3">
      <c r="A320" s="3">
        <v>45589</v>
      </c>
      <c r="B320" s="5"/>
      <c r="C320" s="7"/>
      <c r="D320" s="7">
        <f>표8[[#This Row],[원화자금유입]]+표8[[#This Row],[원화투자회수]]</f>
        <v>0</v>
      </c>
      <c r="E320" s="7"/>
      <c r="F320" s="7"/>
    </row>
    <row r="321" spans="1:6" x14ac:dyDescent="0.3">
      <c r="A321" s="3">
        <v>45590</v>
      </c>
      <c r="B321" s="5"/>
      <c r="C321" s="7"/>
      <c r="D321" s="7">
        <f>표8[[#This Row],[원화자금유입]]+표8[[#This Row],[원화투자회수]]</f>
        <v>0</v>
      </c>
      <c r="E321" s="7"/>
      <c r="F321" s="7"/>
    </row>
    <row r="322" spans="1:6" x14ac:dyDescent="0.3">
      <c r="A322" s="3">
        <v>45591</v>
      </c>
      <c r="B322" s="5"/>
      <c r="C322" s="7"/>
      <c r="D322" s="7">
        <f>표8[[#This Row],[원화자금유입]]+표8[[#This Row],[원화투자회수]]</f>
        <v>0</v>
      </c>
      <c r="E322" s="7"/>
      <c r="F322" s="7"/>
    </row>
    <row r="323" spans="1:6" x14ac:dyDescent="0.3">
      <c r="A323" s="3">
        <v>45592</v>
      </c>
      <c r="B323" s="5"/>
      <c r="C323" s="7"/>
      <c r="D323" s="7">
        <f>표8[[#This Row],[원화자금유입]]+표8[[#This Row],[원화투자회수]]</f>
        <v>0</v>
      </c>
      <c r="E323" s="7"/>
      <c r="F323" s="7"/>
    </row>
    <row r="324" spans="1:6" x14ac:dyDescent="0.3">
      <c r="A324" s="3">
        <v>45593</v>
      </c>
      <c r="B324" s="5"/>
      <c r="C324" s="7"/>
      <c r="D324" s="7">
        <f>표8[[#This Row],[원화자금유입]]+표8[[#This Row],[원화투자회수]]</f>
        <v>0</v>
      </c>
      <c r="E324" s="7"/>
      <c r="F324" s="7"/>
    </row>
    <row r="325" spans="1:6" x14ac:dyDescent="0.3">
      <c r="A325" s="3">
        <v>45594</v>
      </c>
      <c r="B325" s="5"/>
      <c r="C325" s="7"/>
      <c r="D325" s="7">
        <f>표8[[#This Row],[원화자금유입]]+표8[[#This Row],[원화투자회수]]</f>
        <v>0</v>
      </c>
      <c r="E325" s="7"/>
      <c r="F325" s="7"/>
    </row>
    <row r="326" spans="1:6" x14ac:dyDescent="0.3">
      <c r="A326" s="3">
        <v>45595</v>
      </c>
      <c r="B326" s="5"/>
      <c r="C326" s="7"/>
      <c r="D326" s="7">
        <f>표8[[#This Row],[원화자금유입]]+표8[[#This Row],[원화투자회수]]</f>
        <v>0</v>
      </c>
      <c r="E326" s="7"/>
      <c r="F326" s="7"/>
    </row>
    <row r="327" spans="1:6" x14ac:dyDescent="0.3">
      <c r="A327" s="3">
        <v>45596</v>
      </c>
      <c r="B327" s="5"/>
      <c r="C327" s="7"/>
      <c r="D327" s="7">
        <f>표8[[#This Row],[원화자금유입]]+표8[[#This Row],[원화투자회수]]</f>
        <v>0</v>
      </c>
      <c r="E327" s="7"/>
      <c r="F327" s="7"/>
    </row>
    <row r="328" spans="1:6" x14ac:dyDescent="0.3">
      <c r="A328" s="3">
        <v>45597</v>
      </c>
      <c r="B328" s="5"/>
      <c r="C328" s="7"/>
      <c r="D328" s="7">
        <f>표8[[#This Row],[원화자금유입]]+표8[[#This Row],[원화투자회수]]</f>
        <v>0</v>
      </c>
      <c r="E328" s="7"/>
      <c r="F328" s="7"/>
    </row>
    <row r="329" spans="1:6" x14ac:dyDescent="0.3">
      <c r="A329" s="3">
        <v>45598</v>
      </c>
      <c r="B329" s="5"/>
      <c r="C329" s="7"/>
      <c r="D329" s="7">
        <f>표8[[#This Row],[원화자금유입]]+표8[[#This Row],[원화투자회수]]</f>
        <v>0</v>
      </c>
      <c r="E329" s="7"/>
      <c r="F329" s="7"/>
    </row>
    <row r="330" spans="1:6" x14ac:dyDescent="0.3">
      <c r="A330" s="3">
        <v>45599</v>
      </c>
      <c r="B330" s="5"/>
      <c r="C330" s="7"/>
      <c r="D330" s="7">
        <f>표8[[#This Row],[원화자금유입]]+표8[[#This Row],[원화투자회수]]</f>
        <v>0</v>
      </c>
      <c r="E330" s="7"/>
      <c r="F330" s="7"/>
    </row>
    <row r="331" spans="1:6" x14ac:dyDescent="0.3">
      <c r="A331" s="3">
        <v>45600</v>
      </c>
      <c r="B331" s="5"/>
      <c r="C331" s="7"/>
      <c r="D331" s="7">
        <f>표8[[#This Row],[원화자금유입]]+표8[[#This Row],[원화투자회수]]</f>
        <v>0</v>
      </c>
      <c r="E331" s="7"/>
      <c r="F331" s="7"/>
    </row>
    <row r="332" spans="1:6" x14ac:dyDescent="0.3">
      <c r="A332" s="3">
        <v>45601</v>
      </c>
      <c r="B332" s="5"/>
      <c r="C332" s="7"/>
      <c r="D332" s="7">
        <f>표8[[#This Row],[원화자금유입]]+표8[[#This Row],[원화투자회수]]</f>
        <v>0</v>
      </c>
      <c r="E332" s="7"/>
      <c r="F332" s="7"/>
    </row>
    <row r="333" spans="1:6" x14ac:dyDescent="0.3">
      <c r="A333" s="3">
        <v>45602</v>
      </c>
      <c r="B333" s="5"/>
      <c r="C333" s="7"/>
      <c r="D333" s="7">
        <f>표8[[#This Row],[원화자금유입]]+표8[[#This Row],[원화투자회수]]</f>
        <v>0</v>
      </c>
      <c r="E333" s="7"/>
      <c r="F333" s="7"/>
    </row>
    <row r="334" spans="1:6" x14ac:dyDescent="0.3">
      <c r="A334" s="3">
        <v>45603</v>
      </c>
      <c r="B334" s="5"/>
      <c r="C334" s="7"/>
      <c r="D334" s="7">
        <f>표8[[#This Row],[원화자금유입]]+표8[[#This Row],[원화투자회수]]</f>
        <v>0</v>
      </c>
      <c r="E334" s="7"/>
      <c r="F334" s="7"/>
    </row>
    <row r="335" spans="1:6" x14ac:dyDescent="0.3">
      <c r="A335" s="3">
        <v>45604</v>
      </c>
      <c r="B335" s="5"/>
      <c r="C335" s="7"/>
      <c r="D335" s="7">
        <f>표8[[#This Row],[원화자금유입]]+표8[[#This Row],[원화투자회수]]</f>
        <v>0</v>
      </c>
      <c r="E335" s="7"/>
      <c r="F335" s="7"/>
    </row>
    <row r="336" spans="1:6" x14ac:dyDescent="0.3">
      <c r="A336" s="3">
        <v>45605</v>
      </c>
      <c r="B336" s="5"/>
      <c r="C336" s="7"/>
      <c r="D336" s="7">
        <f>표8[[#This Row],[원화자금유입]]+표8[[#This Row],[원화투자회수]]</f>
        <v>0</v>
      </c>
      <c r="E336" s="7"/>
      <c r="F336" s="7"/>
    </row>
    <row r="337" spans="1:6" x14ac:dyDescent="0.3">
      <c r="A337" s="3">
        <v>45606</v>
      </c>
      <c r="B337" s="5"/>
      <c r="C337" s="7"/>
      <c r="D337" s="7">
        <f>표8[[#This Row],[원화자금유입]]+표8[[#This Row],[원화투자회수]]</f>
        <v>0</v>
      </c>
      <c r="E337" s="7"/>
      <c r="F337" s="7"/>
    </row>
    <row r="338" spans="1:6" x14ac:dyDescent="0.3">
      <c r="A338" s="3">
        <v>45607</v>
      </c>
      <c r="B338" s="5"/>
      <c r="C338" s="7"/>
      <c r="D338" s="7">
        <f>표8[[#This Row],[원화자금유입]]+표8[[#This Row],[원화투자회수]]</f>
        <v>0</v>
      </c>
      <c r="E338" s="7"/>
      <c r="F338" s="7"/>
    </row>
    <row r="339" spans="1:6" x14ac:dyDescent="0.3">
      <c r="A339" s="3">
        <v>45608</v>
      </c>
      <c r="B339" s="5"/>
      <c r="C339" s="7"/>
      <c r="D339" s="7">
        <f>표8[[#This Row],[원화자금유입]]+표8[[#This Row],[원화투자회수]]</f>
        <v>0</v>
      </c>
      <c r="E339" s="7"/>
      <c r="F339" s="7"/>
    </row>
    <row r="340" spans="1:6" x14ac:dyDescent="0.3">
      <c r="A340" s="3">
        <v>45609</v>
      </c>
      <c r="B340" s="5"/>
      <c r="C340" s="7"/>
      <c r="D340" s="7">
        <f>표8[[#This Row],[원화자금유입]]+표8[[#This Row],[원화투자회수]]</f>
        <v>0</v>
      </c>
      <c r="E340" s="7"/>
      <c r="F340" s="7"/>
    </row>
    <row r="341" spans="1:6" x14ac:dyDescent="0.3">
      <c r="A341" s="3">
        <v>45610</v>
      </c>
      <c r="B341" s="5"/>
      <c r="C341" s="7"/>
      <c r="D341" s="7">
        <f>표8[[#This Row],[원화자금유입]]+표8[[#This Row],[원화투자회수]]</f>
        <v>0</v>
      </c>
      <c r="E341" s="7"/>
      <c r="F341" s="7"/>
    </row>
    <row r="342" spans="1:6" x14ac:dyDescent="0.3">
      <c r="A342" s="3">
        <v>45611</v>
      </c>
      <c r="B342" s="5"/>
      <c r="C342" s="7"/>
      <c r="D342" s="7">
        <f>표8[[#This Row],[원화자금유입]]+표8[[#This Row],[원화투자회수]]</f>
        <v>0</v>
      </c>
      <c r="E342" s="7"/>
      <c r="F342" s="7"/>
    </row>
    <row r="343" spans="1:6" x14ac:dyDescent="0.3">
      <c r="A343" s="3">
        <v>45612</v>
      </c>
      <c r="B343" s="5"/>
      <c r="C343" s="7"/>
      <c r="D343" s="7">
        <f>표8[[#This Row],[원화자금유입]]+표8[[#This Row],[원화투자회수]]</f>
        <v>0</v>
      </c>
      <c r="E343" s="7"/>
      <c r="F343" s="7"/>
    </row>
    <row r="344" spans="1:6" x14ac:dyDescent="0.3">
      <c r="A344" s="3">
        <v>45613</v>
      </c>
      <c r="B344" s="5"/>
      <c r="C344" s="7"/>
      <c r="D344" s="7">
        <f>표8[[#This Row],[원화자금유입]]+표8[[#This Row],[원화투자회수]]</f>
        <v>0</v>
      </c>
      <c r="E344" s="7"/>
      <c r="F344" s="7"/>
    </row>
    <row r="345" spans="1:6" x14ac:dyDescent="0.3">
      <c r="A345" s="3">
        <v>45614</v>
      </c>
      <c r="B345" s="5"/>
      <c r="C345" s="7"/>
      <c r="D345" s="7">
        <f>표8[[#This Row],[원화자금유입]]+표8[[#This Row],[원화투자회수]]</f>
        <v>0</v>
      </c>
      <c r="E345" s="7"/>
      <c r="F345" s="7"/>
    </row>
    <row r="346" spans="1:6" x14ac:dyDescent="0.3">
      <c r="A346" s="3">
        <v>45615</v>
      </c>
      <c r="B346" s="5"/>
      <c r="C346" s="7"/>
      <c r="D346" s="7">
        <f>표8[[#This Row],[원화자금유입]]+표8[[#This Row],[원화투자회수]]</f>
        <v>0</v>
      </c>
      <c r="E346" s="7"/>
      <c r="F346" s="7"/>
    </row>
    <row r="347" spans="1:6" x14ac:dyDescent="0.3">
      <c r="A347" s="3">
        <v>45616</v>
      </c>
      <c r="B347" s="5"/>
      <c r="C347" s="7"/>
      <c r="D347" s="7">
        <f>표8[[#This Row],[원화자금유입]]+표8[[#This Row],[원화투자회수]]</f>
        <v>0</v>
      </c>
      <c r="E347" s="7"/>
      <c r="F347" s="7"/>
    </row>
    <row r="348" spans="1:6" x14ac:dyDescent="0.3">
      <c r="A348" s="3">
        <v>45617</v>
      </c>
      <c r="B348" s="5">
        <v>3475413</v>
      </c>
      <c r="C348" s="7"/>
      <c r="D348" s="7">
        <f>표8[[#This Row],[원화자금유입]]+표8[[#This Row],[원화투자회수]]</f>
        <v>3475413</v>
      </c>
      <c r="E348" s="7"/>
      <c r="F348" s="7"/>
    </row>
    <row r="349" spans="1:6" x14ac:dyDescent="0.3">
      <c r="A349" s="3">
        <v>45618</v>
      </c>
      <c r="B349" s="5"/>
      <c r="C349" s="7">
        <v>1049029</v>
      </c>
      <c r="D349" s="7">
        <f>표8[[#This Row],[원화자금유입]]+표8[[#This Row],[원화투자회수]]</f>
        <v>1049029</v>
      </c>
      <c r="E349" s="7"/>
      <c r="F349" s="7"/>
    </row>
    <row r="350" spans="1:6" x14ac:dyDescent="0.3">
      <c r="A350" s="3">
        <v>45619</v>
      </c>
      <c r="B350" s="5"/>
      <c r="C350" s="7"/>
      <c r="D350" s="7">
        <f>표8[[#This Row],[원화자금유입]]+표8[[#This Row],[원화투자회수]]</f>
        <v>0</v>
      </c>
      <c r="E350" s="7"/>
      <c r="F350" s="7"/>
    </row>
    <row r="351" spans="1:6" x14ac:dyDescent="0.3">
      <c r="A351" s="3">
        <v>45620</v>
      </c>
      <c r="B351" s="5"/>
      <c r="C351" s="7"/>
      <c r="D351" s="7">
        <f>표8[[#This Row],[원화자금유입]]+표8[[#This Row],[원화투자회수]]</f>
        <v>0</v>
      </c>
      <c r="E351" s="7"/>
      <c r="F351" s="7"/>
    </row>
    <row r="352" spans="1:6" x14ac:dyDescent="0.3">
      <c r="A352" s="3">
        <v>45621</v>
      </c>
      <c r="B352" s="5"/>
      <c r="C352" s="7"/>
      <c r="D352" s="7">
        <f>표8[[#This Row],[원화자금유입]]+표8[[#This Row],[원화투자회수]]</f>
        <v>0</v>
      </c>
      <c r="E352" s="7"/>
      <c r="F352" s="7"/>
    </row>
    <row r="353" spans="1:6" x14ac:dyDescent="0.3">
      <c r="A353" s="3">
        <v>45622</v>
      </c>
      <c r="B353" s="5"/>
      <c r="C353" s="7"/>
      <c r="D353" s="7">
        <f>표8[[#This Row],[원화자금유입]]+표8[[#This Row],[원화투자회수]]</f>
        <v>0</v>
      </c>
      <c r="E353" s="7"/>
      <c r="F353" s="7"/>
    </row>
    <row r="354" spans="1:6" x14ac:dyDescent="0.3">
      <c r="A354" s="3">
        <v>45623</v>
      </c>
      <c r="B354" s="5"/>
      <c r="C354" s="7"/>
      <c r="D354" s="7">
        <f>표8[[#This Row],[원화자금유입]]+표8[[#This Row],[원화투자회수]]</f>
        <v>0</v>
      </c>
      <c r="E354" s="7"/>
      <c r="F354" s="7"/>
    </row>
    <row r="355" spans="1:6" x14ac:dyDescent="0.3">
      <c r="A355" s="3">
        <v>45624</v>
      </c>
      <c r="B355" s="5"/>
      <c r="C355" s="7"/>
      <c r="D355" s="7">
        <f>표8[[#This Row],[원화자금유입]]+표8[[#This Row],[원화투자회수]]</f>
        <v>0</v>
      </c>
      <c r="E355" s="7"/>
      <c r="F355" s="7"/>
    </row>
    <row r="356" spans="1:6" x14ac:dyDescent="0.3">
      <c r="A356" s="3">
        <v>45625</v>
      </c>
      <c r="B356" s="5"/>
      <c r="C356" s="7"/>
      <c r="D356" s="7">
        <f>표8[[#This Row],[원화자금유입]]+표8[[#This Row],[원화투자회수]]</f>
        <v>0</v>
      </c>
      <c r="E356" s="7"/>
      <c r="F356" s="7"/>
    </row>
    <row r="357" spans="1:6" x14ac:dyDescent="0.3">
      <c r="A357" s="3">
        <v>45626</v>
      </c>
      <c r="B357" s="5"/>
      <c r="C357" s="7"/>
      <c r="D357" s="7">
        <f>표8[[#This Row],[원화자금유입]]+표8[[#This Row],[원화투자회수]]</f>
        <v>0</v>
      </c>
      <c r="E357" s="7"/>
      <c r="F357" s="7"/>
    </row>
    <row r="358" spans="1:6" x14ac:dyDescent="0.3">
      <c r="A358" s="3">
        <v>45627</v>
      </c>
      <c r="B358" s="5"/>
      <c r="C358" s="7"/>
      <c r="D358" s="7">
        <f>표8[[#This Row],[원화자금유입]]+표8[[#This Row],[원화투자회수]]</f>
        <v>0</v>
      </c>
      <c r="E358" s="7"/>
      <c r="F358" s="7"/>
    </row>
    <row r="359" spans="1:6" x14ac:dyDescent="0.3">
      <c r="A359" s="3">
        <v>45628</v>
      </c>
      <c r="B359" s="5"/>
      <c r="C359" s="7"/>
      <c r="D359" s="7">
        <f>표8[[#This Row],[원화자금유입]]+표8[[#This Row],[원화투자회수]]</f>
        <v>0</v>
      </c>
      <c r="E359" s="7"/>
      <c r="F359" s="7"/>
    </row>
    <row r="360" spans="1:6" x14ac:dyDescent="0.3">
      <c r="A360" s="3">
        <v>45629</v>
      </c>
      <c r="B360" s="5"/>
      <c r="C360" s="7"/>
      <c r="D360" s="7">
        <f>표8[[#This Row],[원화자금유입]]+표8[[#This Row],[원화투자회수]]</f>
        <v>0</v>
      </c>
      <c r="E360" s="7"/>
      <c r="F360" s="7"/>
    </row>
    <row r="361" spans="1:6" x14ac:dyDescent="0.3">
      <c r="A361" s="3">
        <v>45630</v>
      </c>
      <c r="B361" s="5"/>
      <c r="C361" s="7"/>
      <c r="D361" s="7">
        <f>표8[[#This Row],[원화자금유입]]+표8[[#This Row],[원화투자회수]]</f>
        <v>0</v>
      </c>
      <c r="E361" s="7"/>
      <c r="F361" s="7"/>
    </row>
    <row r="362" spans="1:6" x14ac:dyDescent="0.3">
      <c r="A362" s="3">
        <v>45631</v>
      </c>
      <c r="B362" s="5"/>
      <c r="C362" s="7"/>
      <c r="D362" s="7">
        <f>표8[[#This Row],[원화자금유입]]+표8[[#This Row],[원화투자회수]]</f>
        <v>0</v>
      </c>
      <c r="E362" s="7"/>
      <c r="F362" s="7"/>
    </row>
    <row r="363" spans="1:6" x14ac:dyDescent="0.3">
      <c r="A363" s="3">
        <v>45632</v>
      </c>
      <c r="B363" s="5"/>
      <c r="C363" s="7"/>
      <c r="D363" s="7">
        <f>표8[[#This Row],[원화자금유입]]+표8[[#This Row],[원화투자회수]]</f>
        <v>0</v>
      </c>
      <c r="E363" s="7"/>
      <c r="F363" s="7"/>
    </row>
    <row r="364" spans="1:6" x14ac:dyDescent="0.3">
      <c r="A364" s="3">
        <v>45633</v>
      </c>
      <c r="B364" s="5"/>
      <c r="C364" s="7"/>
      <c r="D364" s="7">
        <f>표8[[#This Row],[원화자금유입]]+표8[[#This Row],[원화투자회수]]</f>
        <v>0</v>
      </c>
      <c r="E364" s="7"/>
      <c r="F364" s="7"/>
    </row>
    <row r="365" spans="1:6" x14ac:dyDescent="0.3">
      <c r="A365" s="3">
        <v>45634</v>
      </c>
      <c r="B365" s="5"/>
      <c r="C365" s="7"/>
      <c r="D365" s="7">
        <f>표8[[#This Row],[원화자금유입]]+표8[[#This Row],[원화투자회수]]</f>
        <v>0</v>
      </c>
      <c r="E365" s="7"/>
      <c r="F365" s="7"/>
    </row>
    <row r="366" spans="1:6" x14ac:dyDescent="0.3">
      <c r="A366" s="3">
        <v>45635</v>
      </c>
      <c r="B366" s="5"/>
      <c r="C366" s="7"/>
      <c r="D366" s="7">
        <f>표8[[#This Row],[원화자금유입]]+표8[[#This Row],[원화투자회수]]</f>
        <v>0</v>
      </c>
      <c r="E366" s="7"/>
      <c r="F366" s="7"/>
    </row>
    <row r="367" spans="1:6" x14ac:dyDescent="0.3">
      <c r="A367" s="3">
        <v>45636</v>
      </c>
      <c r="B367" s="5"/>
      <c r="C367" s="7"/>
      <c r="D367" s="7">
        <f>표8[[#This Row],[원화자금유입]]+표8[[#This Row],[원화투자회수]]</f>
        <v>0</v>
      </c>
      <c r="E367" s="7"/>
      <c r="F367" s="7"/>
    </row>
    <row r="368" spans="1:6" x14ac:dyDescent="0.3">
      <c r="A368" s="3">
        <v>45637</v>
      </c>
      <c r="B368" s="5"/>
      <c r="C368" s="7"/>
      <c r="D368" s="7">
        <f>표8[[#This Row],[원화자금유입]]+표8[[#This Row],[원화투자회수]]</f>
        <v>0</v>
      </c>
      <c r="E368" s="7"/>
      <c r="F368" s="7"/>
    </row>
    <row r="369" spans="1:6" x14ac:dyDescent="0.3">
      <c r="A369" s="3">
        <v>45638</v>
      </c>
      <c r="B369" s="5"/>
      <c r="C369" s="7"/>
      <c r="D369" s="7">
        <f>표8[[#This Row],[원화자금유입]]+표8[[#This Row],[원화투자회수]]</f>
        <v>0</v>
      </c>
      <c r="E369" s="7"/>
      <c r="F369" s="7"/>
    </row>
    <row r="370" spans="1:6" x14ac:dyDescent="0.3">
      <c r="A370" s="3">
        <v>45639</v>
      </c>
      <c r="B370" s="5"/>
      <c r="C370" s="7"/>
      <c r="D370" s="7">
        <f>표8[[#This Row],[원화자금유입]]+표8[[#This Row],[원화투자회수]]</f>
        <v>0</v>
      </c>
      <c r="E370" s="7"/>
      <c r="F370" s="7"/>
    </row>
    <row r="371" spans="1:6" x14ac:dyDescent="0.3">
      <c r="A371" s="3">
        <v>45640</v>
      </c>
      <c r="B371" s="5"/>
      <c r="C371" s="7"/>
      <c r="D371" s="7">
        <f>표8[[#This Row],[원화자금유입]]+표8[[#This Row],[원화투자회수]]</f>
        <v>0</v>
      </c>
      <c r="E371" s="7"/>
      <c r="F371" s="7"/>
    </row>
    <row r="372" spans="1:6" x14ac:dyDescent="0.3">
      <c r="A372" s="3">
        <v>45641</v>
      </c>
      <c r="B372" s="5"/>
      <c r="C372" s="7"/>
      <c r="D372" s="7">
        <f>표8[[#This Row],[원화자금유입]]+표8[[#This Row],[원화투자회수]]</f>
        <v>0</v>
      </c>
      <c r="E372" s="7"/>
      <c r="F372" s="7"/>
    </row>
    <row r="373" spans="1:6" x14ac:dyDescent="0.3">
      <c r="A373" s="3">
        <v>45642</v>
      </c>
      <c r="B373" s="5"/>
      <c r="C373" s="7"/>
      <c r="D373" s="7">
        <f>표8[[#This Row],[원화자금유입]]+표8[[#This Row],[원화투자회수]]</f>
        <v>0</v>
      </c>
      <c r="E373" s="7"/>
      <c r="F373" s="7"/>
    </row>
    <row r="374" spans="1:6" x14ac:dyDescent="0.3">
      <c r="A374" s="3">
        <v>45643</v>
      </c>
      <c r="B374" s="5"/>
      <c r="C374" s="7"/>
      <c r="D374" s="7">
        <f>표8[[#This Row],[원화자금유입]]+표8[[#This Row],[원화투자회수]]</f>
        <v>0</v>
      </c>
      <c r="E374" s="7"/>
      <c r="F374" s="7"/>
    </row>
    <row r="375" spans="1:6" x14ac:dyDescent="0.3">
      <c r="A375" s="3">
        <v>45644</v>
      </c>
      <c r="B375" s="5"/>
      <c r="C375" s="7"/>
      <c r="D375" s="7">
        <f>표8[[#This Row],[원화자금유입]]+표8[[#This Row],[원화투자회수]]</f>
        <v>0</v>
      </c>
      <c r="E375" s="7"/>
      <c r="F375" s="7"/>
    </row>
    <row r="376" spans="1:6" x14ac:dyDescent="0.3">
      <c r="A376" s="3">
        <v>45645</v>
      </c>
      <c r="B376" s="5"/>
      <c r="C376" s="7"/>
      <c r="D376" s="7">
        <f>표8[[#This Row],[원화자금유입]]+표8[[#This Row],[원화투자회수]]</f>
        <v>0</v>
      </c>
      <c r="E376" s="7"/>
      <c r="F376" s="7"/>
    </row>
    <row r="377" spans="1:6" x14ac:dyDescent="0.3">
      <c r="A377" s="3">
        <v>45646</v>
      </c>
      <c r="B377" s="5"/>
      <c r="C377" s="7"/>
      <c r="D377" s="7">
        <f>표8[[#This Row],[원화자금유입]]+표8[[#This Row],[원화투자회수]]</f>
        <v>0</v>
      </c>
      <c r="E377" s="7"/>
      <c r="F377" s="7"/>
    </row>
    <row r="378" spans="1:6" x14ac:dyDescent="0.3">
      <c r="A378" s="3">
        <v>45647</v>
      </c>
      <c r="B378" s="5"/>
      <c r="C378" s="7"/>
      <c r="D378" s="7">
        <f>표8[[#This Row],[원화자금유입]]+표8[[#This Row],[원화투자회수]]</f>
        <v>0</v>
      </c>
      <c r="E378" s="7"/>
      <c r="F378" s="7"/>
    </row>
    <row r="379" spans="1:6" x14ac:dyDescent="0.3">
      <c r="A379" s="3">
        <v>45648</v>
      </c>
      <c r="B379" s="5"/>
      <c r="C379" s="7"/>
      <c r="D379" s="7">
        <f>표8[[#This Row],[원화자금유입]]+표8[[#This Row],[원화투자회수]]</f>
        <v>0</v>
      </c>
      <c r="E379" s="7"/>
      <c r="F379" s="7"/>
    </row>
    <row r="380" spans="1:6" x14ac:dyDescent="0.3">
      <c r="A380" s="3">
        <v>45649</v>
      </c>
      <c r="B380" s="5"/>
      <c r="C380" s="7"/>
      <c r="D380" s="7">
        <f>표8[[#This Row],[원화자금유입]]+표8[[#This Row],[원화투자회수]]</f>
        <v>0</v>
      </c>
      <c r="E380" s="7"/>
      <c r="F380" s="7"/>
    </row>
    <row r="381" spans="1:6" x14ac:dyDescent="0.3">
      <c r="A381" s="3">
        <v>45650</v>
      </c>
      <c r="B381" s="5"/>
      <c r="C381" s="7"/>
      <c r="D381" s="7">
        <f>표8[[#This Row],[원화자금유입]]+표8[[#This Row],[원화투자회수]]</f>
        <v>0</v>
      </c>
      <c r="E381" s="7"/>
      <c r="F381" s="7"/>
    </row>
    <row r="382" spans="1:6" x14ac:dyDescent="0.3">
      <c r="A382" s="3">
        <v>45651</v>
      </c>
      <c r="B382" s="5"/>
      <c r="C382" s="7"/>
      <c r="D382" s="7">
        <f>표8[[#This Row],[원화자금유입]]+표8[[#This Row],[원화투자회수]]</f>
        <v>0</v>
      </c>
      <c r="E382" s="7"/>
      <c r="F382" s="7"/>
    </row>
    <row r="383" spans="1:6" x14ac:dyDescent="0.3">
      <c r="A383" s="3">
        <v>45652</v>
      </c>
      <c r="B383" s="5"/>
      <c r="C383" s="7"/>
      <c r="D383" s="7">
        <f>표8[[#This Row],[원화자금유입]]+표8[[#This Row],[원화투자회수]]</f>
        <v>0</v>
      </c>
      <c r="E383" s="7"/>
      <c r="F383" s="7"/>
    </row>
    <row r="384" spans="1:6" x14ac:dyDescent="0.3">
      <c r="A384" s="3">
        <v>45653</v>
      </c>
      <c r="B384" s="5"/>
      <c r="C384" s="7"/>
      <c r="D384" s="7">
        <f>표8[[#This Row],[원화자금유입]]+표8[[#This Row],[원화투자회수]]</f>
        <v>0</v>
      </c>
      <c r="E384" s="7"/>
      <c r="F384" s="7"/>
    </row>
    <row r="385" spans="1:6" x14ac:dyDescent="0.3">
      <c r="A385" s="3">
        <v>45654</v>
      </c>
      <c r="B385" s="5"/>
      <c r="C385" s="7"/>
      <c r="D385" s="7">
        <f>표8[[#This Row],[원화자금유입]]+표8[[#This Row],[원화투자회수]]</f>
        <v>0</v>
      </c>
      <c r="E385" s="7"/>
      <c r="F385" s="7"/>
    </row>
    <row r="386" spans="1:6" x14ac:dyDescent="0.3">
      <c r="A386" s="3">
        <v>45655</v>
      </c>
      <c r="B386" s="5"/>
      <c r="C386" s="7"/>
      <c r="D386" s="7">
        <f>표8[[#This Row],[원화자금유입]]+표8[[#This Row],[원화투자회수]]</f>
        <v>0</v>
      </c>
      <c r="E386" s="7"/>
      <c r="F386" s="7"/>
    </row>
    <row r="387" spans="1:6" x14ac:dyDescent="0.3">
      <c r="A387" s="3">
        <v>45656</v>
      </c>
      <c r="B387" s="5"/>
      <c r="C387" s="7"/>
      <c r="D387" s="7">
        <f>표8[[#This Row],[원화자금유입]]+표8[[#This Row],[원화투자회수]]</f>
        <v>0</v>
      </c>
      <c r="E387" s="7"/>
      <c r="F387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232</v>
      </c>
      <c r="C1" t="s">
        <v>233</v>
      </c>
      <c r="D1" t="s">
        <v>234</v>
      </c>
      <c r="F1" t="s">
        <v>236</v>
      </c>
      <c r="G1" t="s">
        <v>237</v>
      </c>
    </row>
    <row r="2" spans="1:7" x14ac:dyDescent="0.3">
      <c r="A2" t="s">
        <v>231</v>
      </c>
      <c r="B2" s="93">
        <v>10443431</v>
      </c>
      <c r="C2" s="93">
        <v>6807555</v>
      </c>
      <c r="D2" s="117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220</v>
      </c>
      <c r="B3" s="93">
        <v>5171099</v>
      </c>
      <c r="C3" s="93">
        <v>2887524</v>
      </c>
      <c r="D3" s="117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221</v>
      </c>
      <c r="B4" s="93">
        <v>12767200</v>
      </c>
      <c r="C4" s="93">
        <v>4622625</v>
      </c>
      <c r="D4" s="117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222</v>
      </c>
      <c r="B5" s="93">
        <v>5920196</v>
      </c>
      <c r="C5" s="93">
        <v>5754350</v>
      </c>
      <c r="D5" s="117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223</v>
      </c>
      <c r="B6" s="93">
        <v>4793340</v>
      </c>
      <c r="C6" s="93">
        <v>1829193</v>
      </c>
      <c r="D6" s="117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224</v>
      </c>
      <c r="B7" s="93">
        <v>7380920</v>
      </c>
      <c r="C7" s="93">
        <v>2236670</v>
      </c>
      <c r="D7" s="117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225</v>
      </c>
      <c r="B8" s="93">
        <v>5444912</v>
      </c>
      <c r="C8" s="93">
        <v>3595160</v>
      </c>
      <c r="D8" s="117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226</v>
      </c>
      <c r="B9" s="93">
        <v>4448197</v>
      </c>
      <c r="C9" s="93">
        <v>5077573</v>
      </c>
      <c r="D9" s="117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227</v>
      </c>
      <c r="B10" s="93">
        <v>11240126</v>
      </c>
      <c r="C10" s="93">
        <v>1935450</v>
      </c>
      <c r="D10" s="117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228</v>
      </c>
      <c r="B11" s="93">
        <v>6254766</v>
      </c>
      <c r="C11" s="93">
        <v>4187759</v>
      </c>
      <c r="D11" s="117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229</v>
      </c>
      <c r="B12" s="93">
        <v>5664279</v>
      </c>
      <c r="C12" s="93">
        <v>1892555</v>
      </c>
      <c r="D12" s="117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230</v>
      </c>
      <c r="B13" s="93">
        <v>6207678</v>
      </c>
      <c r="C13" s="93">
        <v>3414199</v>
      </c>
      <c r="D13" s="117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235</v>
      </c>
      <c r="B14" s="117">
        <f>SUM(B2:B13)</f>
        <v>85736144</v>
      </c>
      <c r="C14" s="117">
        <f>SUM(C2:C13)</f>
        <v>44240613</v>
      </c>
      <c r="D14" s="117">
        <f>SUM(D2:D13)</f>
        <v>41495531</v>
      </c>
      <c r="F14">
        <v>48000000</v>
      </c>
    </row>
    <row r="15" spans="1:7" x14ac:dyDescent="0.3">
      <c r="B15" s="93"/>
      <c r="C15" s="93"/>
      <c r="D15" s="117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159</v>
      </c>
      <c r="B1">
        <f>SUM(외화자산평가!$F:$F)/-SUMIF(외화자산평가!$T:$T,"&lt;0",외화자산평가!$T:$T)</f>
        <v>71.192851889988447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>
      <pane xSplit="4" ySplit="1" topLeftCell="E68" activePane="bottomRight" state="frozen"/>
      <selection activeCell="A59" sqref="A59"/>
      <selection pane="topRight" activeCell="F1" sqref="F1"/>
      <selection pane="bottomLeft" activeCell="A69" sqref="A69"/>
      <selection pane="bottomRight" activeCell="R88" sqref="R88"/>
    </sheetView>
  </sheetViews>
  <sheetFormatPr defaultRowHeight="16.5" x14ac:dyDescent="0.3"/>
  <cols>
    <col min="1" max="1" width="11.125" style="3" bestFit="1" customWidth="1"/>
    <col min="2" max="2" width="7" style="1" customWidth="1"/>
    <col min="3" max="3" width="10.75" style="1" customWidth="1"/>
    <col min="4" max="4" width="23.5" style="9" customWidth="1"/>
    <col min="5" max="5" width="11.125" style="72" customWidth="1"/>
    <col min="6" max="6" width="9.625" style="7" customWidth="1"/>
    <col min="7" max="7" width="8.25" style="5" customWidth="1"/>
    <col min="8" max="8" width="8.625" style="5" customWidth="1"/>
    <col min="9" max="9" width="6" style="75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24" s="2" customFormat="1" x14ac:dyDescent="0.3">
      <c r="A1" s="1" t="s">
        <v>0</v>
      </c>
      <c r="B1" s="1" t="s">
        <v>78</v>
      </c>
      <c r="C1" s="1" t="s">
        <v>1</v>
      </c>
      <c r="D1" s="1" t="s">
        <v>132</v>
      </c>
      <c r="E1" s="73" t="s">
        <v>133</v>
      </c>
      <c r="F1" s="6" t="s">
        <v>134</v>
      </c>
      <c r="G1" s="6" t="s">
        <v>56</v>
      </c>
      <c r="H1" s="6" t="s">
        <v>28</v>
      </c>
      <c r="I1" s="11" t="s">
        <v>135</v>
      </c>
      <c r="J1" s="6" t="s">
        <v>54</v>
      </c>
      <c r="K1" s="6" t="s">
        <v>58</v>
      </c>
      <c r="L1" s="6" t="s">
        <v>59</v>
      </c>
      <c r="M1" s="6" t="s">
        <v>55</v>
      </c>
      <c r="N1" s="6" t="s">
        <v>61</v>
      </c>
      <c r="O1" s="6" t="s">
        <v>60</v>
      </c>
      <c r="P1" s="6" t="s">
        <v>29</v>
      </c>
      <c r="Q1" s="17" t="s">
        <v>66</v>
      </c>
      <c r="R1" s="4" t="s">
        <v>62</v>
      </c>
      <c r="S1" s="4" t="s">
        <v>63</v>
      </c>
    </row>
    <row r="2" spans="1:24" x14ac:dyDescent="0.3">
      <c r="A2" s="3">
        <v>45078</v>
      </c>
      <c r="B2" s="87" t="s">
        <v>88</v>
      </c>
      <c r="C2" s="1" t="str">
        <f>VLOOKUP(불리오[[#This Row],[종목코드]],표3[],2,FALSE)</f>
        <v>불리오달러</v>
      </c>
      <c r="D2" s="9" t="str">
        <f>VLOOKUP(불리오[[#This Row],[종목코드]],표3[],4,FALSE)</f>
        <v>한국투자증권 불리오계좌 달러예수금</v>
      </c>
      <c r="E2" s="72">
        <v>1</v>
      </c>
      <c r="G2" s="8"/>
      <c r="H2" s="8">
        <f>불리오[[#This Row],[현금지출]]-불리오[[#This Row],[매입액]]</f>
        <v>0</v>
      </c>
      <c r="I2" s="13"/>
      <c r="J2" s="7"/>
      <c r="K2" s="7"/>
      <c r="L2" s="7"/>
      <c r="M2" s="7"/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 s="7">
        <v>3777.6</v>
      </c>
      <c r="R2" s="13">
        <f>불리오[[#This Row],[입출금]]+불리오[[#This Row],[현금수입]]-불리오[[#This Row],[현금지출]]</f>
        <v>3777.6</v>
      </c>
      <c r="S2" s="13">
        <f>SUM($R$2:R2)</f>
        <v>3777.6</v>
      </c>
      <c r="V2"/>
      <c r="X2"/>
    </row>
    <row r="3" spans="1:24" x14ac:dyDescent="0.3">
      <c r="A3" s="3">
        <v>45078</v>
      </c>
      <c r="B3" s="87" t="s">
        <v>131</v>
      </c>
      <c r="C3" s="1" t="str">
        <f>VLOOKUP(불리오[[#This Row],[종목코드]],표3[],2,FALSE)</f>
        <v>독일주식</v>
      </c>
      <c r="D3" s="9" t="str">
        <f>VLOOKUP(불리오[[#This Row],[종목코드]],표3[],4,FALSE)</f>
        <v>ISHARES INC MSCI GERMANY ETF</v>
      </c>
      <c r="E3" s="72">
        <v>6</v>
      </c>
      <c r="F3" s="7">
        <v>168.66</v>
      </c>
      <c r="G3" s="8">
        <v>168.94</v>
      </c>
      <c r="H3" s="8">
        <f>불리오[[#This Row],[현금지출]]-불리오[[#This Row],[매입액]]</f>
        <v>0.28000000000000114</v>
      </c>
      <c r="I3" s="13"/>
      <c r="J3" s="7"/>
      <c r="K3" s="7"/>
      <c r="L3" s="7"/>
      <c r="M3" s="7"/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-0.28000000000000114</v>
      </c>
      <c r="Q3" s="12"/>
      <c r="R3" s="13">
        <f>불리오[[#This Row],[입출금]]+불리오[[#This Row],[현금수입]]-불리오[[#This Row],[현금지출]]</f>
        <v>-168.94</v>
      </c>
      <c r="S3" s="13">
        <f>SUM($R$2:R3)</f>
        <v>3608.66</v>
      </c>
      <c r="V3"/>
      <c r="X3"/>
    </row>
    <row r="4" spans="1:24" x14ac:dyDescent="0.3">
      <c r="A4" s="3">
        <v>45078</v>
      </c>
      <c r="B4" s="87" t="s">
        <v>118</v>
      </c>
      <c r="C4" s="1" t="str">
        <f>VLOOKUP(불리오[[#This Row],[종목코드]],표3[],2,FALSE)</f>
        <v>홍콩주식</v>
      </c>
      <c r="D4" s="9" t="str">
        <f>VLOOKUP(불리오[[#This Row],[종목코드]],표3[],4,FALSE)</f>
        <v>ISHARES INC MSCI HONG KONG ETF</v>
      </c>
      <c r="E4" s="72">
        <v>8</v>
      </c>
      <c r="F4" s="7">
        <v>151.12</v>
      </c>
      <c r="G4" s="8">
        <v>151.37</v>
      </c>
      <c r="H4" s="8">
        <f>불리오[[#This Row],[현금지출]]-불리오[[#This Row],[매입액]]</f>
        <v>0.25</v>
      </c>
      <c r="I4" s="13"/>
      <c r="J4" s="7"/>
      <c r="K4" s="7"/>
      <c r="L4" s="7"/>
      <c r="M4" s="7"/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-0.25</v>
      </c>
      <c r="Q4" s="12"/>
      <c r="R4" s="13">
        <f>불리오[[#This Row],[입출금]]+불리오[[#This Row],[현금수입]]-불리오[[#This Row],[현금지출]]</f>
        <v>-151.37</v>
      </c>
      <c r="S4" s="13">
        <f>SUM($R$2:R4)</f>
        <v>3457.29</v>
      </c>
      <c r="V4"/>
      <c r="X4"/>
    </row>
    <row r="5" spans="1:24" x14ac:dyDescent="0.3">
      <c r="A5" s="3">
        <v>45078</v>
      </c>
      <c r="B5" s="87" t="s">
        <v>119</v>
      </c>
      <c r="C5" s="1" t="str">
        <f>VLOOKUP(불리오[[#This Row],[종목코드]],표3[],2,FALSE)</f>
        <v>일본주식</v>
      </c>
      <c r="D5" s="9" t="str">
        <f>VLOOKUP(불리오[[#This Row],[종목코드]],표3[],4,FALSE)</f>
        <v>ISHARES INC MSCI JAPAN ETF NEW(POST REV SPLT)</v>
      </c>
      <c r="E5" s="72">
        <v>5</v>
      </c>
      <c r="F5" s="7">
        <v>301.39</v>
      </c>
      <c r="G5" s="8">
        <v>301.91000000000003</v>
      </c>
      <c r="H5" s="8">
        <f>불리오[[#This Row],[현금지출]]-불리오[[#This Row],[매입액]]</f>
        <v>0.52000000000003865</v>
      </c>
      <c r="I5" s="13"/>
      <c r="J5" s="7"/>
      <c r="K5" s="7"/>
      <c r="L5" s="7"/>
      <c r="M5" s="7"/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-0.52000000000003865</v>
      </c>
      <c r="Q5" s="12"/>
      <c r="R5" s="13">
        <f>불리오[[#This Row],[입출금]]+불리오[[#This Row],[현금수입]]-불리오[[#This Row],[현금지출]]</f>
        <v>-301.91000000000003</v>
      </c>
      <c r="S5" s="13">
        <f>SUM($R$2:R5)</f>
        <v>3155.38</v>
      </c>
      <c r="V5"/>
      <c r="X5"/>
    </row>
    <row r="6" spans="1:24" x14ac:dyDescent="0.3">
      <c r="A6" s="3">
        <v>45078</v>
      </c>
      <c r="B6" s="87" t="s">
        <v>120</v>
      </c>
      <c r="C6" s="1" t="str">
        <f>VLOOKUP(불리오[[#This Row],[종목코드]],표3[],2,FALSE)</f>
        <v>멕시코주식</v>
      </c>
      <c r="D6" s="9" t="str">
        <f>VLOOKUP(불리오[[#This Row],[종목코드]],표3[],4,FALSE)</f>
        <v>ISHARES INC MSCI MEXICO ETF</v>
      </c>
      <c r="E6" s="72">
        <v>1</v>
      </c>
      <c r="F6" s="7">
        <v>59.87</v>
      </c>
      <c r="G6" s="8">
        <v>59.96</v>
      </c>
      <c r="H6" s="8">
        <f>불리오[[#This Row],[현금지출]]-불리오[[#This Row],[매입액]]</f>
        <v>9.0000000000003411E-2</v>
      </c>
      <c r="I6" s="13"/>
      <c r="J6" s="7"/>
      <c r="K6" s="7"/>
      <c r="L6" s="7"/>
      <c r="M6" s="7"/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-9.0000000000003411E-2</v>
      </c>
      <c r="Q6" s="12"/>
      <c r="R6" s="13">
        <f>불리오[[#This Row],[입출금]]+불리오[[#This Row],[현금수입]]-불리오[[#This Row],[현금지출]]</f>
        <v>-59.96</v>
      </c>
      <c r="S6" s="13">
        <f>SUM($R$2:R6)</f>
        <v>3095.42</v>
      </c>
      <c r="V6"/>
      <c r="X6"/>
    </row>
    <row r="7" spans="1:24" x14ac:dyDescent="0.3">
      <c r="A7" s="3">
        <v>45078</v>
      </c>
      <c r="B7" s="87" t="s">
        <v>122</v>
      </c>
      <c r="C7" s="1" t="str">
        <f>VLOOKUP(불리오[[#This Row],[종목코드]],표3[],2,FALSE)</f>
        <v>남아프리카주식</v>
      </c>
      <c r="D7" s="9" t="str">
        <f>VLOOKUP(불리오[[#This Row],[종목코드]],표3[],4,FALSE)</f>
        <v>ISHARES MSCI SOUTH AFRICA FUND</v>
      </c>
      <c r="E7" s="72">
        <v>5</v>
      </c>
      <c r="F7" s="7">
        <v>187</v>
      </c>
      <c r="G7" s="8">
        <v>187.31</v>
      </c>
      <c r="H7" s="8">
        <f>불리오[[#This Row],[현금지출]]-불리오[[#This Row],[매입액]]</f>
        <v>0.31000000000000227</v>
      </c>
      <c r="I7" s="13"/>
      <c r="J7" s="7"/>
      <c r="K7" s="7"/>
      <c r="L7" s="7"/>
      <c r="M7" s="7"/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-0.31000000000000227</v>
      </c>
      <c r="Q7" s="12"/>
      <c r="R7" s="13">
        <f>불리오[[#This Row],[입출금]]+불리오[[#This Row],[현금수입]]-불리오[[#This Row],[현금지출]]</f>
        <v>-187.31</v>
      </c>
      <c r="S7" s="13">
        <f>SUM($R$2:R7)</f>
        <v>2908.11</v>
      </c>
      <c r="V7"/>
      <c r="X7"/>
    </row>
    <row r="8" spans="1:24" x14ac:dyDescent="0.3">
      <c r="A8" s="3">
        <v>45078</v>
      </c>
      <c r="B8" s="87" t="s">
        <v>121</v>
      </c>
      <c r="C8" s="1" t="str">
        <f>VLOOKUP(불리오[[#This Row],[종목코드]],표3[],2,FALSE)</f>
        <v>유로존주식</v>
      </c>
      <c r="D8" s="9" t="str">
        <f>VLOOKUP(불리오[[#This Row],[종목코드]],표3[],4,FALSE)</f>
        <v>ISHARES MSCI EUROZONE ETF</v>
      </c>
      <c r="E8" s="72">
        <v>4</v>
      </c>
      <c r="F8" s="7">
        <v>177.08</v>
      </c>
      <c r="G8" s="8">
        <v>177.38000000000002</v>
      </c>
      <c r="H8" s="8">
        <f>불리오[[#This Row],[현금지출]]-불리오[[#This Row],[매입액]]</f>
        <v>0.30000000000001137</v>
      </c>
      <c r="I8" s="13"/>
      <c r="J8" s="7"/>
      <c r="K8" s="7"/>
      <c r="L8" s="7"/>
      <c r="M8" s="7"/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-0.30000000000001137</v>
      </c>
      <c r="Q8" s="12"/>
      <c r="R8" s="13">
        <f>불리오[[#This Row],[입출금]]+불리오[[#This Row],[현금수입]]-불리오[[#This Row],[현금지출]]</f>
        <v>-177.38000000000002</v>
      </c>
      <c r="S8" s="13">
        <f>SUM($R$2:R8)</f>
        <v>2730.73</v>
      </c>
      <c r="V8"/>
      <c r="X8"/>
    </row>
    <row r="9" spans="1:24" x14ac:dyDescent="0.3">
      <c r="A9" s="3">
        <v>45078</v>
      </c>
      <c r="B9" s="87" t="s">
        <v>130</v>
      </c>
      <c r="C9" s="1" t="str">
        <f>VLOOKUP(불리오[[#This Row],[종목코드]],표3[],2,FALSE)</f>
        <v>유로</v>
      </c>
      <c r="D9" s="9" t="str">
        <f>VLOOKUP(불리오[[#This Row],[종목코드]],표3[],4,FALSE)</f>
        <v>INVESCO CURRENCYETF EURO CURRENCY TRUST</v>
      </c>
      <c r="E9" s="72">
        <v>2</v>
      </c>
      <c r="F9" s="7">
        <v>197.66</v>
      </c>
      <c r="G9" s="8">
        <v>197.98</v>
      </c>
      <c r="H9" s="8">
        <f>불리오[[#This Row],[현금지출]]-불리오[[#This Row],[매입액]]</f>
        <v>0.31999999999999318</v>
      </c>
      <c r="I9" s="13"/>
      <c r="J9" s="7"/>
      <c r="K9" s="7"/>
      <c r="L9" s="7"/>
      <c r="M9" s="7"/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-0.31999999999999318</v>
      </c>
      <c r="Q9" s="12"/>
      <c r="R9" s="13">
        <f>불리오[[#This Row],[입출금]]+불리오[[#This Row],[현금수입]]-불리오[[#This Row],[현금지출]]</f>
        <v>-197.98</v>
      </c>
      <c r="S9" s="13">
        <f>SUM($R$2:R9)</f>
        <v>2532.75</v>
      </c>
      <c r="V9"/>
      <c r="X9"/>
    </row>
    <row r="10" spans="1:24" x14ac:dyDescent="0.3">
      <c r="A10" s="3">
        <v>45078</v>
      </c>
      <c r="B10" s="87" t="s">
        <v>116</v>
      </c>
      <c r="C10" s="1" t="str">
        <f>VLOOKUP(불리오[[#This Row],[종목코드]],표3[],2,FALSE)</f>
        <v>중국주식</v>
      </c>
      <c r="D10" s="9" t="str">
        <f>VLOOKUP(불리오[[#This Row],[종목코드]],표3[],4,FALSE)</f>
        <v>ISHARES CHINA LARGE-CAP ETF</v>
      </c>
      <c r="E10" s="72">
        <v>7</v>
      </c>
      <c r="F10" s="7">
        <v>181.93</v>
      </c>
      <c r="G10" s="8">
        <v>182.23000000000002</v>
      </c>
      <c r="H10" s="8">
        <f>불리오[[#This Row],[현금지출]]-불리오[[#This Row],[매입액]]</f>
        <v>0.30000000000001137</v>
      </c>
      <c r="I10" s="13"/>
      <c r="J10" s="7"/>
      <c r="K10" s="7"/>
      <c r="L10" s="7"/>
      <c r="M10" s="7"/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-0.30000000000001137</v>
      </c>
      <c r="Q10" s="12"/>
      <c r="R10" s="13">
        <f>불리오[[#This Row],[입출금]]+불리오[[#This Row],[현금수입]]-불리오[[#This Row],[현금지출]]</f>
        <v>-182.23000000000002</v>
      </c>
      <c r="S10" s="13">
        <f>SUM($R$2:R10)</f>
        <v>2350.52</v>
      </c>
      <c r="V10"/>
      <c r="X10"/>
    </row>
    <row r="11" spans="1:24" x14ac:dyDescent="0.3">
      <c r="A11" s="3">
        <v>45078</v>
      </c>
      <c r="B11" s="87" t="s">
        <v>115</v>
      </c>
      <c r="C11" s="1" t="str">
        <f>VLOOKUP(불리오[[#This Row],[종목코드]],표3[],2,FALSE)</f>
        <v>원자재</v>
      </c>
      <c r="D11" s="9" t="str">
        <f>VLOOKUP(불리오[[#This Row],[종목코드]],표3[],4,FALSE)</f>
        <v>INVESCO ACT MANAGE EXCH TR CMDTY FD OPTIMUM YIELD DIVERSIFIE</v>
      </c>
      <c r="E11" s="72">
        <v>7</v>
      </c>
      <c r="F11" s="7">
        <v>93.1</v>
      </c>
      <c r="G11" s="8">
        <v>93.25</v>
      </c>
      <c r="H11" s="8">
        <f>불리오[[#This Row],[현금지출]]-불리오[[#This Row],[매입액]]</f>
        <v>0.15000000000000568</v>
      </c>
      <c r="I11" s="13"/>
      <c r="J11" s="7"/>
      <c r="K11" s="7"/>
      <c r="L11" s="7"/>
      <c r="M11" s="7"/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-0.15000000000000568</v>
      </c>
      <c r="Q11" s="12"/>
      <c r="R11" s="13">
        <f>불리오[[#This Row],[입출금]]+불리오[[#This Row],[현금수입]]-불리오[[#This Row],[현금지출]]</f>
        <v>-93.25</v>
      </c>
      <c r="S11" s="13">
        <f>SUM($R$2:R11)</f>
        <v>2257.27</v>
      </c>
      <c r="V11"/>
      <c r="X11"/>
    </row>
    <row r="12" spans="1:24" x14ac:dyDescent="0.3">
      <c r="A12" s="3">
        <v>45078</v>
      </c>
      <c r="B12" s="87" t="s">
        <v>123</v>
      </c>
      <c r="C12" s="1" t="str">
        <f>VLOOKUP(불리오[[#This Row],[종목코드]],표3[],2,FALSE)</f>
        <v>신흥국주식</v>
      </c>
      <c r="D12" s="9" t="str">
        <f>VLOOKUP(불리오[[#This Row],[종목코드]],표3[],4,FALSE)</f>
        <v>SCHWAB EMERGING MARKETS EQUITY ETF</v>
      </c>
      <c r="E12" s="72">
        <v>11</v>
      </c>
      <c r="F12" s="7">
        <v>260.48</v>
      </c>
      <c r="G12" s="8">
        <v>260.91000000000003</v>
      </c>
      <c r="H12" s="8">
        <f>불리오[[#This Row],[현금지출]]-불리오[[#This Row],[매입액]]</f>
        <v>0.43000000000000682</v>
      </c>
      <c r="I12" s="13"/>
      <c r="J12" s="7"/>
      <c r="K12" s="7"/>
      <c r="L12" s="7"/>
      <c r="M12" s="7"/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-0.43000000000000682</v>
      </c>
      <c r="Q12" s="12"/>
      <c r="R12" s="13">
        <f>불리오[[#This Row],[입출금]]+불리오[[#This Row],[현금수입]]-불리오[[#This Row],[현금지출]]</f>
        <v>-260.91000000000003</v>
      </c>
      <c r="S12" s="13">
        <f>SUM($R$2:R12)</f>
        <v>1996.36</v>
      </c>
      <c r="V12"/>
      <c r="X12"/>
    </row>
    <row r="13" spans="1:24" x14ac:dyDescent="0.3">
      <c r="A13" s="3">
        <v>45078</v>
      </c>
      <c r="B13" s="87" t="s">
        <v>114</v>
      </c>
      <c r="C13" s="1" t="str">
        <f>VLOOKUP(불리오[[#This Row],[종목코드]],표3[],2,FALSE)</f>
        <v>금</v>
      </c>
      <c r="D13" s="9" t="str">
        <f>VLOOKUP(불리오[[#This Row],[종목코드]],표3[],4,FALSE)</f>
        <v>ABRDN PHYSICAL GOLD SHARES ETF</v>
      </c>
      <c r="E13" s="72">
        <v>19</v>
      </c>
      <c r="F13" s="7">
        <v>357.87</v>
      </c>
      <c r="G13" s="8">
        <v>358.46</v>
      </c>
      <c r="H13" s="8">
        <f>불리오[[#This Row],[현금지출]]-불리오[[#This Row],[매입액]]</f>
        <v>0.58999999999997499</v>
      </c>
      <c r="I13" s="13"/>
      <c r="J13" s="7"/>
      <c r="K13" s="7"/>
      <c r="L13" s="7"/>
      <c r="M13" s="7"/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-0.58999999999997499</v>
      </c>
      <c r="Q13" s="12"/>
      <c r="R13" s="13">
        <f>불리오[[#This Row],[입출금]]+불리오[[#This Row],[현금수입]]-불리오[[#This Row],[현금지출]]</f>
        <v>-358.46</v>
      </c>
      <c r="S13" s="13">
        <f>SUM($R$2:R13)</f>
        <v>1637.8999999999999</v>
      </c>
      <c r="V13"/>
      <c r="X13"/>
    </row>
    <row r="14" spans="1:24" x14ac:dyDescent="0.3">
      <c r="A14" s="3">
        <v>45078</v>
      </c>
      <c r="B14" s="87" t="s">
        <v>124</v>
      </c>
      <c r="C14" s="1" t="str">
        <f>VLOOKUP(불리오[[#This Row],[종목코드]],표3[],2,FALSE)</f>
        <v>전세계주식</v>
      </c>
      <c r="D14" s="9" t="str">
        <f>VLOOKUP(불리오[[#This Row],[종목코드]],표3[],4,FALSE)</f>
        <v>SPDR INDEX SHARES FUNDS PORTFOLIO MSCI GLOBAL STOCK MARKET E</v>
      </c>
      <c r="E14" s="72">
        <v>7</v>
      </c>
      <c r="F14" s="7">
        <v>346.92</v>
      </c>
      <c r="G14" s="8">
        <v>347.5</v>
      </c>
      <c r="H14" s="8">
        <f>불리오[[#This Row],[현금지출]]-불리오[[#This Row],[매입액]]</f>
        <v>0.57999999999998408</v>
      </c>
      <c r="I14" s="13"/>
      <c r="J14" s="7"/>
      <c r="K14" s="7"/>
      <c r="L14" s="7"/>
      <c r="M14" s="7"/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-0.57999999999998408</v>
      </c>
      <c r="Q14" s="12"/>
      <c r="R14" s="13">
        <f>불리오[[#This Row],[입출금]]+불리오[[#This Row],[현금수입]]-불리오[[#This Row],[현금지출]]</f>
        <v>-347.5</v>
      </c>
      <c r="S14" s="13">
        <f>SUM($R$2:R14)</f>
        <v>1290.3999999999999</v>
      </c>
      <c r="V14"/>
      <c r="X14"/>
    </row>
    <row r="15" spans="1:24" x14ac:dyDescent="0.3">
      <c r="A15" s="3">
        <v>45078</v>
      </c>
      <c r="B15" s="87" t="s">
        <v>127</v>
      </c>
      <c r="C15" s="1" t="str">
        <f>VLOOKUP(불리오[[#This Row],[종목코드]],표3[],2,FALSE)</f>
        <v>하이일드</v>
      </c>
      <c r="D15" s="9" t="str">
        <f>VLOOKUP(불리오[[#This Row],[종목코드]],표3[],4,FALSE)</f>
        <v>SPDR SERIES TRUST Portfolio High Yield Bond ETF</v>
      </c>
      <c r="E15" s="72">
        <v>4</v>
      </c>
      <c r="F15" s="7">
        <v>89.76</v>
      </c>
      <c r="G15" s="8">
        <v>89.9</v>
      </c>
      <c r="H15" s="8">
        <f>불리오[[#This Row],[현금지출]]-불리오[[#This Row],[매입액]]</f>
        <v>0.14000000000000057</v>
      </c>
      <c r="I15" s="13"/>
      <c r="J15" s="7"/>
      <c r="K15" s="7"/>
      <c r="L15" s="7"/>
      <c r="M15" s="7"/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-0.14000000000000057</v>
      </c>
      <c r="Q15" s="12"/>
      <c r="R15" s="13">
        <f>불리오[[#This Row],[입출금]]+불리오[[#This Row],[현금수입]]-불리오[[#This Row],[현금지출]]</f>
        <v>-89.9</v>
      </c>
      <c r="S15" s="13">
        <f>SUM($R$2:R15)</f>
        <v>1200.4999999999998</v>
      </c>
      <c r="V15"/>
      <c r="X15"/>
    </row>
    <row r="16" spans="1:24" x14ac:dyDescent="0.3">
      <c r="A16" s="3">
        <v>45078</v>
      </c>
      <c r="B16" s="87" t="s">
        <v>128</v>
      </c>
      <c r="C16" s="1" t="str">
        <f>VLOOKUP(불리오[[#This Row],[종목코드]],표3[],2,FALSE)</f>
        <v>물가연동채</v>
      </c>
      <c r="D16" s="9" t="str">
        <f>VLOOKUP(불리오[[#This Row],[종목코드]],표3[],4,FALSE)</f>
        <v>SPDR SERIES TRUST Portfolio TIPS ETF</v>
      </c>
      <c r="E16" s="72">
        <v>10</v>
      </c>
      <c r="F16" s="7">
        <v>259.39</v>
      </c>
      <c r="G16" s="8">
        <v>259.83</v>
      </c>
      <c r="H16" s="8">
        <f>불리오[[#This Row],[현금지출]]-불리오[[#This Row],[매입액]]</f>
        <v>0.43999999999999773</v>
      </c>
      <c r="I16" s="13"/>
      <c r="J16" s="7"/>
      <c r="K16" s="7"/>
      <c r="L16" s="7"/>
      <c r="M16" s="7"/>
      <c r="N16" s="11">
        <f>불리오[[#This Row],[매도액]]-불리오[[#This Row],[매도원금]]</f>
        <v>0</v>
      </c>
      <c r="O16" s="11">
        <f>불리오[[#This Row],[매도액]]+불리오[[#This Row],[이자배당액]]-불리오[[#This Row],[현금수입]]</f>
        <v>0</v>
      </c>
      <c r="P16" s="11">
        <f>불리오[[#This Row],[매매수익]]+불리오[[#This Row],[이자배당액]]-불리오[[#This Row],[매도비용]]-불리오[[#This Row],[매입비용]]</f>
        <v>-0.43999999999999773</v>
      </c>
      <c r="Q16" s="12"/>
      <c r="R16" s="13">
        <f>불리오[[#This Row],[입출금]]+불리오[[#This Row],[현금수입]]-불리오[[#This Row],[현금지출]]</f>
        <v>-259.83</v>
      </c>
      <c r="S16" s="13">
        <f>SUM($R$2:R16)</f>
        <v>940.66999999999985</v>
      </c>
      <c r="V16"/>
      <c r="X16"/>
    </row>
    <row r="17" spans="1:24" x14ac:dyDescent="0.3">
      <c r="A17" s="3">
        <v>45078</v>
      </c>
      <c r="B17" s="87" t="s">
        <v>126</v>
      </c>
      <c r="C17" s="1" t="str">
        <f>VLOOKUP(불리오[[#This Row],[종목코드]],표3[],2,FALSE)</f>
        <v>미국주식</v>
      </c>
      <c r="D17" s="9" t="str">
        <f>VLOOKUP(불리오[[#This Row],[종목코드]],표3[],4,FALSE)</f>
        <v>SPDR PORTFOLIO S&amp;P 500 ETF</v>
      </c>
      <c r="E17" s="72">
        <v>4</v>
      </c>
      <c r="F17" s="7">
        <v>196.68</v>
      </c>
      <c r="G17" s="8">
        <v>197</v>
      </c>
      <c r="H17" s="8">
        <f>불리오[[#This Row],[현금지출]]-불리오[[#This Row],[매입액]]</f>
        <v>0.31999999999999318</v>
      </c>
      <c r="I17" s="13"/>
      <c r="J17" s="7"/>
      <c r="K17" s="7"/>
      <c r="L17" s="7"/>
      <c r="M17" s="7"/>
      <c r="N17" s="11">
        <f>불리오[[#This Row],[매도액]]-불리오[[#This Row],[매도원금]]</f>
        <v>0</v>
      </c>
      <c r="O17" s="11">
        <f>불리오[[#This Row],[매도액]]+불리오[[#This Row],[이자배당액]]-불리오[[#This Row],[현금수입]]</f>
        <v>0</v>
      </c>
      <c r="P17" s="11">
        <f>불리오[[#This Row],[매매수익]]+불리오[[#This Row],[이자배당액]]-불리오[[#This Row],[매도비용]]-불리오[[#This Row],[매입비용]]</f>
        <v>-0.31999999999999318</v>
      </c>
      <c r="Q17" s="12"/>
      <c r="R17" s="13">
        <f>불리오[[#This Row],[입출금]]+불리오[[#This Row],[현금수입]]-불리오[[#This Row],[현금지출]]</f>
        <v>-197</v>
      </c>
      <c r="S17" s="13">
        <f>SUM($R$2:R17)</f>
        <v>743.66999999999985</v>
      </c>
      <c r="V17"/>
      <c r="X17"/>
    </row>
    <row r="18" spans="1:24" x14ac:dyDescent="0.3">
      <c r="A18" s="3">
        <v>45078</v>
      </c>
      <c r="B18" s="87" t="s">
        <v>125</v>
      </c>
      <c r="C18" s="1" t="str">
        <f>VLOOKUP(불리오[[#This Row],[종목코드]],표3[],2,FALSE)</f>
        <v>미국장기채</v>
      </c>
      <c r="D18" s="9" t="str">
        <f>VLOOKUP(불리오[[#This Row],[종목코드]],표3[],4,FALSE)</f>
        <v>SPDR LONG TERM TREASURY ETF</v>
      </c>
      <c r="E18" s="72">
        <v>15</v>
      </c>
      <c r="F18" s="7">
        <v>451.2</v>
      </c>
      <c r="G18" s="8">
        <v>451.96</v>
      </c>
      <c r="H18" s="8">
        <f>불리오[[#This Row],[현금지출]]-불리오[[#This Row],[매입액]]</f>
        <v>0.75999999999999091</v>
      </c>
      <c r="I18" s="13"/>
      <c r="J18" s="7"/>
      <c r="K18" s="7"/>
      <c r="L18" s="7"/>
      <c r="M18" s="7"/>
      <c r="N18" s="11">
        <f>불리오[[#This Row],[매도액]]-불리오[[#This Row],[매도원금]]</f>
        <v>0</v>
      </c>
      <c r="O18" s="11">
        <f>불리오[[#This Row],[매도액]]+불리오[[#This Row],[이자배당액]]-불리오[[#This Row],[현금수입]]</f>
        <v>0</v>
      </c>
      <c r="P18" s="11">
        <f>불리오[[#This Row],[매매수익]]+불리오[[#This Row],[이자배당액]]-불리오[[#This Row],[매도비용]]-불리오[[#This Row],[매입비용]]</f>
        <v>-0.75999999999999091</v>
      </c>
      <c r="Q18" s="12"/>
      <c r="R18" s="13">
        <f>불리오[[#This Row],[입출금]]+불리오[[#This Row],[현금수입]]-불리오[[#This Row],[현금지출]]</f>
        <v>-451.96</v>
      </c>
      <c r="S18" s="13">
        <f>SUM($R$2:R18)</f>
        <v>291.70999999999987</v>
      </c>
      <c r="V18"/>
      <c r="X18"/>
    </row>
    <row r="19" spans="1:24" x14ac:dyDescent="0.3">
      <c r="A19" s="3">
        <v>45078</v>
      </c>
      <c r="B19" s="87" t="s">
        <v>129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72">
        <v>1</v>
      </c>
      <c r="F19" s="7">
        <v>60.92</v>
      </c>
      <c r="G19" s="7">
        <v>61.010000000000005</v>
      </c>
      <c r="H19" s="8">
        <f>불리오[[#This Row],[현금지출]]-불리오[[#This Row],[매입액]]</f>
        <v>9.0000000000003411E-2</v>
      </c>
      <c r="I19" s="13"/>
      <c r="J19" s="7"/>
      <c r="K19" s="7"/>
      <c r="L19" s="7"/>
      <c r="M19" s="7"/>
      <c r="N19" s="11">
        <f>불리오[[#This Row],[매도액]]-불리오[[#This Row],[매도원금]]</f>
        <v>0</v>
      </c>
      <c r="O19" s="11">
        <f>불리오[[#This Row],[매도액]]+불리오[[#This Row],[이자배당액]]-불리오[[#This Row],[현금수입]]</f>
        <v>0</v>
      </c>
      <c r="P19" s="11">
        <f>불리오[[#This Row],[매매수익]]+불리오[[#This Row],[이자배당액]]-불리오[[#This Row],[매도비용]]-불리오[[#This Row],[매입비용]]</f>
        <v>-9.0000000000003411E-2</v>
      </c>
      <c r="Q19" s="12"/>
      <c r="R19" s="13">
        <f>불리오[[#This Row],[입출금]]+불리오[[#This Row],[현금수입]]-불리오[[#This Row],[현금지출]]</f>
        <v>-61.010000000000005</v>
      </c>
      <c r="S19" s="13">
        <f>SUM($R$2:R19)</f>
        <v>230.69999999999987</v>
      </c>
      <c r="V19"/>
      <c r="X19"/>
    </row>
    <row r="20" spans="1:24" x14ac:dyDescent="0.3">
      <c r="A20" s="3">
        <v>45090</v>
      </c>
      <c r="B20" s="87" t="s">
        <v>118</v>
      </c>
      <c r="C20" s="1" t="str">
        <f>VLOOKUP(불리오[[#This Row],[종목코드]],표3[],2,FALSE)</f>
        <v>홍콩주식</v>
      </c>
      <c r="D20" s="9" t="str">
        <f>VLOOKUP(불리오[[#This Row],[종목코드]],표3[],4,FALSE)</f>
        <v>ISHARES INC MSCI HONG KONG ETF</v>
      </c>
      <c r="G20" s="8"/>
      <c r="H20" s="8">
        <f>불리오[[#This Row],[현금지출]]-불리오[[#This Row],[매입액]]</f>
        <v>0</v>
      </c>
      <c r="I20" s="13"/>
      <c r="J20" s="7"/>
      <c r="K20" s="7"/>
      <c r="L20" s="7">
        <v>2.5</v>
      </c>
      <c r="M20" s="7">
        <v>2.13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0.37000000000000011</v>
      </c>
      <c r="P20" s="11">
        <f>불리오[[#This Row],[매매수익]]+불리오[[#This Row],[이자배당액]]-불리오[[#This Row],[매도비용]]-불리오[[#This Row],[매입비용]]</f>
        <v>2.13</v>
      </c>
      <c r="Q20" s="12"/>
      <c r="R20" s="13">
        <f>불리오[[#This Row],[입출금]]+불리오[[#This Row],[현금수입]]-불리오[[#This Row],[현금지출]]</f>
        <v>2.13</v>
      </c>
      <c r="S20" s="13">
        <f>SUM($R$2:R20)</f>
        <v>232.82999999999987</v>
      </c>
      <c r="V20"/>
      <c r="X20"/>
    </row>
    <row r="21" spans="1:24" x14ac:dyDescent="0.3">
      <c r="A21" s="3">
        <v>45090</v>
      </c>
      <c r="B21" s="87" t="s">
        <v>119</v>
      </c>
      <c r="C21" s="1" t="str">
        <f>VLOOKUP(불리오[[#This Row],[종목코드]],표3[],2,FALSE)</f>
        <v>일본주식</v>
      </c>
      <c r="D21" s="9" t="str">
        <f>VLOOKUP(불리오[[#This Row],[종목코드]],표3[],4,FALSE)</f>
        <v>ISHARES INC MSCI JAPAN ETF NEW(POST REV SPLT)</v>
      </c>
      <c r="G21" s="8"/>
      <c r="H21" s="8">
        <f>불리오[[#This Row],[현금지출]]-불리오[[#This Row],[매입액]]</f>
        <v>0</v>
      </c>
      <c r="I21" s="13"/>
      <c r="J21" s="7"/>
      <c r="K21" s="7"/>
      <c r="L21" s="7">
        <v>2.15</v>
      </c>
      <c r="M21" s="7">
        <v>1.82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0.32999999999999985</v>
      </c>
      <c r="P21" s="11">
        <f>불리오[[#This Row],[매매수익]]+불리오[[#This Row],[이자배당액]]-불리오[[#This Row],[매도비용]]-불리오[[#This Row],[매입비용]]</f>
        <v>1.82</v>
      </c>
      <c r="Q21" s="12"/>
      <c r="R21" s="13">
        <f>불리오[[#This Row],[입출금]]+불리오[[#This Row],[현금수입]]-불리오[[#This Row],[현금지출]]</f>
        <v>1.82</v>
      </c>
      <c r="S21" s="13">
        <f>SUM($R$2:R21)</f>
        <v>234.64999999999986</v>
      </c>
      <c r="V21"/>
      <c r="X21"/>
    </row>
    <row r="22" spans="1:24" x14ac:dyDescent="0.3">
      <c r="A22" s="3">
        <v>45090</v>
      </c>
      <c r="B22" s="87" t="s">
        <v>120</v>
      </c>
      <c r="C22" s="1" t="str">
        <f>VLOOKUP(불리오[[#This Row],[종목코드]],표3[],2,FALSE)</f>
        <v>멕시코주식</v>
      </c>
      <c r="D22" s="9" t="str">
        <f>VLOOKUP(불리오[[#This Row],[종목코드]],표3[],4,FALSE)</f>
        <v>ISHARES INC MSCI MEXICO ETF</v>
      </c>
      <c r="G22" s="8"/>
      <c r="H22" s="8">
        <f>불리오[[#This Row],[현금지출]]-불리오[[#This Row],[매입액]]</f>
        <v>0</v>
      </c>
      <c r="I22" s="13"/>
      <c r="J22" s="7"/>
      <c r="K22" s="7"/>
      <c r="L22" s="7">
        <v>0.46</v>
      </c>
      <c r="M22" s="7">
        <v>0.4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0.06</v>
      </c>
      <c r="P22" s="11">
        <f>불리오[[#This Row],[매매수익]]+불리오[[#This Row],[이자배당액]]-불리오[[#This Row],[매도비용]]-불리오[[#This Row],[매입비용]]</f>
        <v>0.4</v>
      </c>
      <c r="Q22" s="12"/>
      <c r="R22" s="13">
        <f>불리오[[#This Row],[입출금]]+불리오[[#This Row],[현금수입]]-불리오[[#This Row],[현금지출]]</f>
        <v>0.4</v>
      </c>
      <c r="S22" s="13">
        <f>SUM($R$2:R22)</f>
        <v>235.04999999999987</v>
      </c>
      <c r="V22"/>
      <c r="X22"/>
    </row>
    <row r="23" spans="1:24" x14ac:dyDescent="0.3">
      <c r="A23" s="3">
        <v>45090</v>
      </c>
      <c r="B23" s="87" t="s">
        <v>122</v>
      </c>
      <c r="C23" s="1" t="str">
        <f>VLOOKUP(불리오[[#This Row],[종목코드]],표3[],2,FALSE)</f>
        <v>남아프리카주식</v>
      </c>
      <c r="D23" s="9" t="str">
        <f>VLOOKUP(불리오[[#This Row],[종목코드]],표3[],4,FALSE)</f>
        <v>ISHARES MSCI SOUTH AFRICA FUND</v>
      </c>
      <c r="G23" s="8"/>
      <c r="H23" s="8">
        <f>불리오[[#This Row],[현금지출]]-불리오[[#This Row],[매입액]]</f>
        <v>0</v>
      </c>
      <c r="I23" s="13"/>
      <c r="J23" s="7"/>
      <c r="K23" s="7"/>
      <c r="L23" s="7">
        <v>3.4</v>
      </c>
      <c r="M23" s="7">
        <v>2.89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0.50999999999999979</v>
      </c>
      <c r="P23" s="11">
        <f>불리오[[#This Row],[매매수익]]+불리오[[#This Row],[이자배당액]]-불리오[[#This Row],[매도비용]]-불리오[[#This Row],[매입비용]]</f>
        <v>2.89</v>
      </c>
      <c r="Q23" s="12"/>
      <c r="R23" s="13">
        <f>불리오[[#This Row],[입출금]]+불리오[[#This Row],[현금수입]]-불리오[[#This Row],[현금지출]]</f>
        <v>2.89</v>
      </c>
      <c r="S23" s="13">
        <f>SUM($R$2:R23)</f>
        <v>237.93999999999986</v>
      </c>
      <c r="V23"/>
      <c r="X23"/>
    </row>
    <row r="24" spans="1:24" x14ac:dyDescent="0.3">
      <c r="A24" s="3">
        <v>45090</v>
      </c>
      <c r="B24" s="87" t="s">
        <v>116</v>
      </c>
      <c r="C24" s="1" t="str">
        <f>VLOOKUP(불리오[[#This Row],[종목코드]],표3[],2,FALSE)</f>
        <v>중국주식</v>
      </c>
      <c r="D24" s="9" t="str">
        <f>VLOOKUP(불리오[[#This Row],[종목코드]],표3[],4,FALSE)</f>
        <v>ISHARES CHINA LARGE-CAP ETF</v>
      </c>
      <c r="G24" s="8"/>
      <c r="H24" s="8">
        <f>불리오[[#This Row],[현금지출]]-불리오[[#This Row],[매입액]]</f>
        <v>0</v>
      </c>
      <c r="I24" s="13"/>
      <c r="J24" s="7"/>
      <c r="K24" s="7"/>
      <c r="L24" s="7">
        <v>0.04</v>
      </c>
      <c r="M24" s="7">
        <v>0.04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0.04</v>
      </c>
      <c r="Q24" s="12"/>
      <c r="R24" s="13">
        <f>불리오[[#This Row],[입출금]]+불리오[[#This Row],[현금수입]]-불리오[[#This Row],[현금지출]]</f>
        <v>0.04</v>
      </c>
      <c r="S24" s="13">
        <f>SUM($R$2:R24)</f>
        <v>237.97999999999985</v>
      </c>
      <c r="V24"/>
      <c r="X24"/>
    </row>
    <row r="25" spans="1:24" x14ac:dyDescent="0.3">
      <c r="A25" s="3">
        <v>45091</v>
      </c>
      <c r="B25" s="87" t="s">
        <v>131</v>
      </c>
      <c r="C25" s="1" t="str">
        <f>VLOOKUP(불리오[[#This Row],[종목코드]],표3[],2,FALSE)</f>
        <v>독일주식</v>
      </c>
      <c r="D25" s="9" t="str">
        <f>VLOOKUP(불리오[[#This Row],[종목코드]],표3[],4,FALSE)</f>
        <v>ISHARES INC MSCI GERMANY ETF</v>
      </c>
      <c r="G25" s="8"/>
      <c r="H25" s="8">
        <f>불리오[[#This Row],[현금지출]]-불리오[[#This Row],[매입액]]</f>
        <v>0</v>
      </c>
      <c r="I25" s="13"/>
      <c r="J25" s="7"/>
      <c r="K25" s="7"/>
      <c r="L25" s="7">
        <v>4.55</v>
      </c>
      <c r="M25" s="7">
        <v>3.87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0.67999999999999972</v>
      </c>
      <c r="P25" s="11">
        <f>불리오[[#This Row],[매매수익]]+불리오[[#This Row],[이자배당액]]-불리오[[#This Row],[매도비용]]-불리오[[#This Row],[매입비용]]</f>
        <v>3.87</v>
      </c>
      <c r="Q25" s="12"/>
      <c r="R25" s="13">
        <f>불리오[[#This Row],[입출금]]+불리오[[#This Row],[현금수입]]-불리오[[#This Row],[현금지출]]</f>
        <v>3.87</v>
      </c>
      <c r="S25" s="13">
        <f>SUM($R$2:R25)</f>
        <v>241.84999999999985</v>
      </c>
      <c r="V25"/>
      <c r="X25"/>
    </row>
    <row r="26" spans="1:24" x14ac:dyDescent="0.3">
      <c r="A26" s="3">
        <v>45091</v>
      </c>
      <c r="B26" s="87" t="s">
        <v>121</v>
      </c>
      <c r="C26" s="1" t="str">
        <f>VLOOKUP(불리오[[#This Row],[종목코드]],표3[],2,FALSE)</f>
        <v>유로존주식</v>
      </c>
      <c r="D26" s="9" t="str">
        <f>VLOOKUP(불리오[[#This Row],[종목코드]],표3[],4,FALSE)</f>
        <v>ISHARES MSCI EUROZONE ETF</v>
      </c>
      <c r="G26" s="8"/>
      <c r="H26" s="8">
        <f>불리오[[#This Row],[현금지출]]-불리오[[#This Row],[매입액]]</f>
        <v>0</v>
      </c>
      <c r="I26" s="13"/>
      <c r="J26" s="7"/>
      <c r="K26" s="7"/>
      <c r="L26" s="7">
        <v>3.45</v>
      </c>
      <c r="M26" s="7">
        <v>2.94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0.51000000000000023</v>
      </c>
      <c r="P26" s="11">
        <f>불리오[[#This Row],[매매수익]]+불리오[[#This Row],[이자배당액]]-불리오[[#This Row],[매도비용]]-불리오[[#This Row],[매입비용]]</f>
        <v>2.94</v>
      </c>
      <c r="Q26" s="12"/>
      <c r="R26" s="13">
        <f>불리오[[#This Row],[입출금]]+불리오[[#This Row],[현금수입]]-불리오[[#This Row],[현금지출]]</f>
        <v>2.94</v>
      </c>
      <c r="S26" s="13">
        <f>SUM($R$2:R26)</f>
        <v>244.78999999999985</v>
      </c>
      <c r="V26"/>
      <c r="X26"/>
    </row>
    <row r="27" spans="1:24" x14ac:dyDescent="0.3">
      <c r="A27" s="3">
        <v>45091</v>
      </c>
      <c r="B27" s="87" t="s">
        <v>116</v>
      </c>
      <c r="C27" s="1" t="str">
        <f>VLOOKUP(불리오[[#This Row],[종목코드]],표3[],2,FALSE)</f>
        <v>중국주식</v>
      </c>
      <c r="D27" s="9" t="str">
        <f>VLOOKUP(불리오[[#This Row],[종목코드]],표3[],4,FALSE)</f>
        <v>ISHARES CHINA LARGE-CAP ETF</v>
      </c>
      <c r="G27" s="8"/>
      <c r="H27" s="8">
        <f>불리오[[#This Row],[현금지출]]-불리오[[#This Row],[매입액]]</f>
        <v>0</v>
      </c>
      <c r="I27" s="13"/>
      <c r="J27" s="7"/>
      <c r="K27" s="7"/>
      <c r="L27" s="7">
        <v>1.04</v>
      </c>
      <c r="M27" s="7">
        <v>0.89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0.15000000000000002</v>
      </c>
      <c r="P27" s="11">
        <f>불리오[[#This Row],[매매수익]]+불리오[[#This Row],[이자배당액]]-불리오[[#This Row],[매도비용]]-불리오[[#This Row],[매입비용]]</f>
        <v>0.89</v>
      </c>
      <c r="Q27" s="12"/>
      <c r="R27" s="13">
        <f>불리오[[#This Row],[입출금]]+불리오[[#This Row],[현금수입]]-불리오[[#This Row],[현금지출]]</f>
        <v>0.89</v>
      </c>
      <c r="S27" s="13">
        <f>SUM($R$2:R27)</f>
        <v>245.67999999999984</v>
      </c>
      <c r="V27"/>
      <c r="X27"/>
    </row>
    <row r="28" spans="1:24" x14ac:dyDescent="0.3">
      <c r="A28" s="3">
        <v>45099</v>
      </c>
      <c r="B28" s="87" t="s">
        <v>130</v>
      </c>
      <c r="C28" s="1" t="str">
        <f>VLOOKUP(불리오[[#This Row],[종목코드]],표3[],2,FALSE)</f>
        <v>유로</v>
      </c>
      <c r="D28" s="9" t="str">
        <f>VLOOKUP(불리오[[#This Row],[종목코드]],표3[],4,FALSE)</f>
        <v>INVESCO CURRENCYETF EURO CURRENCY TRUST</v>
      </c>
      <c r="G28" s="7"/>
      <c r="H28" s="8">
        <f>불리오[[#This Row],[현금지출]]-불리오[[#This Row],[매입액]]</f>
        <v>0</v>
      </c>
      <c r="I28" s="13">
        <v>2</v>
      </c>
      <c r="J28" s="7">
        <v>197.66</v>
      </c>
      <c r="K28" s="7">
        <v>202.22</v>
      </c>
      <c r="L28" s="11"/>
      <c r="M28" s="7">
        <v>201.88</v>
      </c>
      <c r="N28" s="11">
        <f>불리오[[#This Row],[매도액]]-불리오[[#This Row],[매도원금]]</f>
        <v>4.5600000000000023</v>
      </c>
      <c r="O28" s="11">
        <f>불리오[[#This Row],[매도액]]+불리오[[#This Row],[이자배당액]]-불리오[[#This Row],[현금수입]]</f>
        <v>0.34000000000000341</v>
      </c>
      <c r="P28" s="11">
        <f>불리오[[#This Row],[매매수익]]+불리오[[#This Row],[이자배당액]]-불리오[[#This Row],[매도비용]]-불리오[[#This Row],[매입비용]]</f>
        <v>4.2199999999999989</v>
      </c>
      <c r="Q28" s="12"/>
      <c r="R28" s="13">
        <f>불리오[[#This Row],[입출금]]+불리오[[#This Row],[현금수입]]-불리오[[#This Row],[현금지출]]</f>
        <v>201.88</v>
      </c>
      <c r="S28" s="13">
        <f>SUM($R$2:R28)</f>
        <v>447.55999999999983</v>
      </c>
      <c r="V28"/>
      <c r="X28"/>
    </row>
    <row r="29" spans="1:24" x14ac:dyDescent="0.3">
      <c r="A29" s="3">
        <v>45100</v>
      </c>
      <c r="B29" s="87" t="s">
        <v>126</v>
      </c>
      <c r="C29" s="1" t="str">
        <f>VLOOKUP(불리오[[#This Row],[종목코드]],표3[],2,FALSE)</f>
        <v>미국주식</v>
      </c>
      <c r="D29" s="9" t="str">
        <f>VLOOKUP(불리오[[#This Row],[종목코드]],표3[],4,FALSE)</f>
        <v>SPDR PORTFOLIO S&amp;P 500 ETF</v>
      </c>
      <c r="G29" s="8"/>
      <c r="H29" s="8">
        <f>불리오[[#This Row],[현금지출]]-불리오[[#This Row],[매입액]]</f>
        <v>0</v>
      </c>
      <c r="I29" s="13"/>
      <c r="J29" s="7"/>
      <c r="K29" s="7"/>
      <c r="L29" s="7">
        <v>0.81</v>
      </c>
      <c r="M29" s="7">
        <v>0.69</v>
      </c>
      <c r="N29" s="11">
        <f>불리오[[#This Row],[매도액]]-불리오[[#This Row],[매도원금]]</f>
        <v>0</v>
      </c>
      <c r="O29" s="11">
        <f>불리오[[#This Row],[매도액]]+불리오[[#This Row],[이자배당액]]-불리오[[#This Row],[현금수입]]</f>
        <v>0.12000000000000011</v>
      </c>
      <c r="P29" s="11">
        <f>불리오[[#This Row],[매매수익]]+불리오[[#This Row],[이자배당액]]-불리오[[#This Row],[매도비용]]-불리오[[#This Row],[매입비용]]</f>
        <v>0.69</v>
      </c>
      <c r="Q29" s="12"/>
      <c r="R29" s="13">
        <f>불리오[[#This Row],[입출금]]+불리오[[#This Row],[현금수입]]-불리오[[#This Row],[현금지출]]</f>
        <v>0.69</v>
      </c>
      <c r="S29" s="13">
        <f>SUM($R$2:R29)</f>
        <v>448.24999999999983</v>
      </c>
      <c r="V29"/>
      <c r="X29"/>
    </row>
    <row r="30" spans="1:24" x14ac:dyDescent="0.3">
      <c r="A30" s="3">
        <v>45103</v>
      </c>
      <c r="B30" s="87" t="s">
        <v>119</v>
      </c>
      <c r="C30" s="1" t="str">
        <f>VLOOKUP(불리오[[#This Row],[종목코드]],표3[],2,FALSE)</f>
        <v>일본주식</v>
      </c>
      <c r="D30" s="9" t="str">
        <f>VLOOKUP(불리오[[#This Row],[종목코드]],표3[],4,FALSE)</f>
        <v>ISHARES INC MSCI JAPAN ETF NEW(POST REV SPLT)</v>
      </c>
      <c r="E30" s="72">
        <v>1</v>
      </c>
      <c r="F30" s="7">
        <v>62.82</v>
      </c>
      <c r="G30" s="8">
        <v>62.910000000000004</v>
      </c>
      <c r="H30" s="8">
        <f>불리오[[#This Row],[현금지출]]-불리오[[#This Row],[매입액]]</f>
        <v>9.0000000000003411E-2</v>
      </c>
      <c r="I30" s="13"/>
      <c r="J30" s="7"/>
      <c r="K30" s="7"/>
      <c r="L30" s="7"/>
      <c r="M30" s="7"/>
      <c r="N30" s="11">
        <f>불리오[[#This Row],[매도액]]-불리오[[#This Row],[매도원금]]</f>
        <v>0</v>
      </c>
      <c r="O30" s="11">
        <f>불리오[[#This Row],[매도액]]+불리오[[#This Row],[이자배당액]]-불리오[[#This Row],[현금수입]]</f>
        <v>0</v>
      </c>
      <c r="P30" s="11">
        <f>불리오[[#This Row],[매매수익]]+불리오[[#This Row],[이자배당액]]-불리오[[#This Row],[매도비용]]-불리오[[#This Row],[매입비용]]</f>
        <v>-9.0000000000003411E-2</v>
      </c>
      <c r="Q30" s="12"/>
      <c r="R30" s="13">
        <f>불리오[[#This Row],[입출금]]+불리오[[#This Row],[현금수입]]-불리오[[#This Row],[현금지출]]</f>
        <v>-62.910000000000004</v>
      </c>
      <c r="S30" s="13">
        <f>SUM($R$2:R30)</f>
        <v>385.3399999999998</v>
      </c>
      <c r="V30"/>
      <c r="X30"/>
    </row>
    <row r="31" spans="1:24" x14ac:dyDescent="0.3">
      <c r="A31" s="3">
        <v>45103</v>
      </c>
      <c r="B31" s="87" t="s">
        <v>123</v>
      </c>
      <c r="C31" s="1" t="str">
        <f>VLOOKUP(불리오[[#This Row],[종목코드]],표3[],2,FALSE)</f>
        <v>신흥국주식</v>
      </c>
      <c r="D31" s="9" t="str">
        <f>VLOOKUP(불리오[[#This Row],[종목코드]],표3[],4,FALSE)</f>
        <v>SCHWAB EMERGING MARKETS EQUITY ETF</v>
      </c>
      <c r="E31" s="72">
        <v>8</v>
      </c>
      <c r="F31" s="7">
        <v>198.16</v>
      </c>
      <c r="G31" s="8">
        <v>198.48</v>
      </c>
      <c r="H31" s="8">
        <f>불리오[[#This Row],[현금지출]]-불리오[[#This Row],[매입액]]</f>
        <v>0.31999999999999318</v>
      </c>
      <c r="I31" s="13"/>
      <c r="J31" s="7"/>
      <c r="K31" s="7"/>
      <c r="L31" s="7">
        <v>1.4</v>
      </c>
      <c r="M31" s="7">
        <v>1.19</v>
      </c>
      <c r="N31" s="11">
        <f>불리오[[#This Row],[매도액]]-불리오[[#This Row],[매도원금]]</f>
        <v>0</v>
      </c>
      <c r="O31" s="11">
        <f>불리오[[#This Row],[매도액]]+불리오[[#This Row],[이자배당액]]-불리오[[#This Row],[현금수입]]</f>
        <v>0.20999999999999996</v>
      </c>
      <c r="P31" s="11">
        <f>불리오[[#This Row],[매매수익]]+불리오[[#This Row],[이자배당액]]-불리오[[#This Row],[매도비용]]-불리오[[#This Row],[매입비용]]</f>
        <v>0.87000000000000677</v>
      </c>
      <c r="Q31" s="12"/>
      <c r="R31" s="13">
        <f>불리오[[#This Row],[입출금]]+불리오[[#This Row],[현금수입]]-불리오[[#This Row],[현금지출]]</f>
        <v>-197.29</v>
      </c>
      <c r="S31" s="13">
        <f>SUM($R$2:R31)</f>
        <v>188.04999999999981</v>
      </c>
      <c r="V31"/>
      <c r="X31"/>
    </row>
    <row r="32" spans="1:24" x14ac:dyDescent="0.3">
      <c r="A32" s="3">
        <v>45103</v>
      </c>
      <c r="B32" s="87" t="s">
        <v>114</v>
      </c>
      <c r="C32" s="1" t="str">
        <f>VLOOKUP(불리오[[#This Row],[종목코드]],표3[],2,FALSE)</f>
        <v>금</v>
      </c>
      <c r="D32" s="9" t="str">
        <f>VLOOKUP(불리오[[#This Row],[종목코드]],표3[],4,FALSE)</f>
        <v>ABRDN PHYSICAL GOLD SHARES ETF</v>
      </c>
      <c r="E32" s="72">
        <v>2</v>
      </c>
      <c r="F32" s="7">
        <v>36.93</v>
      </c>
      <c r="G32" s="8">
        <v>36.99</v>
      </c>
      <c r="H32" s="8">
        <f>불리오[[#This Row],[현금지출]]-불리오[[#This Row],[매입액]]</f>
        <v>6.0000000000002274E-2</v>
      </c>
      <c r="I32" s="13"/>
      <c r="J32" s="7"/>
      <c r="K32" s="7"/>
      <c r="L32" s="7"/>
      <c r="M32" s="7"/>
      <c r="N32" s="11">
        <f>불리오[[#This Row],[매도액]]-불리오[[#This Row],[매도원금]]</f>
        <v>0</v>
      </c>
      <c r="O32" s="11">
        <f>불리오[[#This Row],[매도액]]+불리오[[#This Row],[이자배당액]]-불리오[[#This Row],[현금수입]]</f>
        <v>0</v>
      </c>
      <c r="P32" s="11">
        <f>불리오[[#This Row],[매매수익]]+불리오[[#This Row],[이자배당액]]-불리오[[#This Row],[매도비용]]-불리오[[#This Row],[매입비용]]</f>
        <v>-6.0000000000002274E-2</v>
      </c>
      <c r="Q32" s="12"/>
      <c r="R32" s="13">
        <f>불리오[[#This Row],[입출금]]+불리오[[#This Row],[현금수입]]-불리오[[#This Row],[현금지출]]</f>
        <v>-36.99</v>
      </c>
      <c r="S32" s="13">
        <f>SUM($R$2:R32)</f>
        <v>151.0599999999998</v>
      </c>
      <c r="V32"/>
      <c r="X32"/>
    </row>
    <row r="33" spans="1:24" x14ac:dyDescent="0.3">
      <c r="A33" s="3">
        <v>45103</v>
      </c>
      <c r="B33" s="87" t="s">
        <v>128</v>
      </c>
      <c r="C33" s="1" t="str">
        <f>VLOOKUP(불리오[[#This Row],[종목코드]],표3[],2,FALSE)</f>
        <v>물가연동채</v>
      </c>
      <c r="D33" s="9" t="str">
        <f>VLOOKUP(불리오[[#This Row],[종목코드]],표3[],4,FALSE)</f>
        <v>SPDR SERIES TRUST Portfolio TIPS ETF</v>
      </c>
      <c r="E33" s="72">
        <v>1</v>
      </c>
      <c r="F33" s="7">
        <v>25.88</v>
      </c>
      <c r="G33" s="8">
        <v>25.919999999999998</v>
      </c>
      <c r="H33" s="8">
        <f>불리오[[#This Row],[현금지출]]-불리오[[#This Row],[매입액]]</f>
        <v>3.9999999999999147E-2</v>
      </c>
      <c r="I33" s="13"/>
      <c r="J33" s="7"/>
      <c r="K33" s="7"/>
      <c r="L33" s="7"/>
      <c r="M33" s="7"/>
      <c r="N33" s="11">
        <f>불리오[[#This Row],[매도액]]-불리오[[#This Row],[매도원금]]</f>
        <v>0</v>
      </c>
      <c r="O33" s="11">
        <f>불리오[[#This Row],[매도액]]+불리오[[#This Row],[이자배당액]]-불리오[[#This Row],[현금수입]]</f>
        <v>0</v>
      </c>
      <c r="P33" s="11">
        <f>불리오[[#This Row],[매매수익]]+불리오[[#This Row],[이자배당액]]-불리오[[#This Row],[매도비용]]-불리오[[#This Row],[매입비용]]</f>
        <v>-3.9999999999999147E-2</v>
      </c>
      <c r="Q33" s="12"/>
      <c r="R33" s="13">
        <f>불리오[[#This Row],[입출금]]+불리오[[#This Row],[현금수입]]-불리오[[#This Row],[현금지출]]</f>
        <v>-25.919999999999998</v>
      </c>
      <c r="S33" s="13">
        <f>SUM($R$2:R33)</f>
        <v>125.1399999999998</v>
      </c>
      <c r="V33"/>
      <c r="X33"/>
    </row>
    <row r="34" spans="1:24" x14ac:dyDescent="0.3">
      <c r="A34" s="3">
        <v>45103</v>
      </c>
      <c r="B34" s="87" t="s">
        <v>125</v>
      </c>
      <c r="C34" s="1" t="str">
        <f>VLOOKUP(불리오[[#This Row],[종목코드]],표3[],2,FALSE)</f>
        <v>미국장기채</v>
      </c>
      <c r="D34" s="9" t="str">
        <f>VLOOKUP(불리오[[#This Row],[종목코드]],표3[],4,FALSE)</f>
        <v>SPDR LONG TERM TREASURY ETF</v>
      </c>
      <c r="E34" s="72">
        <v>1</v>
      </c>
      <c r="F34" s="7">
        <v>29.88</v>
      </c>
      <c r="G34" s="8">
        <v>29.919999999999998</v>
      </c>
      <c r="H34" s="8">
        <f>불리오[[#This Row],[현금지출]]-불리오[[#This Row],[매입액]]</f>
        <v>3.9999999999999147E-2</v>
      </c>
      <c r="I34" s="13"/>
      <c r="J34" s="7"/>
      <c r="K34" s="7"/>
      <c r="L34" s="7"/>
      <c r="M34" s="7"/>
      <c r="N34" s="11">
        <f>불리오[[#This Row],[매도액]]-불리오[[#This Row],[매도원금]]</f>
        <v>0</v>
      </c>
      <c r="O34" s="11">
        <f>불리오[[#This Row],[매도액]]+불리오[[#This Row],[이자배당액]]-불리오[[#This Row],[현금수입]]</f>
        <v>0</v>
      </c>
      <c r="P34" s="11">
        <f>불리오[[#This Row],[매매수익]]+불리오[[#This Row],[이자배당액]]-불리오[[#This Row],[매도비용]]-불리오[[#This Row],[매입비용]]</f>
        <v>-3.9999999999999147E-2</v>
      </c>
      <c r="Q34" s="12"/>
      <c r="R34" s="13">
        <f>불리오[[#This Row],[입출금]]+불리오[[#This Row],[현금수입]]-불리오[[#This Row],[현금지출]]</f>
        <v>-29.919999999999998</v>
      </c>
      <c r="S34" s="13">
        <f>SUM($R$2:R34)</f>
        <v>95.2199999999998</v>
      </c>
      <c r="V34"/>
      <c r="X34"/>
    </row>
    <row r="35" spans="1:24" x14ac:dyDescent="0.3">
      <c r="A35" s="3">
        <v>45103</v>
      </c>
      <c r="B35" s="87" t="s">
        <v>129</v>
      </c>
      <c r="C35" s="1" t="str">
        <f>VLOOKUP(불리오[[#This Row],[종목코드]],표3[],2,FALSE)</f>
        <v>신흥국채권</v>
      </c>
      <c r="D35" s="9" t="str">
        <f>VLOOKUP(불리오[[#This Row],[종목코드]],표3[],4,FALSE)</f>
        <v>VANGUARD EMERGING MARKETS GOVERNMENT BOND ETF</v>
      </c>
      <c r="E35" s="72">
        <v>1</v>
      </c>
      <c r="F35" s="7">
        <v>61.84</v>
      </c>
      <c r="G35" s="7">
        <v>61.930000000000007</v>
      </c>
      <c r="H35" s="8">
        <f>불리오[[#This Row],[현금지출]]-불리오[[#This Row],[매입액]]</f>
        <v>9.0000000000003411E-2</v>
      </c>
      <c r="I35" s="13"/>
      <c r="J35" s="7"/>
      <c r="K35" s="7"/>
      <c r="L35" s="7"/>
      <c r="M35" s="7"/>
      <c r="N35" s="11">
        <f>불리오[[#This Row],[매도액]]-불리오[[#This Row],[매도원금]]</f>
        <v>0</v>
      </c>
      <c r="O35" s="11">
        <f>불리오[[#This Row],[매도액]]+불리오[[#This Row],[이자배당액]]-불리오[[#This Row],[현금수입]]</f>
        <v>0</v>
      </c>
      <c r="P35" s="11">
        <f>불리오[[#This Row],[매매수익]]+불리오[[#This Row],[이자배당액]]-불리오[[#This Row],[매도비용]]-불리오[[#This Row],[매입비용]]</f>
        <v>-9.0000000000003411E-2</v>
      </c>
      <c r="Q35" s="12"/>
      <c r="R35" s="13">
        <f>불리오[[#This Row],[입출금]]+불리오[[#This Row],[현금수입]]-불리오[[#This Row],[현금지출]]</f>
        <v>-61.930000000000007</v>
      </c>
      <c r="S35" s="13">
        <f>SUM($R$2:R35)</f>
        <v>33.289999999999793</v>
      </c>
      <c r="V35"/>
      <c r="X35"/>
    </row>
    <row r="36" spans="1:24" x14ac:dyDescent="0.3">
      <c r="A36" s="3">
        <v>45114</v>
      </c>
      <c r="B36" s="87" t="s">
        <v>129</v>
      </c>
      <c r="C36" s="1" t="str">
        <f>VLOOKUP(불리오[[#This Row],[종목코드]],표3[],2,FALSE)</f>
        <v>신흥국채권</v>
      </c>
      <c r="D36" s="9" t="str">
        <f>VLOOKUP(불리오[[#This Row],[종목코드]],표3[],4,FALSE)</f>
        <v>VANGUARD EMERGING MARKETS GOVERNMENT BOND ETF</v>
      </c>
      <c r="G36" s="8"/>
      <c r="H36" s="8">
        <f>불리오[[#This Row],[현금지출]]-불리오[[#This Row],[매입액]]</f>
        <v>0</v>
      </c>
      <c r="I36" s="13"/>
      <c r="J36" s="7"/>
      <c r="K36" s="7"/>
      <c r="L36" s="7">
        <v>0.56999999999999995</v>
      </c>
      <c r="M36" s="7">
        <v>0.5</v>
      </c>
      <c r="N36" s="11">
        <f>불리오[[#This Row],[매도액]]-불리오[[#This Row],[매도원금]]</f>
        <v>0</v>
      </c>
      <c r="O36" s="11">
        <f>불리오[[#This Row],[매도액]]+불리오[[#This Row],[이자배당액]]-불리오[[#This Row],[현금수입]]</f>
        <v>6.9999999999999951E-2</v>
      </c>
      <c r="P36" s="11">
        <f>불리오[[#This Row],[매매수익]]+불리오[[#This Row],[이자배당액]]-불리오[[#This Row],[매도비용]]-불리오[[#This Row],[매입비용]]</f>
        <v>0.5</v>
      </c>
      <c r="Q36" s="12"/>
      <c r="R36" s="13">
        <f>불리오[[#This Row],[입출금]]+불리오[[#This Row],[현금수입]]-불리오[[#This Row],[현금지출]]</f>
        <v>0.5</v>
      </c>
      <c r="S36" s="13">
        <f>SUM($R$2:R36)</f>
        <v>33.789999999999793</v>
      </c>
      <c r="V36"/>
      <c r="X36"/>
    </row>
    <row r="37" spans="1:24" x14ac:dyDescent="0.3">
      <c r="A37" s="3">
        <v>45117</v>
      </c>
      <c r="B37" s="87" t="s">
        <v>127</v>
      </c>
      <c r="C37" s="1" t="str">
        <f>VLOOKUP(불리오[[#This Row],[종목코드]],표3[],2,FALSE)</f>
        <v>하이일드</v>
      </c>
      <c r="D37" s="9" t="str">
        <f>VLOOKUP(불리오[[#This Row],[종목코드]],표3[],4,FALSE)</f>
        <v>SPDR SERIES TRUST Portfolio High Yield Bond ETF</v>
      </c>
      <c r="G37" s="8"/>
      <c r="H37" s="8">
        <f>불리오[[#This Row],[현금지출]]-불리오[[#This Row],[매입액]]</f>
        <v>0</v>
      </c>
      <c r="I37" s="13"/>
      <c r="J37" s="7"/>
      <c r="K37" s="7"/>
      <c r="L37" s="7">
        <v>0.55000000000000004</v>
      </c>
      <c r="M37" s="7">
        <v>0.47</v>
      </c>
      <c r="N37" s="11">
        <f>불리오[[#This Row],[매도액]]-불리오[[#This Row],[매도원금]]</f>
        <v>0</v>
      </c>
      <c r="O37" s="11">
        <f>불리오[[#This Row],[매도액]]+불리오[[#This Row],[이자배당액]]-불리오[[#This Row],[현금수입]]</f>
        <v>8.0000000000000071E-2</v>
      </c>
      <c r="P37" s="11">
        <f>불리오[[#This Row],[매매수익]]+불리오[[#This Row],[이자배당액]]-불리오[[#This Row],[매도비용]]-불리오[[#This Row],[매입비용]]</f>
        <v>0.47</v>
      </c>
      <c r="Q37" s="12"/>
      <c r="R37" s="13">
        <f>불리오[[#This Row],[입출금]]+불리오[[#This Row],[현금수입]]-불리오[[#This Row],[현금지출]]</f>
        <v>0.47</v>
      </c>
      <c r="S37" s="13">
        <f>SUM($R$2:R37)</f>
        <v>34.259999999999792</v>
      </c>
      <c r="V37"/>
      <c r="X37"/>
    </row>
    <row r="38" spans="1:24" x14ac:dyDescent="0.3">
      <c r="A38" s="3">
        <v>45117</v>
      </c>
      <c r="B38" s="87" t="s">
        <v>128</v>
      </c>
      <c r="C38" s="1" t="str">
        <f>VLOOKUP(불리오[[#This Row],[종목코드]],표3[],2,FALSE)</f>
        <v>물가연동채</v>
      </c>
      <c r="D38" s="9" t="str">
        <f>VLOOKUP(불리오[[#This Row],[종목코드]],표3[],4,FALSE)</f>
        <v>SPDR SERIES TRUST Portfolio TIPS ETF</v>
      </c>
      <c r="G38" s="8"/>
      <c r="H38" s="8">
        <f>불리오[[#This Row],[현금지출]]-불리오[[#This Row],[매입액]]</f>
        <v>0</v>
      </c>
      <c r="I38" s="13"/>
      <c r="J38" s="7"/>
      <c r="K38" s="7"/>
      <c r="L38" s="7">
        <v>1.42</v>
      </c>
      <c r="M38" s="7">
        <v>1.21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0.20999999999999996</v>
      </c>
      <c r="P38" s="11">
        <f>불리오[[#This Row],[매매수익]]+불리오[[#This Row],[이자배당액]]-불리오[[#This Row],[매도비용]]-불리오[[#This Row],[매입비용]]</f>
        <v>1.21</v>
      </c>
      <c r="Q38" s="12"/>
      <c r="R38" s="13">
        <f>불리오[[#This Row],[입출금]]+불리오[[#This Row],[현금수입]]-불리오[[#This Row],[현금지출]]</f>
        <v>1.21</v>
      </c>
      <c r="S38" s="13">
        <f>SUM($R$2:R38)</f>
        <v>35.469999999999793</v>
      </c>
      <c r="V38"/>
      <c r="X38"/>
    </row>
    <row r="39" spans="1:24" x14ac:dyDescent="0.3">
      <c r="A39" s="3">
        <v>45117</v>
      </c>
      <c r="B39" s="87" t="s">
        <v>125</v>
      </c>
      <c r="C39" s="1" t="str">
        <f>VLOOKUP(불리오[[#This Row],[종목코드]],표3[],2,FALSE)</f>
        <v>미국장기채</v>
      </c>
      <c r="D39" s="9" t="str">
        <f>VLOOKUP(불리오[[#This Row],[종목코드]],표3[],4,FALSE)</f>
        <v>SPDR LONG TERM TREASURY ETF</v>
      </c>
      <c r="G39" s="8"/>
      <c r="H39" s="8">
        <f>불리오[[#This Row],[현금지출]]-불리오[[#This Row],[매입액]]</f>
        <v>0</v>
      </c>
      <c r="I39" s="13"/>
      <c r="J39" s="7"/>
      <c r="K39" s="7"/>
      <c r="L39" s="7">
        <v>1.22</v>
      </c>
      <c r="M39" s="7">
        <v>1.04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0.17999999999999994</v>
      </c>
      <c r="P39" s="11">
        <f>불리오[[#This Row],[매매수익]]+불리오[[#This Row],[이자배당액]]-불리오[[#This Row],[매도비용]]-불리오[[#This Row],[매입비용]]</f>
        <v>1.04</v>
      </c>
      <c r="Q39" s="12"/>
      <c r="R39" s="13">
        <f>불리오[[#This Row],[입출금]]+불리오[[#This Row],[현금수입]]-불리오[[#This Row],[현금지출]]</f>
        <v>1.04</v>
      </c>
      <c r="S39" s="13">
        <f>SUM($R$2:R39)</f>
        <v>36.509999999999792</v>
      </c>
      <c r="V39"/>
      <c r="X39"/>
    </row>
    <row r="40" spans="1:24" x14ac:dyDescent="0.3">
      <c r="A40" s="3">
        <v>45128</v>
      </c>
      <c r="B40" s="87" t="s">
        <v>131</v>
      </c>
      <c r="C40" s="1" t="str">
        <f>VLOOKUP(불리오[[#This Row],[종목코드]],표3[],2,FALSE)</f>
        <v>독일주식</v>
      </c>
      <c r="D40" s="9" t="str">
        <f>VLOOKUP(불리오[[#This Row],[종목코드]],표3[],4,FALSE)</f>
        <v>ISHARES INC MSCI GERMANY ETF</v>
      </c>
      <c r="G40" s="8"/>
      <c r="H40" s="8">
        <f>불리오[[#This Row],[현금지출]]-불리오[[#This Row],[매입액]]</f>
        <v>0</v>
      </c>
      <c r="I40" s="13">
        <v>2</v>
      </c>
      <c r="J40" s="7">
        <v>56.22</v>
      </c>
      <c r="K40" s="7">
        <v>58.38</v>
      </c>
      <c r="L40" s="11"/>
      <c r="M40" s="7">
        <v>58.29</v>
      </c>
      <c r="N40" s="11">
        <f>불리오[[#This Row],[매도액]]-불리오[[#This Row],[매도원금]]</f>
        <v>2.1600000000000037</v>
      </c>
      <c r="O40" s="11">
        <f>불리오[[#This Row],[매도액]]+불리오[[#This Row],[이자배당액]]-불리오[[#This Row],[현금수입]]</f>
        <v>9.0000000000003411E-2</v>
      </c>
      <c r="P40" s="11">
        <f>불리오[[#This Row],[매매수익]]+불리오[[#This Row],[이자배당액]]-불리오[[#This Row],[매도비용]]-불리오[[#This Row],[매입비용]]</f>
        <v>2.0700000000000003</v>
      </c>
      <c r="Q40" s="12"/>
      <c r="R40" s="13">
        <f>불리오[[#This Row],[입출금]]+불리오[[#This Row],[현금수입]]-불리오[[#This Row],[현금지출]]</f>
        <v>58.29</v>
      </c>
      <c r="S40" s="13">
        <f>SUM($R$2:R40)</f>
        <v>94.799999999999784</v>
      </c>
      <c r="V40"/>
      <c r="X40"/>
    </row>
    <row r="41" spans="1:24" x14ac:dyDescent="0.3">
      <c r="A41" s="3">
        <v>45128</v>
      </c>
      <c r="B41" s="87" t="s">
        <v>114</v>
      </c>
      <c r="C41" s="1" t="str">
        <f>VLOOKUP(불리오[[#This Row],[종목코드]],표3[],2,FALSE)</f>
        <v>금</v>
      </c>
      <c r="D41" s="9" t="str">
        <f>VLOOKUP(불리오[[#This Row],[종목코드]],표3[],4,FALSE)</f>
        <v>ABRDN PHYSICAL GOLD SHARES ETF</v>
      </c>
      <c r="G41" s="8"/>
      <c r="H41" s="8">
        <f>불리오[[#This Row],[현금지출]]-불리오[[#This Row],[매입액]]</f>
        <v>0</v>
      </c>
      <c r="I41" s="13">
        <v>11</v>
      </c>
      <c r="J41" s="7">
        <v>206.8</v>
      </c>
      <c r="K41" s="7">
        <v>207.13</v>
      </c>
      <c r="L41" s="11"/>
      <c r="M41" s="7">
        <v>206.79000000000002</v>
      </c>
      <c r="N41" s="11">
        <f>불리오[[#This Row],[매도액]]-불리오[[#This Row],[매도원금]]</f>
        <v>0.32999999999998408</v>
      </c>
      <c r="O41" s="11">
        <f>불리오[[#This Row],[매도액]]+불리오[[#This Row],[이자배당액]]-불리오[[#This Row],[현금수입]]</f>
        <v>0.33999999999997499</v>
      </c>
      <c r="P41" s="11">
        <f>불리오[[#This Row],[매매수익]]+불리오[[#This Row],[이자배당액]]-불리오[[#This Row],[매도비용]]-불리오[[#This Row],[매입비용]]</f>
        <v>-9.9999999999909051E-3</v>
      </c>
      <c r="Q41" s="12"/>
      <c r="R41" s="13">
        <f>불리오[[#This Row],[입출금]]+불리오[[#This Row],[현금수입]]-불리오[[#This Row],[현금지출]]</f>
        <v>206.79000000000002</v>
      </c>
      <c r="S41" s="13">
        <f>SUM($R$2:R41)</f>
        <v>301.5899999999998</v>
      </c>
      <c r="V41"/>
      <c r="X41"/>
    </row>
    <row r="42" spans="1:24" x14ac:dyDescent="0.3">
      <c r="A42" s="3">
        <v>45128</v>
      </c>
      <c r="B42" s="87" t="s">
        <v>129</v>
      </c>
      <c r="C42" s="1" t="str">
        <f>VLOOKUP(불리오[[#This Row],[종목코드]],표3[],2,FALSE)</f>
        <v>신흥국채권</v>
      </c>
      <c r="D42" s="9" t="str">
        <f>VLOOKUP(불리오[[#This Row],[종목코드]],표3[],4,FALSE)</f>
        <v>VANGUARD EMERGING MARKETS GOVERNMENT BOND ETF</v>
      </c>
      <c r="G42" s="8"/>
      <c r="H42" s="8">
        <f>불리오[[#This Row],[현금지출]]-불리오[[#This Row],[매입액]]</f>
        <v>0</v>
      </c>
      <c r="I42" s="13">
        <v>1</v>
      </c>
      <c r="J42" s="7">
        <v>61.38</v>
      </c>
      <c r="K42" s="7">
        <v>62.59</v>
      </c>
      <c r="L42" s="11"/>
      <c r="M42" s="7">
        <v>62.5</v>
      </c>
      <c r="N42" s="11">
        <f>불리오[[#This Row],[매도액]]-불리오[[#This Row],[매도원금]]</f>
        <v>1.2100000000000009</v>
      </c>
      <c r="O42" s="11">
        <f>불리오[[#This Row],[매도액]]+불리오[[#This Row],[이자배당액]]-불리오[[#This Row],[현금수입]]</f>
        <v>9.0000000000003411E-2</v>
      </c>
      <c r="P42" s="11">
        <f>불리오[[#This Row],[매매수익]]+불리오[[#This Row],[이자배당액]]-불리오[[#This Row],[매도비용]]-불리오[[#This Row],[매입비용]]</f>
        <v>1.1199999999999974</v>
      </c>
      <c r="Q42" s="12"/>
      <c r="R42" s="13">
        <f>불리오[[#This Row],[입출금]]+불리오[[#This Row],[현금수입]]-불리오[[#This Row],[현금지출]]</f>
        <v>62.5</v>
      </c>
      <c r="S42" s="13">
        <f>SUM($R$2:R42)</f>
        <v>364.0899999999998</v>
      </c>
      <c r="V42"/>
      <c r="X42"/>
    </row>
    <row r="43" spans="1:24" x14ac:dyDescent="0.3">
      <c r="A43" s="3">
        <v>45131</v>
      </c>
      <c r="B43" s="87" t="s">
        <v>118</v>
      </c>
      <c r="C43" s="1" t="str">
        <f>VLOOKUP(불리오[[#This Row],[종목코드]],표3[],2,FALSE)</f>
        <v>홍콩주식</v>
      </c>
      <c r="D43" s="9" t="str">
        <f>VLOOKUP(불리오[[#This Row],[종목코드]],표3[],4,FALSE)</f>
        <v>ISHARES INC MSCI HONG KONG ETF</v>
      </c>
      <c r="E43" s="72">
        <v>1</v>
      </c>
      <c r="F43" s="7">
        <v>19.3</v>
      </c>
      <c r="G43" s="8">
        <v>19.32</v>
      </c>
      <c r="H43" s="8">
        <f>불리오[[#This Row],[현금지출]]-불리오[[#This Row],[매입액]]</f>
        <v>1.9999999999999574E-2</v>
      </c>
      <c r="I43" s="13"/>
      <c r="J43" s="7"/>
      <c r="K43" s="7"/>
      <c r="L43" s="7"/>
      <c r="M43" s="7"/>
      <c r="N43" s="11">
        <f>불리오[[#This Row],[매도액]]-불리오[[#This Row],[매도원금]]</f>
        <v>0</v>
      </c>
      <c r="O43" s="11">
        <f>불리오[[#This Row],[매도액]]+불리오[[#This Row],[이자배당액]]-불리오[[#This Row],[현금수입]]</f>
        <v>0</v>
      </c>
      <c r="P43" s="11">
        <f>불리오[[#This Row],[매매수익]]+불리오[[#This Row],[이자배당액]]-불리오[[#This Row],[매도비용]]-불리오[[#This Row],[매입비용]]</f>
        <v>-1.9999999999999574E-2</v>
      </c>
      <c r="Q43" s="12"/>
      <c r="R43" s="13">
        <f>불리오[[#This Row],[입출금]]+불리오[[#This Row],[현금수입]]-불리오[[#This Row],[현금지출]]</f>
        <v>-19.32</v>
      </c>
      <c r="S43" s="13">
        <f>SUM($R$2:R43)</f>
        <v>344.76999999999981</v>
      </c>
      <c r="V43"/>
      <c r="X43"/>
    </row>
    <row r="44" spans="1:24" x14ac:dyDescent="0.3">
      <c r="A44" s="3">
        <v>45131</v>
      </c>
      <c r="B44" s="87" t="s">
        <v>130</v>
      </c>
      <c r="C44" s="1" t="str">
        <f>VLOOKUP(불리오[[#This Row],[종목코드]],표3[],2,FALSE)</f>
        <v>유로</v>
      </c>
      <c r="D44" s="9" t="str">
        <f>VLOOKUP(불리오[[#This Row],[종목코드]],표3[],4,FALSE)</f>
        <v>INVESCO CURRENCYETF EURO CURRENCY TRUST</v>
      </c>
      <c r="E44" s="72">
        <v>2</v>
      </c>
      <c r="F44" s="7">
        <v>207.12</v>
      </c>
      <c r="G44" s="8">
        <v>207.46</v>
      </c>
      <c r="H44" s="8">
        <f>불리오[[#This Row],[현금지출]]-불리오[[#This Row],[매입액]]</f>
        <v>0.34000000000000341</v>
      </c>
      <c r="I44" s="13"/>
      <c r="J44" s="7"/>
      <c r="K44" s="7"/>
      <c r="L44" s="7"/>
      <c r="M44" s="7"/>
      <c r="N44" s="11">
        <f>불리오[[#This Row],[매도액]]-불리오[[#This Row],[매도원금]]</f>
        <v>0</v>
      </c>
      <c r="O44" s="11">
        <f>불리오[[#This Row],[매도액]]+불리오[[#This Row],[이자배당액]]-불리오[[#This Row],[현금수입]]</f>
        <v>0</v>
      </c>
      <c r="P44" s="11">
        <f>불리오[[#This Row],[매매수익]]+불리오[[#This Row],[이자배당액]]-불리오[[#This Row],[매도비용]]-불리오[[#This Row],[매입비용]]</f>
        <v>-0.34000000000000341</v>
      </c>
      <c r="Q44" s="12"/>
      <c r="R44" s="13">
        <f>불리오[[#This Row],[입출금]]+불리오[[#This Row],[현금수입]]-불리오[[#This Row],[현금지출]]</f>
        <v>-207.46</v>
      </c>
      <c r="S44" s="13">
        <f>SUM($R$2:R44)</f>
        <v>137.3099999999998</v>
      </c>
      <c r="V44"/>
      <c r="X44"/>
    </row>
    <row r="45" spans="1:24" x14ac:dyDescent="0.3">
      <c r="A45" s="3">
        <v>45131</v>
      </c>
      <c r="B45" s="87" t="s">
        <v>125</v>
      </c>
      <c r="C45" s="1" t="str">
        <f>VLOOKUP(불리오[[#This Row],[종목코드]],표3[],2,FALSE)</f>
        <v>미국장기채</v>
      </c>
      <c r="D45" s="9" t="str">
        <f>VLOOKUP(불리오[[#This Row],[종목코드]],표3[],4,FALSE)</f>
        <v>SPDR LONG TERM TREASURY ETF</v>
      </c>
      <c r="E45" s="72">
        <v>1</v>
      </c>
      <c r="F45" s="7">
        <v>29.72</v>
      </c>
      <c r="G45" s="8">
        <v>29.76</v>
      </c>
      <c r="H45" s="8">
        <f>불리오[[#This Row],[현금지출]]-불리오[[#This Row],[매입액]]</f>
        <v>4.00000000000027E-2</v>
      </c>
      <c r="I45" s="13"/>
      <c r="J45" s="7"/>
      <c r="K45" s="7"/>
      <c r="L45" s="7"/>
      <c r="M45" s="7"/>
      <c r="N45" s="11">
        <f>불리오[[#This Row],[매도액]]-불리오[[#This Row],[매도원금]]</f>
        <v>0</v>
      </c>
      <c r="O45" s="11">
        <f>불리오[[#This Row],[매도액]]+불리오[[#This Row],[이자배당액]]-불리오[[#This Row],[현금수입]]</f>
        <v>0</v>
      </c>
      <c r="P45" s="11">
        <f>불리오[[#This Row],[매매수익]]+불리오[[#This Row],[이자배당액]]-불리오[[#This Row],[매도비용]]-불리오[[#This Row],[매입비용]]</f>
        <v>-4.00000000000027E-2</v>
      </c>
      <c r="Q45" s="12"/>
      <c r="R45" s="13">
        <f>불리오[[#This Row],[입출금]]+불리오[[#This Row],[현금수입]]-불리오[[#This Row],[현금지출]]</f>
        <v>-29.76</v>
      </c>
      <c r="S45" s="13">
        <f>SUM($R$2:R45)</f>
        <v>107.5499999999998</v>
      </c>
      <c r="V45"/>
      <c r="X45"/>
    </row>
    <row r="46" spans="1:24" x14ac:dyDescent="0.3">
      <c r="A46" s="3">
        <v>45142</v>
      </c>
      <c r="B46" s="87" t="s">
        <v>129</v>
      </c>
      <c r="C46" s="1" t="str">
        <f>VLOOKUP(불리오[[#This Row],[종목코드]],표3[],2,FALSE)</f>
        <v>신흥국채권</v>
      </c>
      <c r="D46" s="9" t="str">
        <f>VLOOKUP(불리오[[#This Row],[종목코드]],표3[],4,FALSE)</f>
        <v>VANGUARD EMERGING MARKETS GOVERNMENT BOND ETF</v>
      </c>
      <c r="G46" s="8"/>
      <c r="H46" s="8">
        <f>불리오[[#This Row],[현금지출]]-불리오[[#This Row],[매입액]]</f>
        <v>0</v>
      </c>
      <c r="I46" s="13"/>
      <c r="J46" s="7"/>
      <c r="K46" s="7"/>
      <c r="L46" s="7">
        <v>0.3</v>
      </c>
      <c r="M46" s="7">
        <v>0.26</v>
      </c>
      <c r="N46" s="11">
        <f>불리오[[#This Row],[매도액]]-불리오[[#This Row],[매도원금]]</f>
        <v>0</v>
      </c>
      <c r="O46" s="11">
        <f>불리오[[#This Row],[매도액]]+불리오[[#This Row],[이자배당액]]-불리오[[#This Row],[현금수입]]</f>
        <v>3.999999999999998E-2</v>
      </c>
      <c r="P46" s="11">
        <f>불리오[[#This Row],[매매수익]]+불리오[[#This Row],[이자배당액]]-불리오[[#This Row],[매도비용]]-불리오[[#This Row],[매입비용]]</f>
        <v>0.26</v>
      </c>
      <c r="Q46" s="12"/>
      <c r="R46" s="13">
        <f>불리오[[#This Row],[입출금]]+불리오[[#This Row],[현금수입]]-불리오[[#This Row],[현금지출]]</f>
        <v>0.26</v>
      </c>
      <c r="S46" s="13">
        <f>SUM($R$2:R46)</f>
        <v>107.8099999999998</v>
      </c>
      <c r="V46"/>
      <c r="X46"/>
    </row>
    <row r="47" spans="1:24" x14ac:dyDescent="0.3">
      <c r="A47" s="3">
        <v>45145</v>
      </c>
      <c r="B47" s="87" t="s">
        <v>127</v>
      </c>
      <c r="C47" s="1" t="str">
        <f>VLOOKUP(불리오[[#This Row],[종목코드]],표3[],2,FALSE)</f>
        <v>하이일드</v>
      </c>
      <c r="D47" s="9" t="str">
        <f>VLOOKUP(불리오[[#This Row],[종목코드]],표3[],4,FALSE)</f>
        <v>SPDR SERIES TRUST Portfolio High Yield Bond ETF</v>
      </c>
      <c r="G47" s="8"/>
      <c r="H47" s="8">
        <f>불리오[[#This Row],[현금지출]]-불리오[[#This Row],[매입액]]</f>
        <v>0</v>
      </c>
      <c r="I47" s="13"/>
      <c r="J47" s="7"/>
      <c r="K47" s="7"/>
      <c r="L47" s="7">
        <v>0.56000000000000005</v>
      </c>
      <c r="M47" s="7">
        <v>0.48</v>
      </c>
      <c r="N47" s="11">
        <f>불리오[[#This Row],[매도액]]-불리오[[#This Row],[매도원금]]</f>
        <v>0</v>
      </c>
      <c r="O47" s="11">
        <f>불리오[[#This Row],[매도액]]+불리오[[#This Row],[이자배당액]]-불리오[[#This Row],[현금수입]]</f>
        <v>8.0000000000000071E-2</v>
      </c>
      <c r="P47" s="11">
        <f>불리오[[#This Row],[매매수익]]+불리오[[#This Row],[이자배당액]]-불리오[[#This Row],[매도비용]]-불리오[[#This Row],[매입비용]]</f>
        <v>0.48</v>
      </c>
      <c r="Q47" s="12"/>
      <c r="R47" s="13">
        <f>불리오[[#This Row],[입출금]]+불리오[[#This Row],[현금수입]]-불리오[[#This Row],[현금지출]]</f>
        <v>0.48</v>
      </c>
      <c r="S47" s="13">
        <f>SUM($R$2:R47)</f>
        <v>108.28999999999981</v>
      </c>
      <c r="V47"/>
      <c r="X47"/>
    </row>
    <row r="48" spans="1:24" x14ac:dyDescent="0.3">
      <c r="A48" s="3">
        <v>45145</v>
      </c>
      <c r="B48" s="87" t="s">
        <v>128</v>
      </c>
      <c r="C48" s="1" t="str">
        <f>VLOOKUP(불리오[[#This Row],[종목코드]],표3[],2,FALSE)</f>
        <v>물가연동채</v>
      </c>
      <c r="D48" s="9" t="str">
        <f>VLOOKUP(불리오[[#This Row],[종목코드]],표3[],4,FALSE)</f>
        <v>SPDR SERIES TRUST Portfolio TIPS ETF</v>
      </c>
      <c r="G48" s="8"/>
      <c r="H48" s="8">
        <f>불리오[[#This Row],[현금지출]]-불리오[[#This Row],[매입액]]</f>
        <v>0</v>
      </c>
      <c r="I48" s="13"/>
      <c r="J48" s="7"/>
      <c r="K48" s="7"/>
      <c r="L48" s="7">
        <v>0.68</v>
      </c>
      <c r="M48" s="7">
        <v>0.57999999999999996</v>
      </c>
      <c r="N48" s="11">
        <f>불리오[[#This Row],[매도액]]-불리오[[#This Row],[매도원금]]</f>
        <v>0</v>
      </c>
      <c r="O48" s="11">
        <f>불리오[[#This Row],[매도액]]+불리오[[#This Row],[이자배당액]]-불리오[[#This Row],[현금수입]]</f>
        <v>0.10000000000000009</v>
      </c>
      <c r="P48" s="11">
        <f>불리오[[#This Row],[매매수익]]+불리오[[#This Row],[이자배당액]]-불리오[[#This Row],[매도비용]]-불리오[[#This Row],[매입비용]]</f>
        <v>0.57999999999999996</v>
      </c>
      <c r="Q48" s="12"/>
      <c r="R48" s="13">
        <f>불리오[[#This Row],[입출금]]+불리오[[#This Row],[현금수입]]-불리오[[#This Row],[현금지출]]</f>
        <v>0.57999999999999996</v>
      </c>
      <c r="S48" s="13">
        <f>SUM($R$2:R48)</f>
        <v>108.86999999999981</v>
      </c>
      <c r="V48"/>
      <c r="X48"/>
    </row>
    <row r="49" spans="1:24" x14ac:dyDescent="0.3">
      <c r="A49" s="3">
        <v>45145</v>
      </c>
      <c r="B49" s="87" t="s">
        <v>125</v>
      </c>
      <c r="C49" s="1" t="str">
        <f>VLOOKUP(불리오[[#This Row],[종목코드]],표3[],2,FALSE)</f>
        <v>미국장기채</v>
      </c>
      <c r="D49" s="9" t="str">
        <f>VLOOKUP(불리오[[#This Row],[종목코드]],표3[],4,FALSE)</f>
        <v>SPDR LONG TERM TREASURY ETF</v>
      </c>
      <c r="G49" s="8"/>
      <c r="H49" s="8">
        <f>불리오[[#This Row],[현금지출]]-불리오[[#This Row],[매입액]]</f>
        <v>0</v>
      </c>
      <c r="I49" s="13"/>
      <c r="J49" s="7"/>
      <c r="K49" s="7"/>
      <c r="L49" s="7">
        <v>1.34</v>
      </c>
      <c r="M49" s="7">
        <v>1.1399999999999999</v>
      </c>
      <c r="N49" s="11">
        <f>불리오[[#This Row],[매도액]]-불리오[[#This Row],[매도원금]]</f>
        <v>0</v>
      </c>
      <c r="O49" s="11">
        <f>불리오[[#This Row],[매도액]]+불리오[[#This Row],[이자배당액]]-불리오[[#This Row],[현금수입]]</f>
        <v>0.20000000000000018</v>
      </c>
      <c r="P49" s="11">
        <f>불리오[[#This Row],[매매수익]]+불리오[[#This Row],[이자배당액]]-불리오[[#This Row],[매도비용]]-불리오[[#This Row],[매입비용]]</f>
        <v>1.1399999999999999</v>
      </c>
      <c r="Q49" s="12"/>
      <c r="R49" s="13">
        <f>불리오[[#This Row],[입출금]]+불리오[[#This Row],[현금수입]]-불리오[[#This Row],[현금지출]]</f>
        <v>1.1399999999999999</v>
      </c>
      <c r="S49" s="13">
        <f>SUM($R$2:R49)</f>
        <v>110.00999999999981</v>
      </c>
      <c r="V49"/>
      <c r="X49"/>
    </row>
    <row r="50" spans="1:24" x14ac:dyDescent="0.3">
      <c r="A50" s="3">
        <v>45147</v>
      </c>
      <c r="B50" s="87" t="s">
        <v>130</v>
      </c>
      <c r="C50" s="1" t="str">
        <f>VLOOKUP(불리오[[#This Row],[종목코드]],표3[],2,FALSE)</f>
        <v>유로</v>
      </c>
      <c r="D50" s="9" t="str">
        <f>VLOOKUP(불리오[[#This Row],[종목코드]],표3[],4,FALSE)</f>
        <v>INVESCO CURRENCYETF EURO CURRENCY TRUST</v>
      </c>
      <c r="G50" s="8"/>
      <c r="H50" s="8">
        <f>불리오[[#This Row],[현금지출]]-불리오[[#This Row],[매입액]]</f>
        <v>0</v>
      </c>
      <c r="I50" s="13"/>
      <c r="J50" s="7"/>
      <c r="K50" s="7"/>
      <c r="L50" s="7">
        <v>0.32</v>
      </c>
      <c r="M50" s="7">
        <v>0.28000000000000003</v>
      </c>
      <c r="N50" s="11">
        <f>불리오[[#This Row],[매도액]]-불리오[[#This Row],[매도원금]]</f>
        <v>0</v>
      </c>
      <c r="O50" s="11">
        <f>불리오[[#This Row],[매도액]]+불리오[[#This Row],[이자배당액]]-불리오[[#This Row],[현금수입]]</f>
        <v>3.999999999999998E-2</v>
      </c>
      <c r="P50" s="11">
        <f>불리오[[#This Row],[매매수익]]+불리오[[#This Row],[이자배당액]]-불리오[[#This Row],[매도비용]]-불리오[[#This Row],[매입비용]]</f>
        <v>0.28000000000000003</v>
      </c>
      <c r="Q50" s="12"/>
      <c r="R50" s="13">
        <f>불리오[[#This Row],[입출금]]+불리오[[#This Row],[현금수입]]-불리오[[#This Row],[현금지출]]</f>
        <v>0.28000000000000003</v>
      </c>
      <c r="S50" s="13">
        <f>SUM($R$2:R50)</f>
        <v>110.28999999999981</v>
      </c>
      <c r="V50"/>
      <c r="X50"/>
    </row>
    <row r="51" spans="1:24" x14ac:dyDescent="0.3">
      <c r="A51" s="3">
        <v>45160</v>
      </c>
      <c r="B51" s="87" t="s">
        <v>131</v>
      </c>
      <c r="C51" s="1" t="str">
        <f>VLOOKUP(불리오[[#This Row],[종목코드]],표3[],2,FALSE)</f>
        <v>독일주식</v>
      </c>
      <c r="D51" s="9" t="str">
        <f>VLOOKUP(불리오[[#This Row],[종목코드]],표3[],4,FALSE)</f>
        <v>ISHARES INC MSCI GERMANY ETF</v>
      </c>
      <c r="F51" s="40"/>
      <c r="G51" s="41"/>
      <c r="H51" s="41">
        <f>불리오[[#This Row],[현금지출]]-불리오[[#This Row],[매입액]]</f>
        <v>0</v>
      </c>
      <c r="I51" s="44">
        <v>4</v>
      </c>
      <c r="J51" s="40">
        <v>112.44</v>
      </c>
      <c r="K51" s="40">
        <v>111</v>
      </c>
      <c r="L51" s="42"/>
      <c r="M51" s="40">
        <v>110.82</v>
      </c>
      <c r="N51" s="42">
        <f>불리오[[#This Row],[매도액]]-불리오[[#This Row],[매도원금]]</f>
        <v>-1.4399999999999977</v>
      </c>
      <c r="O51" s="42">
        <f>불리오[[#This Row],[매도액]]+불리오[[#This Row],[이자배당액]]-불리오[[#This Row],[현금수입]]</f>
        <v>0.18000000000000682</v>
      </c>
      <c r="P51" s="42">
        <f>불리오[[#This Row],[매매수익]]+불리오[[#This Row],[이자배당액]]-불리오[[#This Row],[매도비용]]-불리오[[#This Row],[매입비용]]</f>
        <v>-1.6200000000000045</v>
      </c>
      <c r="Q51" s="43"/>
      <c r="R51" s="44">
        <f>불리오[[#This Row],[입출금]]+불리오[[#This Row],[현금수입]]-불리오[[#This Row],[현금지출]]</f>
        <v>110.82</v>
      </c>
      <c r="S51" s="13">
        <f>SUM($R$2:R51)</f>
        <v>221.10999999999979</v>
      </c>
    </row>
    <row r="52" spans="1:24" x14ac:dyDescent="0.3">
      <c r="A52" s="3">
        <v>45160</v>
      </c>
      <c r="B52" s="87" t="s">
        <v>130</v>
      </c>
      <c r="C52" s="1" t="str">
        <f>VLOOKUP(불리오[[#This Row],[종목코드]],표3[],2,FALSE)</f>
        <v>유로</v>
      </c>
      <c r="D52" s="9" t="str">
        <f>VLOOKUP(불리오[[#This Row],[종목코드]],표3[],4,FALSE)</f>
        <v>INVESCO CURRENCYETF EURO CURRENCY TRUST</v>
      </c>
      <c r="F52" s="40"/>
      <c r="G52" s="41"/>
      <c r="H52" s="41">
        <f>불리오[[#This Row],[현금지출]]-불리오[[#This Row],[매입액]]</f>
        <v>0</v>
      </c>
      <c r="I52" s="44">
        <v>2</v>
      </c>
      <c r="J52" s="40">
        <v>207.12</v>
      </c>
      <c r="K52" s="40">
        <v>201.46</v>
      </c>
      <c r="L52" s="42"/>
      <c r="M52" s="40">
        <v>201.12</v>
      </c>
      <c r="N52" s="42">
        <f>불리오[[#This Row],[매도액]]-불리오[[#This Row],[매도원금]]</f>
        <v>-5.6599999999999966</v>
      </c>
      <c r="O52" s="42">
        <f>불리오[[#This Row],[매도액]]+불리오[[#This Row],[이자배당액]]-불리오[[#This Row],[현금수입]]</f>
        <v>0.34000000000000341</v>
      </c>
      <c r="P52" s="42">
        <f>불리오[[#This Row],[매매수익]]+불리오[[#This Row],[이자배당액]]-불리오[[#This Row],[매도비용]]-불리오[[#This Row],[매입비용]]</f>
        <v>-6</v>
      </c>
      <c r="Q52" s="43"/>
      <c r="R52" s="44">
        <f>불리오[[#This Row],[입출금]]+불리오[[#This Row],[현금수입]]-불리오[[#This Row],[현금지출]]</f>
        <v>201.12</v>
      </c>
      <c r="S52" s="13">
        <f>SUM($R$2:R52)</f>
        <v>422.22999999999979</v>
      </c>
    </row>
    <row r="53" spans="1:24" x14ac:dyDescent="0.3">
      <c r="A53" s="3">
        <v>45160</v>
      </c>
      <c r="B53" s="87" t="s">
        <v>115</v>
      </c>
      <c r="C53" s="1" t="str">
        <f>VLOOKUP(불리오[[#This Row],[종목코드]],표3[],2,FALSE)</f>
        <v>원자재</v>
      </c>
      <c r="D53" s="9" t="str">
        <f>VLOOKUP(불리오[[#This Row],[종목코드]],표3[],4,FALSE)</f>
        <v>INVESCO ACT MANAGE EXCH TR CMDTY FD OPTIMUM YIELD DIVERSIFIE</v>
      </c>
      <c r="F53" s="40"/>
      <c r="G53" s="41"/>
      <c r="H53" s="41">
        <f>불리오[[#This Row],[현금지출]]-불리오[[#This Row],[매입액]]</f>
        <v>0</v>
      </c>
      <c r="I53" s="44">
        <v>2</v>
      </c>
      <c r="J53" s="40">
        <v>26.6</v>
      </c>
      <c r="K53" s="40">
        <v>28.97</v>
      </c>
      <c r="L53" s="42"/>
      <c r="M53" s="40">
        <v>28.93</v>
      </c>
      <c r="N53" s="42">
        <f>불리오[[#This Row],[매도액]]-불리오[[#This Row],[매도원금]]</f>
        <v>2.3699999999999974</v>
      </c>
      <c r="O53" s="42">
        <f>불리오[[#This Row],[매도액]]+불리오[[#This Row],[이자배당액]]-불리오[[#This Row],[현금수입]]</f>
        <v>3.9999999999999147E-2</v>
      </c>
      <c r="P53" s="42">
        <f>불리오[[#This Row],[매매수익]]+불리오[[#This Row],[이자배당액]]-불리오[[#This Row],[매도비용]]-불리오[[#This Row],[매입비용]]</f>
        <v>2.3299999999999983</v>
      </c>
      <c r="Q53" s="43"/>
      <c r="R53" s="44">
        <f>불리오[[#This Row],[입출금]]+불리오[[#This Row],[현금수입]]-불리오[[#This Row],[현금지출]]</f>
        <v>28.93</v>
      </c>
      <c r="S53" s="13">
        <f>SUM($R$2:R53)</f>
        <v>451.1599999999998</v>
      </c>
    </row>
    <row r="54" spans="1:24" x14ac:dyDescent="0.3">
      <c r="A54" s="3">
        <v>45160</v>
      </c>
      <c r="B54" s="87" t="s">
        <v>123</v>
      </c>
      <c r="C54" s="1" t="str">
        <f>VLOOKUP(불리오[[#This Row],[종목코드]],표3[],2,FALSE)</f>
        <v>신흥국주식</v>
      </c>
      <c r="D54" s="9" t="str">
        <f>VLOOKUP(불리오[[#This Row],[종목코드]],표3[],4,FALSE)</f>
        <v>SCHWAB EMERGING MARKETS EQUITY ETF</v>
      </c>
      <c r="F54" s="40"/>
      <c r="G54" s="41"/>
      <c r="H54" s="41">
        <f>불리오[[#This Row],[현금지출]]-불리오[[#This Row],[매입액]]</f>
        <v>0</v>
      </c>
      <c r="I54" s="44">
        <v>10</v>
      </c>
      <c r="J54" s="40">
        <v>241.39</v>
      </c>
      <c r="K54" s="40">
        <v>245.1</v>
      </c>
      <c r="L54" s="42"/>
      <c r="M54" s="40">
        <v>244.69</v>
      </c>
      <c r="N54" s="42">
        <f>불리오[[#This Row],[매도액]]-불리오[[#This Row],[매도원금]]</f>
        <v>3.710000000000008</v>
      </c>
      <c r="O54" s="42">
        <f>불리오[[#This Row],[매도액]]+불리오[[#This Row],[이자배당액]]-불리오[[#This Row],[현금수입]]</f>
        <v>0.40999999999999659</v>
      </c>
      <c r="P54" s="42">
        <f>불리오[[#This Row],[매매수익]]+불리오[[#This Row],[이자배당액]]-불리오[[#This Row],[매도비용]]-불리오[[#This Row],[매입비용]]</f>
        <v>3.3000000000000114</v>
      </c>
      <c r="Q54" s="43"/>
      <c r="R54" s="44">
        <f>불리오[[#This Row],[입출금]]+불리오[[#This Row],[현금수입]]-불리오[[#This Row],[현금지출]]</f>
        <v>244.69</v>
      </c>
      <c r="S54" s="13">
        <f>SUM($R$2:R54)</f>
        <v>695.8499999999998</v>
      </c>
    </row>
    <row r="55" spans="1:24" x14ac:dyDescent="0.3">
      <c r="A55" s="3">
        <v>45160</v>
      </c>
      <c r="B55" s="87" t="s">
        <v>114</v>
      </c>
      <c r="C55" s="1" t="str">
        <f>VLOOKUP(불리오[[#This Row],[종목코드]],표3[],2,FALSE)</f>
        <v>금</v>
      </c>
      <c r="D55" s="9" t="str">
        <f>VLOOKUP(불리오[[#This Row],[종목코드]],표3[],4,FALSE)</f>
        <v>ABRDN PHYSICAL GOLD SHARES ETF</v>
      </c>
      <c r="F55" s="40"/>
      <c r="G55" s="41"/>
      <c r="H55" s="41">
        <f>불리오[[#This Row],[현금지출]]-불리오[[#This Row],[매입액]]</f>
        <v>0</v>
      </c>
      <c r="I55" s="44">
        <v>2</v>
      </c>
      <c r="J55" s="40">
        <v>37.6</v>
      </c>
      <c r="K55" s="40">
        <v>36.39</v>
      </c>
      <c r="L55" s="42"/>
      <c r="M55" s="40">
        <v>36.33</v>
      </c>
      <c r="N55" s="42">
        <f>불리오[[#This Row],[매도액]]-불리오[[#This Row],[매도원금]]</f>
        <v>-1.2100000000000009</v>
      </c>
      <c r="O55" s="42">
        <f>불리오[[#This Row],[매도액]]+불리오[[#This Row],[이자배당액]]-불리오[[#This Row],[현금수입]]</f>
        <v>6.0000000000002274E-2</v>
      </c>
      <c r="P55" s="42">
        <f>불리오[[#This Row],[매매수익]]+불리오[[#This Row],[이자배당액]]-불리오[[#This Row],[매도비용]]-불리오[[#This Row],[매입비용]]</f>
        <v>-1.2700000000000031</v>
      </c>
      <c r="Q55" s="43"/>
      <c r="R55" s="44">
        <f>불리오[[#This Row],[입출금]]+불리오[[#This Row],[현금수입]]-불리오[[#This Row],[현금지출]]</f>
        <v>36.33</v>
      </c>
      <c r="S55" s="13">
        <f>SUM($R$2:R55)</f>
        <v>732.17999999999984</v>
      </c>
    </row>
    <row r="56" spans="1:24" x14ac:dyDescent="0.3">
      <c r="A56" s="3">
        <v>45160</v>
      </c>
      <c r="B56" s="87" t="s">
        <v>124</v>
      </c>
      <c r="C56" s="1" t="str">
        <f>VLOOKUP(불리오[[#This Row],[종목코드]],표3[],2,FALSE)</f>
        <v>전세계주식</v>
      </c>
      <c r="D56" s="9" t="str">
        <f>VLOOKUP(불리오[[#This Row],[종목코드]],표3[],4,FALSE)</f>
        <v>SPDR INDEX SHARES FUNDS PORTFOLIO MSCI GLOBAL STOCK MARKET E</v>
      </c>
      <c r="F56" s="40"/>
      <c r="G56" s="41"/>
      <c r="H56" s="41">
        <f>불리오[[#This Row],[현금지출]]-불리오[[#This Row],[매입액]]</f>
        <v>0</v>
      </c>
      <c r="I56" s="44">
        <v>1</v>
      </c>
      <c r="J56" s="40">
        <v>49.56</v>
      </c>
      <c r="K56" s="40">
        <v>51.72</v>
      </c>
      <c r="L56" s="42"/>
      <c r="M56" s="40">
        <v>51.64</v>
      </c>
      <c r="N56" s="42">
        <f>불리오[[#This Row],[매도액]]-불리오[[#This Row],[매도원금]]</f>
        <v>2.1599999999999966</v>
      </c>
      <c r="O56" s="42">
        <f>불리오[[#This Row],[매도액]]+불리오[[#This Row],[이자배당액]]-불리오[[#This Row],[현금수입]]</f>
        <v>7.9999999999998295E-2</v>
      </c>
      <c r="P56" s="42">
        <f>불리오[[#This Row],[매매수익]]+불리오[[#This Row],[이자배당액]]-불리오[[#This Row],[매도비용]]-불리오[[#This Row],[매입비용]]</f>
        <v>2.0799999999999983</v>
      </c>
      <c r="Q56" s="43"/>
      <c r="R56" s="44">
        <f>불리오[[#This Row],[입출금]]+불리오[[#This Row],[현금수입]]-불리오[[#This Row],[현금지출]]</f>
        <v>51.64</v>
      </c>
      <c r="S56" s="13">
        <f>SUM($R$2:R56)</f>
        <v>783.81999999999982</v>
      </c>
    </row>
    <row r="57" spans="1:24" x14ac:dyDescent="0.3">
      <c r="A57" s="3">
        <v>45160</v>
      </c>
      <c r="B57" s="87" t="s">
        <v>127</v>
      </c>
      <c r="C57" s="1" t="str">
        <f>VLOOKUP(불리오[[#This Row],[종목코드]],표3[],2,FALSE)</f>
        <v>하이일드</v>
      </c>
      <c r="D57" s="9" t="str">
        <f>VLOOKUP(불리오[[#This Row],[종목코드]],표3[],4,FALSE)</f>
        <v>SPDR SERIES TRUST Portfolio High Yield Bond ETF</v>
      </c>
      <c r="F57" s="40"/>
      <c r="G57" s="41"/>
      <c r="H57" s="41">
        <f>불리오[[#This Row],[현금지출]]-불리오[[#This Row],[매입액]]</f>
        <v>0</v>
      </c>
      <c r="I57" s="44">
        <v>1</v>
      </c>
      <c r="J57" s="40">
        <v>22.44</v>
      </c>
      <c r="K57" s="40">
        <v>22.64</v>
      </c>
      <c r="L57" s="42"/>
      <c r="M57" s="40">
        <v>22.62</v>
      </c>
      <c r="N57" s="42">
        <f>불리오[[#This Row],[매도액]]-불리오[[#This Row],[매도원금]]</f>
        <v>0.19999999999999929</v>
      </c>
      <c r="O57" s="42">
        <f>불리오[[#This Row],[매도액]]+불리오[[#This Row],[이자배당액]]-불리오[[#This Row],[현금수입]]</f>
        <v>1.9999999999999574E-2</v>
      </c>
      <c r="P57" s="42">
        <f>불리오[[#This Row],[매매수익]]+불리오[[#This Row],[이자배당액]]-불리오[[#This Row],[매도비용]]-불리오[[#This Row],[매입비용]]</f>
        <v>0.17999999999999972</v>
      </c>
      <c r="Q57" s="43"/>
      <c r="R57" s="44">
        <f>불리오[[#This Row],[입출금]]+불리오[[#This Row],[현금수입]]-불리오[[#This Row],[현금지출]]</f>
        <v>22.62</v>
      </c>
      <c r="S57" s="13">
        <f>SUM($R$2:R57)</f>
        <v>806.43999999999983</v>
      </c>
    </row>
    <row r="58" spans="1:24" x14ac:dyDescent="0.3">
      <c r="A58" s="3">
        <v>45160</v>
      </c>
      <c r="B58" s="87" t="s">
        <v>128</v>
      </c>
      <c r="C58" s="1" t="str">
        <f>VLOOKUP(불리오[[#This Row],[종목코드]],표3[],2,FALSE)</f>
        <v>물가연동채</v>
      </c>
      <c r="D58" s="9" t="str">
        <f>VLOOKUP(불리오[[#This Row],[종목코드]],표3[],4,FALSE)</f>
        <v>SPDR SERIES TRUST Portfolio TIPS ETF</v>
      </c>
      <c r="F58" s="40"/>
      <c r="G58" s="41"/>
      <c r="H58" s="41">
        <f>불리오[[#This Row],[현금지출]]-불리오[[#This Row],[매입액]]</f>
        <v>0</v>
      </c>
      <c r="I58" s="44">
        <v>2</v>
      </c>
      <c r="J58" s="40">
        <v>51.87</v>
      </c>
      <c r="K58" s="40">
        <v>50.35</v>
      </c>
      <c r="L58" s="42"/>
      <c r="M58" s="40">
        <v>50.27</v>
      </c>
      <c r="N58" s="42">
        <f>불리오[[#This Row],[매도액]]-불리오[[#This Row],[매도원금]]</f>
        <v>-1.519999999999996</v>
      </c>
      <c r="O58" s="42">
        <f>불리오[[#This Row],[매도액]]+불리오[[#This Row],[이자배당액]]-불리오[[#This Row],[현금수입]]</f>
        <v>7.9999999999998295E-2</v>
      </c>
      <c r="P58" s="42">
        <f>불리오[[#This Row],[매매수익]]+불리오[[#This Row],[이자배당액]]-불리오[[#This Row],[매도비용]]-불리오[[#This Row],[매입비용]]</f>
        <v>-1.5999999999999943</v>
      </c>
      <c r="Q58" s="43"/>
      <c r="R58" s="44">
        <f>불리오[[#This Row],[입출금]]+불리오[[#This Row],[현금수입]]-불리오[[#This Row],[현금지출]]</f>
        <v>50.27</v>
      </c>
      <c r="S58" s="13">
        <f>SUM($R$2:R58)</f>
        <v>856.70999999999981</v>
      </c>
    </row>
    <row r="59" spans="1:24" x14ac:dyDescent="0.3">
      <c r="A59" s="3">
        <v>45160</v>
      </c>
      <c r="B59" s="87" t="s">
        <v>125</v>
      </c>
      <c r="C59" s="1" t="str">
        <f>VLOOKUP(불리오[[#This Row],[종목코드]],표3[],2,FALSE)</f>
        <v>미국장기채</v>
      </c>
      <c r="D59" s="9" t="str">
        <f>VLOOKUP(불리오[[#This Row],[종목코드]],표3[],4,FALSE)</f>
        <v>SPDR LONG TERM TREASURY ETF</v>
      </c>
      <c r="F59" s="40"/>
      <c r="G59" s="41"/>
      <c r="H59" s="41">
        <f>불리오[[#This Row],[현금지출]]-불리오[[#This Row],[매입액]]</f>
        <v>0</v>
      </c>
      <c r="I59" s="44">
        <v>3</v>
      </c>
      <c r="J59" s="40">
        <v>90.14</v>
      </c>
      <c r="K59" s="40">
        <v>82.41</v>
      </c>
      <c r="L59" s="42"/>
      <c r="M59" s="40">
        <v>82.28</v>
      </c>
      <c r="N59" s="42">
        <f>불리오[[#This Row],[매도액]]-불리오[[#This Row],[매도원금]]</f>
        <v>-7.730000000000004</v>
      </c>
      <c r="O59" s="42">
        <f>불리오[[#This Row],[매도액]]+불리오[[#This Row],[이자배당액]]-불리오[[#This Row],[현금수입]]</f>
        <v>0.12999999999999545</v>
      </c>
      <c r="P59" s="42">
        <f>불리오[[#This Row],[매매수익]]+불리오[[#This Row],[이자배당액]]-불리오[[#This Row],[매도비용]]-불리오[[#This Row],[매입비용]]</f>
        <v>-7.8599999999999994</v>
      </c>
      <c r="Q59" s="43"/>
      <c r="R59" s="44">
        <f>불리오[[#This Row],[입출금]]+불리오[[#This Row],[현금수입]]-불리오[[#This Row],[현금지출]]</f>
        <v>82.28</v>
      </c>
      <c r="S59" s="13">
        <f>SUM($R$2:R59)</f>
        <v>938.98999999999978</v>
      </c>
    </row>
    <row r="60" spans="1:24" x14ac:dyDescent="0.3">
      <c r="A60" s="3">
        <v>45161</v>
      </c>
      <c r="B60" s="87" t="s">
        <v>118</v>
      </c>
      <c r="C60" s="1" t="str">
        <f>VLOOKUP(불리오[[#This Row],[종목코드]],표3[],2,FALSE)</f>
        <v>홍콩주식</v>
      </c>
      <c r="D60" s="9" t="str">
        <f>VLOOKUP(불리오[[#This Row],[종목코드]],표3[],4,FALSE)</f>
        <v>ISHARES INC MSCI HONG KONG ETF</v>
      </c>
      <c r="E60" s="72">
        <v>4</v>
      </c>
      <c r="F60" s="40">
        <v>70.59</v>
      </c>
      <c r="G60" s="41">
        <v>70.709999999999994</v>
      </c>
      <c r="H60" s="41">
        <f>불리오[[#This Row],[현금지출]]-불리오[[#This Row],[매입액]]</f>
        <v>0.11999999999999034</v>
      </c>
      <c r="I60" s="44"/>
      <c r="J60" s="40"/>
      <c r="K60" s="40"/>
      <c r="L60" s="42"/>
      <c r="M60" s="40"/>
      <c r="N60" s="42">
        <f>불리오[[#This Row],[매도액]]-불리오[[#This Row],[매도원금]]</f>
        <v>0</v>
      </c>
      <c r="O60" s="42">
        <f>불리오[[#This Row],[매도액]]+불리오[[#This Row],[이자배당액]]-불리오[[#This Row],[현금수입]]</f>
        <v>0</v>
      </c>
      <c r="P60" s="42">
        <f>불리오[[#This Row],[매매수익]]+불리오[[#This Row],[이자배당액]]-불리오[[#This Row],[매도비용]]-불리오[[#This Row],[매입비용]]</f>
        <v>-0.11999999999999034</v>
      </c>
      <c r="Q60" s="43"/>
      <c r="R60" s="44">
        <f>불리오[[#This Row],[입출금]]+불리오[[#This Row],[현금수입]]-불리오[[#This Row],[현금지출]]</f>
        <v>-70.709999999999994</v>
      </c>
      <c r="S60" s="13">
        <f>SUM($R$2:R60)</f>
        <v>868.27999999999975</v>
      </c>
    </row>
    <row r="61" spans="1:24" x14ac:dyDescent="0.3">
      <c r="A61" s="3">
        <v>45161</v>
      </c>
      <c r="B61" s="87" t="s">
        <v>116</v>
      </c>
      <c r="C61" s="1" t="str">
        <f>VLOOKUP(불리오[[#This Row],[종목코드]],표3[],2,FALSE)</f>
        <v>중국주식</v>
      </c>
      <c r="D61" s="9" t="str">
        <f>VLOOKUP(불리오[[#This Row],[종목코드]],표3[],4,FALSE)</f>
        <v>ISHARES CHINA LARGE-CAP ETF</v>
      </c>
      <c r="E61" s="72">
        <v>1</v>
      </c>
      <c r="F61" s="40">
        <v>26.2</v>
      </c>
      <c r="G61" s="41">
        <v>26.24</v>
      </c>
      <c r="H61" s="41">
        <f>불리오[[#This Row],[현금지출]]-불리오[[#This Row],[매입액]]</f>
        <v>3.9999999999999147E-2</v>
      </c>
      <c r="I61" s="44"/>
      <c r="J61" s="40"/>
      <c r="K61" s="40"/>
      <c r="L61" s="42"/>
      <c r="M61" s="40"/>
      <c r="N61" s="42">
        <f>불리오[[#This Row],[매도액]]-불리오[[#This Row],[매도원금]]</f>
        <v>0</v>
      </c>
      <c r="O61" s="42">
        <f>불리오[[#This Row],[매도액]]+불리오[[#This Row],[이자배당액]]-불리오[[#This Row],[현금수입]]</f>
        <v>0</v>
      </c>
      <c r="P61" s="42">
        <f>불리오[[#This Row],[매매수익]]+불리오[[#This Row],[이자배당액]]-불리오[[#This Row],[매도비용]]-불리오[[#This Row],[매입비용]]</f>
        <v>-3.9999999999999147E-2</v>
      </c>
      <c r="Q61" s="43"/>
      <c r="R61" s="44">
        <f>불리오[[#This Row],[입출금]]+불리오[[#This Row],[현금수입]]-불리오[[#This Row],[현금지출]]</f>
        <v>-26.24</v>
      </c>
      <c r="S61" s="13">
        <f>SUM($R$2:R61)</f>
        <v>842.03999999999974</v>
      </c>
    </row>
    <row r="62" spans="1:24" x14ac:dyDescent="0.3">
      <c r="A62" s="3">
        <v>45161</v>
      </c>
      <c r="B62" s="87" t="s">
        <v>126</v>
      </c>
      <c r="C62" s="1" t="str">
        <f>VLOOKUP(불리오[[#This Row],[종목코드]],표3[],2,FALSE)</f>
        <v>미국주식</v>
      </c>
      <c r="D62" s="9" t="str">
        <f>VLOOKUP(불리오[[#This Row],[종목코드]],표3[],4,FALSE)</f>
        <v>SPDR PORTFOLIO S&amp;P 500 ETF</v>
      </c>
      <c r="E62" s="72">
        <v>3</v>
      </c>
      <c r="F62" s="40">
        <v>152.88</v>
      </c>
      <c r="G62" s="41">
        <v>153.13</v>
      </c>
      <c r="H62" s="41">
        <f>불리오[[#This Row],[현금지출]]-불리오[[#This Row],[매입액]]</f>
        <v>0.25</v>
      </c>
      <c r="I62" s="44"/>
      <c r="J62" s="40"/>
      <c r="K62" s="40"/>
      <c r="L62" s="42"/>
      <c r="M62" s="40"/>
      <c r="N62" s="42">
        <f>불리오[[#This Row],[매도액]]-불리오[[#This Row],[매도원금]]</f>
        <v>0</v>
      </c>
      <c r="O62" s="42">
        <f>불리오[[#This Row],[매도액]]+불리오[[#This Row],[이자배당액]]-불리오[[#This Row],[현금수입]]</f>
        <v>0</v>
      </c>
      <c r="P62" s="42">
        <f>불리오[[#This Row],[매매수익]]+불리오[[#This Row],[이자배당액]]-불리오[[#This Row],[매도비용]]-불리오[[#This Row],[매입비용]]</f>
        <v>-0.25</v>
      </c>
      <c r="Q62" s="43"/>
      <c r="R62" s="44">
        <f>불리오[[#This Row],[입출금]]+불리오[[#This Row],[현금수입]]-불리오[[#This Row],[현금지출]]</f>
        <v>-153.13</v>
      </c>
      <c r="S62" s="13">
        <f>SUM($R$2:R62)</f>
        <v>688.90999999999974</v>
      </c>
    </row>
    <row r="63" spans="1:24" x14ac:dyDescent="0.3">
      <c r="A63" s="3">
        <v>45161</v>
      </c>
      <c r="B63" s="87" t="s">
        <v>122</v>
      </c>
      <c r="C63" s="1" t="str">
        <f>VLOOKUP(불리오[[#This Row],[종목코드]],표3[],2,FALSE)</f>
        <v>남아프리카주식</v>
      </c>
      <c r="D63" s="9" t="str">
        <f>VLOOKUP(불리오[[#This Row],[종목코드]],표3[],4,FALSE)</f>
        <v>ISHARES MSCI SOUTH AFRICA FUND</v>
      </c>
      <c r="E63" s="72">
        <v>1</v>
      </c>
      <c r="F63" s="40">
        <v>38.29</v>
      </c>
      <c r="G63" s="41">
        <v>38.36</v>
      </c>
      <c r="H63" s="41">
        <f>불리오[[#This Row],[현금지출]]-불리오[[#This Row],[매입액]]</f>
        <v>7.0000000000000284E-2</v>
      </c>
      <c r="I63" s="44"/>
      <c r="J63" s="40"/>
      <c r="K63" s="40"/>
      <c r="L63" s="42"/>
      <c r="M63" s="40"/>
      <c r="N63" s="42">
        <f>불리오[[#This Row],[매도액]]-불리오[[#This Row],[매도원금]]</f>
        <v>0</v>
      </c>
      <c r="O63" s="42">
        <f>불리오[[#This Row],[매도액]]+불리오[[#This Row],[이자배당액]]-불리오[[#This Row],[현금수입]]</f>
        <v>0</v>
      </c>
      <c r="P63" s="42">
        <f>불리오[[#This Row],[매매수익]]+불리오[[#This Row],[이자배당액]]-불리오[[#This Row],[매도비용]]-불리오[[#This Row],[매입비용]]</f>
        <v>-7.0000000000000284E-2</v>
      </c>
      <c r="Q63" s="43"/>
      <c r="R63" s="44">
        <f>불리오[[#This Row],[입출금]]+불리오[[#This Row],[현금수입]]-불리오[[#This Row],[현금지출]]</f>
        <v>-38.36</v>
      </c>
      <c r="S63" s="13">
        <f>SUM($R$2:R63)</f>
        <v>650.54999999999973</v>
      </c>
    </row>
    <row r="64" spans="1:24" x14ac:dyDescent="0.3">
      <c r="A64" s="3">
        <v>45161</v>
      </c>
      <c r="B64" s="87" t="s">
        <v>117</v>
      </c>
      <c r="C64" s="1" t="str">
        <f>VLOOKUP(불리오[[#This Row],[종목코드]],표3[],2,FALSE)</f>
        <v>브라질주식</v>
      </c>
      <c r="D64" s="9" t="str">
        <f>VLOOKUP(불리오[[#This Row],[종목코드]],표3[],4,FALSE)</f>
        <v>ISHARES INC MSCI Brazil ETF</v>
      </c>
      <c r="E64" s="72">
        <v>4</v>
      </c>
      <c r="F64" s="40">
        <v>120.84</v>
      </c>
      <c r="G64" s="41">
        <v>121.03</v>
      </c>
      <c r="H64" s="41">
        <f>불리오[[#This Row],[현금지출]]-불리오[[#This Row],[매입액]]</f>
        <v>0.18999999999999773</v>
      </c>
      <c r="I64" s="44"/>
      <c r="J64" s="40"/>
      <c r="K64" s="40"/>
      <c r="L64" s="42"/>
      <c r="M64" s="40"/>
      <c r="N64" s="42">
        <f>불리오[[#This Row],[매도액]]-불리오[[#This Row],[매도원금]]</f>
        <v>0</v>
      </c>
      <c r="O64" s="42">
        <f>불리오[[#This Row],[매도액]]+불리오[[#This Row],[이자배당액]]-불리오[[#This Row],[현금수입]]</f>
        <v>0</v>
      </c>
      <c r="P64" s="42">
        <f>불리오[[#This Row],[매매수익]]+불리오[[#This Row],[이자배당액]]-불리오[[#This Row],[매도비용]]-불리오[[#This Row],[매입비용]]</f>
        <v>-0.18999999999999773</v>
      </c>
      <c r="Q64" s="43"/>
      <c r="R64" s="44">
        <f>불리오[[#This Row],[입출금]]+불리오[[#This Row],[현금수입]]-불리오[[#This Row],[현금지출]]</f>
        <v>-121.03</v>
      </c>
      <c r="S64" s="13">
        <f>SUM($R$2:R64)</f>
        <v>529.51999999999975</v>
      </c>
    </row>
    <row r="65" spans="1:19" x14ac:dyDescent="0.3">
      <c r="A65" s="3">
        <v>45161</v>
      </c>
      <c r="B65" s="87" t="s">
        <v>120</v>
      </c>
      <c r="C65" s="1" t="str">
        <f>VLOOKUP(불리오[[#This Row],[종목코드]],표3[],2,FALSE)</f>
        <v>멕시코주식</v>
      </c>
      <c r="D65" s="9" t="str">
        <f>VLOOKUP(불리오[[#This Row],[종목코드]],표3[],4,FALSE)</f>
        <v>ISHARES INC MSCI MEXICO ETF</v>
      </c>
      <c r="E65" s="72">
        <v>1</v>
      </c>
      <c r="F65" s="40">
        <v>61.34</v>
      </c>
      <c r="G65" s="41">
        <v>61.43</v>
      </c>
      <c r="H65" s="41">
        <f>불리오[[#This Row],[현금지출]]-불리오[[#This Row],[매입액]]</f>
        <v>8.9999999999996305E-2</v>
      </c>
      <c r="I65" s="44"/>
      <c r="J65" s="40"/>
      <c r="K65" s="40"/>
      <c r="L65" s="42"/>
      <c r="M65" s="40"/>
      <c r="N65" s="42">
        <f>불리오[[#This Row],[매도액]]-불리오[[#This Row],[매도원금]]</f>
        <v>0</v>
      </c>
      <c r="O65" s="42">
        <f>불리오[[#This Row],[매도액]]+불리오[[#This Row],[이자배당액]]-불리오[[#This Row],[현금수입]]</f>
        <v>0</v>
      </c>
      <c r="P65" s="42">
        <f>불리오[[#This Row],[매매수익]]+불리오[[#This Row],[이자배당액]]-불리오[[#This Row],[매도비용]]-불리오[[#This Row],[매입비용]]</f>
        <v>-8.9999999999996305E-2</v>
      </c>
      <c r="Q65" s="43"/>
      <c r="R65" s="44">
        <f>불리오[[#This Row],[입출금]]+불리오[[#This Row],[현금수입]]-불리오[[#This Row],[현금지출]]</f>
        <v>-61.43</v>
      </c>
      <c r="S65" s="13">
        <f>SUM($R$2:R65)</f>
        <v>468.08999999999975</v>
      </c>
    </row>
    <row r="66" spans="1:19" x14ac:dyDescent="0.3">
      <c r="A66" s="3">
        <v>45161</v>
      </c>
      <c r="B66" s="87" t="s">
        <v>121</v>
      </c>
      <c r="C66" s="1" t="str">
        <f>VLOOKUP(불리오[[#This Row],[종목코드]],표3[],2,FALSE)</f>
        <v>유로존주식</v>
      </c>
      <c r="D66" s="9" t="str">
        <f>VLOOKUP(불리오[[#This Row],[종목코드]],표3[],4,FALSE)</f>
        <v>ISHARES MSCI EUROZONE ETF</v>
      </c>
      <c r="E66" s="72">
        <v>4</v>
      </c>
      <c r="F66" s="40">
        <v>174.48</v>
      </c>
      <c r="G66" s="41">
        <v>174.76</v>
      </c>
      <c r="H66" s="41">
        <f>불리오[[#This Row],[현금지출]]-불리오[[#This Row],[매입액]]</f>
        <v>0.28000000000000114</v>
      </c>
      <c r="I66" s="44"/>
      <c r="J66" s="40"/>
      <c r="K66" s="40"/>
      <c r="L66" s="42"/>
      <c r="M66" s="40"/>
      <c r="N66" s="42">
        <f>불리오[[#This Row],[매도액]]-불리오[[#This Row],[매도원금]]</f>
        <v>0</v>
      </c>
      <c r="O66" s="42">
        <f>불리오[[#This Row],[매도액]]+불리오[[#This Row],[이자배당액]]-불리오[[#This Row],[현금수입]]</f>
        <v>0</v>
      </c>
      <c r="P66" s="42">
        <f>불리오[[#This Row],[매매수익]]+불리오[[#This Row],[이자배당액]]-불리오[[#This Row],[매도비용]]-불리오[[#This Row],[매입비용]]</f>
        <v>-0.28000000000000114</v>
      </c>
      <c r="Q66" s="43"/>
      <c r="R66" s="44">
        <f>불리오[[#This Row],[입출금]]+불리오[[#This Row],[현금수입]]-불리오[[#This Row],[현금지출]]</f>
        <v>-174.76</v>
      </c>
      <c r="S66" s="13">
        <f>SUM($R$2:R66)</f>
        <v>293.32999999999976</v>
      </c>
    </row>
    <row r="67" spans="1:19" x14ac:dyDescent="0.3">
      <c r="A67" s="3">
        <v>45161</v>
      </c>
      <c r="B67" s="87" t="s">
        <v>119</v>
      </c>
      <c r="C67" s="1" t="str">
        <f>VLOOKUP(불리오[[#This Row],[종목코드]],표3[],2,FALSE)</f>
        <v>일본주식</v>
      </c>
      <c r="D67" s="9" t="str">
        <f>VLOOKUP(불리오[[#This Row],[종목코드]],표3[],4,FALSE)</f>
        <v>ISHARES INC MSCI JAPAN ETF NEW(POST REV SPLT)</v>
      </c>
      <c r="E67" s="72">
        <v>4</v>
      </c>
      <c r="F67" s="40">
        <v>236.34</v>
      </c>
      <c r="G67" s="41">
        <v>236.74</v>
      </c>
      <c r="H67" s="41">
        <f>불리오[[#This Row],[현금지출]]-불리오[[#This Row],[매입액]]</f>
        <v>0.40000000000000568</v>
      </c>
      <c r="I67" s="44"/>
      <c r="J67" s="40"/>
      <c r="K67" s="40"/>
      <c r="L67" s="42"/>
      <c r="M67" s="40"/>
      <c r="N67" s="42">
        <f>불리오[[#This Row],[매도액]]-불리오[[#This Row],[매도원금]]</f>
        <v>0</v>
      </c>
      <c r="O67" s="42">
        <f>불리오[[#This Row],[매도액]]+불리오[[#This Row],[이자배당액]]-불리오[[#This Row],[현금수입]]</f>
        <v>0</v>
      </c>
      <c r="P67" s="42">
        <f>불리오[[#This Row],[매매수익]]+불리오[[#This Row],[이자배당액]]-불리오[[#This Row],[매도비용]]-불리오[[#This Row],[매입비용]]</f>
        <v>-0.40000000000000568</v>
      </c>
      <c r="Q67" s="43"/>
      <c r="R67" s="44">
        <f>불리오[[#This Row],[입출금]]+불리오[[#This Row],[현금수입]]-불리오[[#This Row],[현금지출]]</f>
        <v>-236.74</v>
      </c>
      <c r="S67" s="13">
        <f>SUM($R$2:R67)</f>
        <v>56.589999999999748</v>
      </c>
    </row>
    <row r="68" spans="1:19" x14ac:dyDescent="0.3">
      <c r="A68" s="3">
        <v>45176</v>
      </c>
      <c r="B68" s="87" t="s">
        <v>129</v>
      </c>
      <c r="C68" s="1" t="str">
        <f>VLOOKUP(불리오[[#This Row],[종목코드]],표3[],2,FALSE)</f>
        <v>신흥국채권</v>
      </c>
      <c r="D68" s="9" t="str">
        <f>VLOOKUP(불리오[[#This Row],[종목코드]],표3[],4,FALSE)</f>
        <v>VANGUARD EMERGING MARKETS GOVERNMENT BOND ETF</v>
      </c>
      <c r="F68" s="52"/>
      <c r="G68" s="53"/>
      <c r="H68" s="53">
        <f>불리오[[#This Row],[현금지출]]-불리오[[#This Row],[매입액]]</f>
        <v>0</v>
      </c>
      <c r="I68" s="13"/>
      <c r="J68" s="52"/>
      <c r="K68" s="52"/>
      <c r="L68" s="66">
        <v>0.3</v>
      </c>
      <c r="M68" s="52">
        <v>0.26</v>
      </c>
      <c r="N68" s="66">
        <f>불리오[[#This Row],[매도액]]-불리오[[#This Row],[매도원금]]</f>
        <v>0</v>
      </c>
      <c r="O68" s="66">
        <f>불리오[[#This Row],[매도액]]+불리오[[#This Row],[이자배당액]]-불리오[[#This Row],[현금수입]]</f>
        <v>3.999999999999998E-2</v>
      </c>
      <c r="P68" s="66">
        <f>불리오[[#This Row],[매매수익]]+불리오[[#This Row],[이자배당액]]-불리오[[#This Row],[매도비용]]-불리오[[#This Row],[매입비용]]</f>
        <v>0.26</v>
      </c>
      <c r="Q68" s="67"/>
      <c r="R68" s="68">
        <f>불리오[[#This Row],[입출금]]+불리오[[#This Row],[현금수입]]-불리오[[#This Row],[현금지출]]</f>
        <v>0.26</v>
      </c>
      <c r="S68" s="13">
        <f>SUM($R$2:R68)</f>
        <v>56.849999999999746</v>
      </c>
    </row>
    <row r="69" spans="1:19" x14ac:dyDescent="0.3">
      <c r="A69" s="3">
        <v>45177</v>
      </c>
      <c r="B69" s="87" t="s">
        <v>127</v>
      </c>
      <c r="C69" s="1" t="str">
        <f>VLOOKUP(불리오[[#This Row],[종목코드]],표3[],2,FALSE)</f>
        <v>하이일드</v>
      </c>
      <c r="D69" s="9" t="str">
        <f>VLOOKUP(불리오[[#This Row],[종목코드]],표3[],4,FALSE)</f>
        <v>SPDR SERIES TRUST Portfolio High Yield Bond ETF</v>
      </c>
      <c r="F69" s="52"/>
      <c r="G69" s="53"/>
      <c r="H69" s="53">
        <f>불리오[[#This Row],[현금지출]]-불리오[[#This Row],[매입액]]</f>
        <v>0</v>
      </c>
      <c r="I69" s="13"/>
      <c r="J69" s="52"/>
      <c r="K69" s="52"/>
      <c r="L69" s="66">
        <v>0.43</v>
      </c>
      <c r="M69" s="52">
        <v>0.37</v>
      </c>
      <c r="N69" s="66">
        <f>불리오[[#This Row],[매도액]]-불리오[[#This Row],[매도원금]]</f>
        <v>0</v>
      </c>
      <c r="O69" s="66">
        <f>불리오[[#This Row],[매도액]]+불리오[[#This Row],[이자배당액]]-불리오[[#This Row],[현금수입]]</f>
        <v>0.06</v>
      </c>
      <c r="P69" s="66">
        <f>불리오[[#This Row],[매매수익]]+불리오[[#This Row],[이자배당액]]-불리오[[#This Row],[매도비용]]-불리오[[#This Row],[매입비용]]</f>
        <v>0.37</v>
      </c>
      <c r="Q69" s="67"/>
      <c r="R69" s="68">
        <f>불리오[[#This Row],[입출금]]+불리오[[#This Row],[현금수입]]-불리오[[#This Row],[현금지출]]</f>
        <v>0.37</v>
      </c>
      <c r="S69" s="13">
        <f>SUM($R$2:R69)</f>
        <v>57.219999999999743</v>
      </c>
    </row>
    <row r="70" spans="1:19" x14ac:dyDescent="0.3">
      <c r="A70" s="3">
        <v>45177</v>
      </c>
      <c r="B70" s="87" t="s">
        <v>128</v>
      </c>
      <c r="C70" s="1" t="str">
        <f>VLOOKUP(불리오[[#This Row],[종목코드]],표3[],2,FALSE)</f>
        <v>물가연동채</v>
      </c>
      <c r="D70" s="9" t="str">
        <f>VLOOKUP(불리오[[#This Row],[종목코드]],표3[],4,FALSE)</f>
        <v>SPDR SERIES TRUST Portfolio TIPS ETF</v>
      </c>
      <c r="F70" s="52"/>
      <c r="G70" s="53"/>
      <c r="H70" s="53">
        <f>불리오[[#This Row],[현금지출]]-불리오[[#This Row],[매입액]]</f>
        <v>0</v>
      </c>
      <c r="I70" s="13"/>
      <c r="J70" s="52"/>
      <c r="K70" s="52"/>
      <c r="L70" s="66">
        <v>0.71</v>
      </c>
      <c r="M70" s="52">
        <v>0.61</v>
      </c>
      <c r="N70" s="66">
        <f>불리오[[#This Row],[매도액]]-불리오[[#This Row],[매도원금]]</f>
        <v>0</v>
      </c>
      <c r="O70" s="66">
        <f>불리오[[#This Row],[매도액]]+불리오[[#This Row],[이자배당액]]-불리오[[#This Row],[현금수입]]</f>
        <v>9.9999999999999978E-2</v>
      </c>
      <c r="P70" s="66">
        <f>불리오[[#This Row],[매매수익]]+불리오[[#This Row],[이자배당액]]-불리오[[#This Row],[매도비용]]-불리오[[#This Row],[매입비용]]</f>
        <v>0.61</v>
      </c>
      <c r="Q70" s="67"/>
      <c r="R70" s="68">
        <f>불리오[[#This Row],[입출금]]+불리오[[#This Row],[현금수입]]-불리오[[#This Row],[현금지출]]</f>
        <v>0.61</v>
      </c>
      <c r="S70" s="13">
        <f>SUM($R$2:R70)</f>
        <v>57.829999999999742</v>
      </c>
    </row>
    <row r="71" spans="1:19" x14ac:dyDescent="0.3">
      <c r="A71" s="3">
        <v>45177</v>
      </c>
      <c r="B71" s="88" t="s">
        <v>125</v>
      </c>
      <c r="C71" s="1" t="str">
        <f>VLOOKUP(불리오[[#This Row],[종목코드]],표3[],2,FALSE)</f>
        <v>미국장기채</v>
      </c>
      <c r="D71" s="9" t="str">
        <f>VLOOKUP(불리오[[#This Row],[종목코드]],표3[],4,FALSE)</f>
        <v>SPDR LONG TERM TREASURY ETF</v>
      </c>
      <c r="F71" s="52"/>
      <c r="G71" s="53"/>
      <c r="H71" s="53">
        <f>불리오[[#This Row],[현금지출]]-불리오[[#This Row],[매입액]]</f>
        <v>0</v>
      </c>
      <c r="I71" s="13"/>
      <c r="J71" s="52"/>
      <c r="K71" s="52"/>
      <c r="L71" s="66">
        <v>1.1299999999999999</v>
      </c>
      <c r="M71" s="52">
        <v>0.97</v>
      </c>
      <c r="N71" s="66">
        <f>불리오[[#This Row],[매도액]]-불리오[[#This Row],[매도원금]]</f>
        <v>0</v>
      </c>
      <c r="O71" s="66">
        <f>불리오[[#This Row],[매도액]]+불리오[[#This Row],[이자배당액]]-불리오[[#This Row],[현금수입]]</f>
        <v>0.15999999999999992</v>
      </c>
      <c r="P71" s="66">
        <f>불리오[[#This Row],[매매수익]]+불리오[[#This Row],[이자배당액]]-불리오[[#This Row],[매도비용]]-불리오[[#This Row],[매입비용]]</f>
        <v>0.97</v>
      </c>
      <c r="Q71" s="67"/>
      <c r="R71" s="68">
        <f>불리오[[#This Row],[입출금]]+불리오[[#This Row],[현금수입]]-불리오[[#This Row],[현금지출]]</f>
        <v>0.97</v>
      </c>
      <c r="S71" s="13">
        <f>SUM($R$2:R71)</f>
        <v>58.799999999999741</v>
      </c>
    </row>
    <row r="72" spans="1:19" x14ac:dyDescent="0.3">
      <c r="A72" s="3">
        <v>45190</v>
      </c>
      <c r="B72" s="87" t="s">
        <v>119</v>
      </c>
      <c r="C72" s="1" t="str">
        <f>VLOOKUP(불리오[[#This Row],[종목코드]],표3[],2,FALSE)</f>
        <v>일본주식</v>
      </c>
      <c r="D72" s="9" t="str">
        <f>VLOOKUP(불리오[[#This Row],[종목코드]],표3[],4,FALSE)</f>
        <v>ISHARES INC MSCI JAPAN ETF NEW(POST REV SPLT)</v>
      </c>
      <c r="F72" s="52"/>
      <c r="G72" s="53"/>
      <c r="H72" s="53">
        <f>불리오[[#This Row],[현금지출]]-불리오[[#This Row],[매입액]]</f>
        <v>0</v>
      </c>
      <c r="I72" s="13">
        <v>4</v>
      </c>
      <c r="J72" s="52">
        <v>240.22</v>
      </c>
      <c r="K72" s="52">
        <v>251.72</v>
      </c>
      <c r="L72" s="66"/>
      <c r="M72" s="52">
        <v>251.3</v>
      </c>
      <c r="N72" s="66">
        <f>불리오[[#This Row],[매도액]]-불리오[[#This Row],[매도원금]]</f>
        <v>11.5</v>
      </c>
      <c r="O72" s="66">
        <f>불리오[[#This Row],[매도액]]+불리오[[#This Row],[이자배당액]]-불리오[[#This Row],[현금수입]]</f>
        <v>0.41999999999998749</v>
      </c>
      <c r="P72" s="66">
        <f>불리오[[#This Row],[매매수익]]+불리오[[#This Row],[이자배당액]]-불리오[[#This Row],[매도비용]]-불리오[[#This Row],[매입비용]]</f>
        <v>11.080000000000013</v>
      </c>
      <c r="Q72" s="67"/>
      <c r="R72" s="68">
        <f>불리오[[#This Row],[입출금]]+불리오[[#This Row],[현금수입]]-불리오[[#This Row],[현금지출]]</f>
        <v>251.3</v>
      </c>
      <c r="S72" s="13">
        <f>SUM($R$2:R72)</f>
        <v>310.09999999999974</v>
      </c>
    </row>
    <row r="73" spans="1:19" x14ac:dyDescent="0.3">
      <c r="A73" s="3">
        <v>45190</v>
      </c>
      <c r="B73" s="87" t="s">
        <v>120</v>
      </c>
      <c r="C73" s="1" t="str">
        <f>VLOOKUP(불리오[[#This Row],[종목코드]],표3[],2,FALSE)</f>
        <v>멕시코주식</v>
      </c>
      <c r="D73" s="9" t="str">
        <f>VLOOKUP(불리오[[#This Row],[종목코드]],표3[],4,FALSE)</f>
        <v>ISHARES INC MSCI MEXICO ETF</v>
      </c>
      <c r="F73" s="52"/>
      <c r="G73" s="53"/>
      <c r="H73" s="53">
        <f>불리오[[#This Row],[현금지출]]-불리오[[#This Row],[매입액]]</f>
        <v>0</v>
      </c>
      <c r="I73" s="13">
        <v>2</v>
      </c>
      <c r="J73" s="52">
        <v>121.21</v>
      </c>
      <c r="K73" s="52">
        <v>119.44</v>
      </c>
      <c r="L73" s="66"/>
      <c r="M73" s="52">
        <v>119.25</v>
      </c>
      <c r="N73" s="66">
        <f>불리오[[#This Row],[매도액]]-불리오[[#This Row],[매도원금]]</f>
        <v>-1.769999999999996</v>
      </c>
      <c r="O73" s="66">
        <f>불리오[[#This Row],[매도액]]+불리오[[#This Row],[이자배당액]]-불리오[[#This Row],[현금수입]]</f>
        <v>0.18999999999999773</v>
      </c>
      <c r="P73" s="66">
        <f>불리오[[#This Row],[매매수익]]+불리오[[#This Row],[이자배당액]]-불리오[[#This Row],[매도비용]]-불리오[[#This Row],[매입비용]]</f>
        <v>-1.9599999999999937</v>
      </c>
      <c r="Q73" s="67"/>
      <c r="R73" s="68">
        <f>불리오[[#This Row],[입출금]]+불리오[[#This Row],[현금수입]]-불리오[[#This Row],[현금지출]]</f>
        <v>119.25</v>
      </c>
      <c r="S73" s="13">
        <f>SUM($R$2:R73)</f>
        <v>429.34999999999974</v>
      </c>
    </row>
    <row r="74" spans="1:19" x14ac:dyDescent="0.3">
      <c r="A74" s="3">
        <v>45190</v>
      </c>
      <c r="B74" s="87" t="s">
        <v>121</v>
      </c>
      <c r="C74" s="1" t="str">
        <f>VLOOKUP(불리오[[#This Row],[종목코드]],표3[],2,FALSE)</f>
        <v>유로존주식</v>
      </c>
      <c r="D74" s="9" t="str">
        <f>VLOOKUP(불리오[[#This Row],[종목코드]],표3[],4,FALSE)</f>
        <v>ISHARES MSCI EUROZONE ETF</v>
      </c>
      <c r="F74" s="52"/>
      <c r="G74" s="53"/>
      <c r="H74" s="53">
        <f>불리오[[#This Row],[현금지출]]-불리오[[#This Row],[매입액]]</f>
        <v>0</v>
      </c>
      <c r="I74" s="13">
        <v>8</v>
      </c>
      <c r="J74" s="52">
        <v>351.56</v>
      </c>
      <c r="K74" s="52">
        <v>348.08</v>
      </c>
      <c r="L74" s="66"/>
      <c r="M74" s="52">
        <v>347.5</v>
      </c>
      <c r="N74" s="66">
        <f>불리오[[#This Row],[매도액]]-불리오[[#This Row],[매도원금]]</f>
        <v>-3.4800000000000182</v>
      </c>
      <c r="O74" s="66">
        <f>불리오[[#This Row],[매도액]]+불리오[[#This Row],[이자배당액]]-불리오[[#This Row],[현금수입]]</f>
        <v>0.57999999999998408</v>
      </c>
      <c r="P74" s="66">
        <f>불리오[[#This Row],[매매수익]]+불리오[[#This Row],[이자배당액]]-불리오[[#This Row],[매도비용]]-불리오[[#This Row],[매입비용]]</f>
        <v>-4.0600000000000023</v>
      </c>
      <c r="Q74" s="67"/>
      <c r="R74" s="68">
        <f>불리오[[#This Row],[입출금]]+불리오[[#This Row],[현금수입]]-불리오[[#This Row],[현금지출]]</f>
        <v>347.5</v>
      </c>
      <c r="S74" s="13">
        <f>SUM($R$2:R74)</f>
        <v>776.84999999999968</v>
      </c>
    </row>
    <row r="75" spans="1:19" x14ac:dyDescent="0.3">
      <c r="A75" s="3">
        <v>45190</v>
      </c>
      <c r="B75" s="87" t="s">
        <v>126</v>
      </c>
      <c r="C75" s="1" t="str">
        <f>VLOOKUP(불리오[[#This Row],[종목코드]],표3[],2,FALSE)</f>
        <v>미국주식</v>
      </c>
      <c r="D75" s="9" t="str">
        <f>VLOOKUP(불리오[[#This Row],[종목코드]],표3[],4,FALSE)</f>
        <v>SPDR PORTFOLIO S&amp;P 500 ETF</v>
      </c>
      <c r="F75" s="52"/>
      <c r="G75" s="53"/>
      <c r="H75" s="53">
        <f>불리오[[#This Row],[현금지출]]-불리오[[#This Row],[매입액]]</f>
        <v>0</v>
      </c>
      <c r="I75" s="13"/>
      <c r="J75" s="52"/>
      <c r="K75" s="52"/>
      <c r="L75" s="66">
        <v>1.39</v>
      </c>
      <c r="M75" s="52">
        <v>1.18</v>
      </c>
      <c r="N75" s="66">
        <f>불리오[[#This Row],[매도액]]-불리오[[#This Row],[매도원금]]</f>
        <v>0</v>
      </c>
      <c r="O75" s="66">
        <f>불리오[[#This Row],[매도액]]+불리오[[#This Row],[이자배당액]]-불리오[[#This Row],[현금수입]]</f>
        <v>0.20999999999999996</v>
      </c>
      <c r="P75" s="66">
        <f>불리오[[#This Row],[매매수익]]+불리오[[#This Row],[이자배당액]]-불리오[[#This Row],[매도비용]]-불리오[[#This Row],[매입비용]]</f>
        <v>1.18</v>
      </c>
      <c r="Q75" s="67"/>
      <c r="R75" s="68">
        <f>불리오[[#This Row],[입출금]]+불리오[[#This Row],[현금수입]]-불리오[[#This Row],[현금지출]]</f>
        <v>1.18</v>
      </c>
      <c r="S75" s="13">
        <f>SUM($R$2:R75)</f>
        <v>778.02999999999963</v>
      </c>
    </row>
    <row r="76" spans="1:19" x14ac:dyDescent="0.3">
      <c r="A76" s="3">
        <v>45191</v>
      </c>
      <c r="B76" s="87" t="s">
        <v>116</v>
      </c>
      <c r="C76" s="1" t="str">
        <f>VLOOKUP(불리오[[#This Row],[종목코드]],표3[],2,FALSE)</f>
        <v>중국주식</v>
      </c>
      <c r="D76" s="9" t="str">
        <f>VLOOKUP(불리오[[#This Row],[종목코드]],표3[],4,FALSE)</f>
        <v>ISHARES CHINA LARGE-CAP ETF</v>
      </c>
      <c r="E76" s="74">
        <v>1</v>
      </c>
      <c r="F76" s="52">
        <v>27.02</v>
      </c>
      <c r="G76" s="52">
        <v>27.06</v>
      </c>
      <c r="H76" s="53">
        <f>불리오[[#This Row],[현금지출]]-불리오[[#This Row],[매입액]]</f>
        <v>3.9999999999999147E-2</v>
      </c>
      <c r="I76" s="13"/>
      <c r="J76" s="52"/>
      <c r="K76" s="52"/>
      <c r="L76" s="66"/>
      <c r="M76" s="52"/>
      <c r="N76" s="66">
        <f>불리오[[#This Row],[매도액]]-불리오[[#This Row],[매도원금]]</f>
        <v>0</v>
      </c>
      <c r="O76" s="66">
        <f>불리오[[#This Row],[매도액]]+불리오[[#This Row],[이자배당액]]-불리오[[#This Row],[현금수입]]</f>
        <v>0</v>
      </c>
      <c r="P76" s="66">
        <f>불리오[[#This Row],[매매수익]]+불리오[[#This Row],[이자배당액]]-불리오[[#This Row],[매도비용]]-불리오[[#This Row],[매입비용]]</f>
        <v>-3.9999999999999147E-2</v>
      </c>
      <c r="Q76" s="67"/>
      <c r="R76" s="68">
        <f>불리오[[#This Row],[입출금]]+불리오[[#This Row],[현금수입]]-불리오[[#This Row],[현금지출]]</f>
        <v>-27.06</v>
      </c>
      <c r="S76" s="13">
        <f>SUM($R$2:R76)</f>
        <v>750.96999999999969</v>
      </c>
    </row>
    <row r="77" spans="1:19" x14ac:dyDescent="0.3">
      <c r="A77" s="3">
        <v>45191</v>
      </c>
      <c r="B77" s="87" t="s">
        <v>131</v>
      </c>
      <c r="C77" s="1" t="str">
        <f>VLOOKUP(불리오[[#This Row],[종목코드]],표3[],2,FALSE)</f>
        <v>독일주식</v>
      </c>
      <c r="D77" s="9" t="str">
        <f>VLOOKUP(불리오[[#This Row],[종목코드]],표3[],4,FALSE)</f>
        <v>ISHARES INC MSCI GERMANY ETF</v>
      </c>
      <c r="E77" s="74">
        <v>4</v>
      </c>
      <c r="F77" s="52">
        <v>108.32</v>
      </c>
      <c r="G77" s="52">
        <v>108.49</v>
      </c>
      <c r="H77" s="53">
        <f>불리오[[#This Row],[현금지출]]-불리오[[#This Row],[매입액]]</f>
        <v>0.17000000000000171</v>
      </c>
      <c r="I77" s="13"/>
      <c r="J77" s="52"/>
      <c r="K77" s="52"/>
      <c r="L77" s="66"/>
      <c r="M77" s="52"/>
      <c r="N77" s="66">
        <f>불리오[[#This Row],[매도액]]-불리오[[#This Row],[매도원금]]</f>
        <v>0</v>
      </c>
      <c r="O77" s="66">
        <f>불리오[[#This Row],[매도액]]+불리오[[#This Row],[이자배당액]]-불리오[[#This Row],[현금수입]]</f>
        <v>0</v>
      </c>
      <c r="P77" s="66">
        <f>불리오[[#This Row],[매매수익]]+불리오[[#This Row],[이자배당액]]-불리오[[#This Row],[매도비용]]-불리오[[#This Row],[매입비용]]</f>
        <v>-0.17000000000000171</v>
      </c>
      <c r="Q77" s="67"/>
      <c r="R77" s="68">
        <f>불리오[[#This Row],[입출금]]+불리오[[#This Row],[현금수입]]-불리오[[#This Row],[현금지출]]</f>
        <v>-108.49</v>
      </c>
      <c r="S77" s="13">
        <f>SUM($R$2:R77)</f>
        <v>642.47999999999968</v>
      </c>
    </row>
    <row r="78" spans="1:19" x14ac:dyDescent="0.3">
      <c r="A78" s="3">
        <v>45191</v>
      </c>
      <c r="B78" s="87" t="s">
        <v>141</v>
      </c>
      <c r="C78" s="1" t="str">
        <f>VLOOKUP(불리오[[#This Row],[종목코드]],표3[],2,FALSE)</f>
        <v>에너지섹터</v>
      </c>
      <c r="D78" s="9" t="str">
        <f>VLOOKUP(불리오[[#This Row],[종목코드]],표3[],4,FALSE)</f>
        <v>Energy Select Sector SPDR</v>
      </c>
      <c r="E78" s="74">
        <v>4</v>
      </c>
      <c r="F78" s="52">
        <v>371.64</v>
      </c>
      <c r="G78" s="52">
        <v>372.26</v>
      </c>
      <c r="H78" s="53">
        <f>불리오[[#This Row],[현금지출]]-불리오[[#This Row],[매입액]]</f>
        <v>0.62000000000000455</v>
      </c>
      <c r="I78" s="13"/>
      <c r="J78" s="52"/>
      <c r="K78" s="52"/>
      <c r="L78" s="66"/>
      <c r="M78" s="52"/>
      <c r="N78" s="66">
        <f>불리오[[#This Row],[매도액]]-불리오[[#This Row],[매도원금]]</f>
        <v>0</v>
      </c>
      <c r="O78" s="66">
        <f>불리오[[#This Row],[매도액]]+불리오[[#This Row],[이자배당액]]-불리오[[#This Row],[현금수입]]</f>
        <v>0</v>
      </c>
      <c r="P78" s="66">
        <f>불리오[[#This Row],[매매수익]]+불리오[[#This Row],[이자배당액]]-불리오[[#This Row],[매도비용]]-불리오[[#This Row],[매입비용]]</f>
        <v>-0.62000000000000455</v>
      </c>
      <c r="Q78" s="67"/>
      <c r="R78" s="67">
        <f>불리오[[#This Row],[입출금]]+불리오[[#This Row],[현금수입]]-불리오[[#This Row],[현금지출]]</f>
        <v>-372.26</v>
      </c>
      <c r="S78" s="13">
        <f>SUM($R$2:R78)</f>
        <v>270.21999999999969</v>
      </c>
    </row>
    <row r="79" spans="1:19" x14ac:dyDescent="0.3">
      <c r="A79" s="3">
        <v>45191</v>
      </c>
      <c r="B79" s="87" t="s">
        <v>142</v>
      </c>
      <c r="C79" s="1" t="str">
        <f>VLOOKUP(불리오[[#This Row],[종목코드]],표3[],2,FALSE)</f>
        <v>미국국채</v>
      </c>
      <c r="D79" s="9" t="str">
        <f>VLOOKUP(불리오[[#This Row],[종목코드]],표3[],4,FALSE)</f>
        <v>ISHARES U.S. Treasury Bond ETF</v>
      </c>
      <c r="E79" s="74">
        <v>5</v>
      </c>
      <c r="F79" s="52">
        <v>111.45</v>
      </c>
      <c r="G79" s="52">
        <v>111.63</v>
      </c>
      <c r="H79" s="53">
        <f>불리오[[#This Row],[현금지출]]-불리오[[#This Row],[매입액]]</f>
        <v>0.17999999999999261</v>
      </c>
      <c r="I79" s="13"/>
      <c r="J79" s="52"/>
      <c r="K79" s="52"/>
      <c r="L79" s="66"/>
      <c r="M79" s="52"/>
      <c r="N79" s="66">
        <f>불리오[[#This Row],[매도액]]-불리오[[#This Row],[매도원금]]</f>
        <v>0</v>
      </c>
      <c r="O79" s="66">
        <f>불리오[[#This Row],[매도액]]+불리오[[#This Row],[이자배당액]]-불리오[[#This Row],[현금수입]]</f>
        <v>0</v>
      </c>
      <c r="P79" s="66">
        <f>불리오[[#This Row],[매매수익]]+불리오[[#This Row],[이자배당액]]-불리오[[#This Row],[매도비용]]-불리오[[#This Row],[매입비용]]</f>
        <v>-0.17999999999999261</v>
      </c>
      <c r="Q79" s="67"/>
      <c r="R79" s="67">
        <f>불리오[[#This Row],[입출금]]+불리오[[#This Row],[현금수입]]-불리오[[#This Row],[현금지출]]</f>
        <v>-111.63</v>
      </c>
      <c r="S79" s="13">
        <f>SUM($R$2:R79)</f>
        <v>158.58999999999969</v>
      </c>
    </row>
    <row r="80" spans="1:19" x14ac:dyDescent="0.3">
      <c r="A80" s="3">
        <v>45191</v>
      </c>
      <c r="B80" s="87" t="s">
        <v>128</v>
      </c>
      <c r="C80" s="1" t="str">
        <f>VLOOKUP(불리오[[#This Row],[종목코드]],표3[],2,FALSE)</f>
        <v>물가연동채</v>
      </c>
      <c r="D80" s="9" t="str">
        <f>VLOOKUP(불리오[[#This Row],[종목코드]],표3[],4,FALSE)</f>
        <v>SPDR SERIES TRUST Portfolio TIPS ETF</v>
      </c>
      <c r="E80" s="74">
        <v>5</v>
      </c>
      <c r="F80" s="52">
        <v>126.1</v>
      </c>
      <c r="G80" s="52">
        <v>126.31</v>
      </c>
      <c r="H80" s="53">
        <f>불리오[[#This Row],[현금지출]]-불리오[[#This Row],[매입액]]</f>
        <v>0.21000000000000796</v>
      </c>
      <c r="I80" s="13"/>
      <c r="J80" s="52"/>
      <c r="K80" s="52"/>
      <c r="L80" s="66"/>
      <c r="M80" s="52"/>
      <c r="N80" s="66">
        <f>불리오[[#This Row],[매도액]]-불리오[[#This Row],[매도원금]]</f>
        <v>0</v>
      </c>
      <c r="O80" s="66">
        <f>불리오[[#This Row],[매도액]]+불리오[[#This Row],[이자배당액]]-불리오[[#This Row],[현금수입]]</f>
        <v>0</v>
      </c>
      <c r="P80" s="66">
        <f>불리오[[#This Row],[매매수익]]+불리오[[#This Row],[이자배당액]]-불리오[[#This Row],[매도비용]]-불리오[[#This Row],[매입비용]]</f>
        <v>-0.21000000000000796</v>
      </c>
      <c r="Q80" s="67"/>
      <c r="R80" s="67">
        <f>불리오[[#This Row],[입출금]]+불리오[[#This Row],[현금수입]]-불리오[[#This Row],[현금지출]]</f>
        <v>-126.31</v>
      </c>
      <c r="S80" s="13">
        <f>SUM($R$2:R80)</f>
        <v>32.279999999999688</v>
      </c>
    </row>
    <row r="81" spans="1:19" x14ac:dyDescent="0.3">
      <c r="A81" s="3">
        <v>45204</v>
      </c>
      <c r="B81" s="87" t="s">
        <v>129</v>
      </c>
      <c r="C81" s="1" t="str">
        <f>VLOOKUP(불리오[[#This Row],[종목코드]],표3[],2,FALSE)</f>
        <v>신흥국채권</v>
      </c>
      <c r="D81" s="9" t="str">
        <f>VLOOKUP(불리오[[#This Row],[종목코드]],표3[],4,FALSE)</f>
        <v>VANGUARD EMERGING MARKETS GOVERNMENT BOND ETF</v>
      </c>
      <c r="E81" s="74"/>
      <c r="F81" s="52"/>
      <c r="G81" s="52"/>
      <c r="H81" s="53">
        <f>불리오[[#This Row],[현금지출]]-불리오[[#This Row],[매입액]]</f>
        <v>0</v>
      </c>
      <c r="I81" s="13"/>
      <c r="J81" s="52"/>
      <c r="K81" s="52"/>
      <c r="L81" s="66">
        <v>0.3</v>
      </c>
      <c r="M81" s="52">
        <v>0.26</v>
      </c>
      <c r="N81" s="66">
        <f>불리오[[#This Row],[매도액]]-불리오[[#This Row],[매도원금]]</f>
        <v>0</v>
      </c>
      <c r="O81" s="66">
        <f>불리오[[#This Row],[매도액]]+불리오[[#This Row],[이자배당액]]-불리오[[#This Row],[현금수입]]</f>
        <v>3.999999999999998E-2</v>
      </c>
      <c r="P81" s="66">
        <f>불리오[[#This Row],[매매수익]]+불리오[[#This Row],[이자배당액]]-불리오[[#This Row],[매도비용]]-불리오[[#This Row],[매입비용]]</f>
        <v>0.26</v>
      </c>
      <c r="Q81" s="67"/>
      <c r="R81" s="67">
        <f>불리오[[#This Row],[입출금]]+불리오[[#This Row],[현금수입]]-불리오[[#This Row],[현금지출]]</f>
        <v>0.26</v>
      </c>
      <c r="S81" s="13">
        <f>SUM($R$2:R81)</f>
        <v>32.539999999999687</v>
      </c>
    </row>
    <row r="82" spans="1:19" x14ac:dyDescent="0.3">
      <c r="A82" s="3">
        <v>45205</v>
      </c>
      <c r="B82" s="87" t="s">
        <v>127</v>
      </c>
      <c r="C82" s="1" t="str">
        <f>VLOOKUP(불리오[[#This Row],[종목코드]],표3[],2,FALSE)</f>
        <v>하이일드</v>
      </c>
      <c r="D82" s="9" t="str">
        <f>VLOOKUP(불리오[[#This Row],[종목코드]],표3[],4,FALSE)</f>
        <v>SPDR SERIES TRUST Portfolio High Yield Bond ETF</v>
      </c>
      <c r="F82" s="52"/>
      <c r="G82" s="53"/>
      <c r="H82" s="53">
        <f>불리오[[#This Row],[현금지출]]-불리오[[#This Row],[매입액]]</f>
        <v>0</v>
      </c>
      <c r="I82" s="13"/>
      <c r="J82" s="52"/>
      <c r="K82" s="52"/>
      <c r="L82" s="66">
        <v>0.46</v>
      </c>
      <c r="M82" s="52">
        <v>0.4</v>
      </c>
      <c r="N82" s="66">
        <f>불리오[[#This Row],[매도액]]-불리오[[#This Row],[매도원금]]</f>
        <v>0</v>
      </c>
      <c r="O82" s="66">
        <f>불리오[[#This Row],[매도액]]+불리오[[#This Row],[이자배당액]]-불리오[[#This Row],[현금수입]]</f>
        <v>0.06</v>
      </c>
      <c r="P82" s="66">
        <f>불리오[[#This Row],[매매수익]]+불리오[[#This Row],[이자배당액]]-불리오[[#This Row],[매도비용]]-불리오[[#This Row],[매입비용]]</f>
        <v>0.4</v>
      </c>
      <c r="Q82" s="67"/>
      <c r="R82" s="67">
        <f>불리오[[#This Row],[입출금]]+불리오[[#This Row],[현금수입]]-불리오[[#This Row],[현금지출]]</f>
        <v>0.4</v>
      </c>
      <c r="S82" s="13">
        <f>SUM($R$2:R82)</f>
        <v>32.939999999999685</v>
      </c>
    </row>
    <row r="83" spans="1:19" x14ac:dyDescent="0.3">
      <c r="A83" s="3">
        <v>45205</v>
      </c>
      <c r="B83" s="87" t="s">
        <v>128</v>
      </c>
      <c r="C83" s="1" t="str">
        <f>VLOOKUP(불리오[[#This Row],[종목코드]],표3[],2,FALSE)</f>
        <v>물가연동채</v>
      </c>
      <c r="D83" s="9" t="str">
        <f>VLOOKUP(불리오[[#This Row],[종목코드]],표3[],4,FALSE)</f>
        <v>SPDR SERIES TRUST Portfolio TIPS ETF</v>
      </c>
      <c r="F83" s="52"/>
      <c r="G83" s="53"/>
      <c r="H83" s="53">
        <f>불리오[[#This Row],[현금지출]]-불리오[[#This Row],[매입액]]</f>
        <v>0</v>
      </c>
      <c r="I83" s="13"/>
      <c r="J83" s="52"/>
      <c r="K83" s="52"/>
      <c r="L83" s="66">
        <v>0.63</v>
      </c>
      <c r="M83" s="52">
        <v>0.54</v>
      </c>
      <c r="N83" s="66">
        <f>불리오[[#This Row],[매도액]]-불리오[[#This Row],[매도원금]]</f>
        <v>0</v>
      </c>
      <c r="O83" s="66">
        <f>불리오[[#This Row],[매도액]]+불리오[[#This Row],[이자배당액]]-불리오[[#This Row],[현금수입]]</f>
        <v>8.9999999999999969E-2</v>
      </c>
      <c r="P83" s="66">
        <f>불리오[[#This Row],[매매수익]]+불리오[[#This Row],[이자배당액]]-불리오[[#This Row],[매도비용]]-불리오[[#This Row],[매입비용]]</f>
        <v>0.54</v>
      </c>
      <c r="Q83" s="67"/>
      <c r="R83" s="67">
        <f>불리오[[#This Row],[입출금]]+불리오[[#This Row],[현금수입]]-불리오[[#This Row],[현금지출]]</f>
        <v>0.54</v>
      </c>
      <c r="S83" s="13">
        <f>SUM($R$2:R83)</f>
        <v>33.479999999999684</v>
      </c>
    </row>
    <row r="84" spans="1:19" x14ac:dyDescent="0.3">
      <c r="A84" s="3">
        <v>45205</v>
      </c>
      <c r="B84" s="87" t="s">
        <v>125</v>
      </c>
      <c r="C84" s="1" t="str">
        <f>VLOOKUP(불리오[[#This Row],[종목코드]],표3[],2,FALSE)</f>
        <v>미국장기채</v>
      </c>
      <c r="D84" s="9" t="str">
        <f>VLOOKUP(불리오[[#This Row],[종목코드]],표3[],4,FALSE)</f>
        <v>SPDR LONG TERM TREASURY ETF</v>
      </c>
      <c r="E84" s="75"/>
      <c r="F84" s="52"/>
      <c r="G84" s="53"/>
      <c r="H84" s="53">
        <f>불리오[[#This Row],[현금지출]]-불리오[[#This Row],[매입액]]</f>
        <v>0</v>
      </c>
      <c r="I84" s="13"/>
      <c r="J84" s="52"/>
      <c r="K84" s="52"/>
      <c r="L84" s="66">
        <v>1.1100000000000001</v>
      </c>
      <c r="M84" s="52">
        <v>0.95</v>
      </c>
      <c r="N84" s="66">
        <f>불리오[[#This Row],[매도액]]-불리오[[#This Row],[매도원금]]</f>
        <v>0</v>
      </c>
      <c r="O84" s="66">
        <f>불리오[[#This Row],[매도액]]+불리오[[#This Row],[이자배당액]]-불리오[[#This Row],[현금수입]]</f>
        <v>0.16000000000000014</v>
      </c>
      <c r="P84" s="66">
        <f>불리오[[#This Row],[매매수익]]+불리오[[#This Row],[이자배당액]]-불리오[[#This Row],[매도비용]]-불리오[[#This Row],[매입비용]]</f>
        <v>0.95</v>
      </c>
      <c r="Q84" s="67"/>
      <c r="R84" s="67">
        <f>불리오[[#This Row],[입출금]]+불리오[[#This Row],[현금수입]]-불리오[[#This Row],[현금지출]]</f>
        <v>0.95</v>
      </c>
      <c r="S84" s="13">
        <f>SUM($R$2:R84)</f>
        <v>34.429999999999687</v>
      </c>
    </row>
    <row r="85" spans="1:19" x14ac:dyDescent="0.3">
      <c r="A85" s="3">
        <v>45209</v>
      </c>
      <c r="B85" s="87" t="s">
        <v>142</v>
      </c>
      <c r="C85" s="1" t="str">
        <f>VLOOKUP(불리오[[#This Row],[종목코드]],표3[],2,FALSE)</f>
        <v>미국국채</v>
      </c>
      <c r="D85" s="9" t="str">
        <f>VLOOKUP(불리오[[#This Row],[종목코드]],표3[],4,FALSE)</f>
        <v>ISHARES U.S. Treasury Bond ETF</v>
      </c>
      <c r="E85" s="75"/>
      <c r="F85" s="52"/>
      <c r="G85" s="53"/>
      <c r="H85" s="53">
        <f>불리오[[#This Row],[현금지출]]-불리오[[#This Row],[매입액]]</f>
        <v>0</v>
      </c>
      <c r="I85" s="13"/>
      <c r="J85" s="52"/>
      <c r="K85" s="52"/>
      <c r="L85" s="66">
        <v>0.24</v>
      </c>
      <c r="M85" s="52">
        <v>0.24</v>
      </c>
      <c r="N85" s="66">
        <f>불리오[[#This Row],[매도액]]-불리오[[#This Row],[매도원금]]</f>
        <v>0</v>
      </c>
      <c r="O85" s="66">
        <f>불리오[[#This Row],[매도액]]+불리오[[#This Row],[이자배당액]]-불리오[[#This Row],[현금수입]]</f>
        <v>0</v>
      </c>
      <c r="P85" s="66">
        <f>불리오[[#This Row],[매매수익]]+불리오[[#This Row],[이자배당액]]-불리오[[#This Row],[매도비용]]-불리오[[#This Row],[매입비용]]</f>
        <v>0.24</v>
      </c>
      <c r="Q85" s="67"/>
      <c r="R85" s="67">
        <f>불리오[[#This Row],[입출금]]+불리오[[#This Row],[현금수입]]-불리오[[#This Row],[현금지출]]</f>
        <v>0.24</v>
      </c>
      <c r="S85" s="13">
        <f>SUM($R$2:R85)</f>
        <v>34.669999999999689</v>
      </c>
    </row>
    <row r="86" spans="1:19" x14ac:dyDescent="0.3">
      <c r="A86" s="3">
        <v>45222</v>
      </c>
      <c r="B86" s="87" t="s">
        <v>117</v>
      </c>
      <c r="C86" s="1" t="str">
        <f>VLOOKUP(불리오[[#This Row],[종목코드]],표3[],2,FALSE)</f>
        <v>브라질주식</v>
      </c>
      <c r="D86" s="9" t="str">
        <f>VLOOKUP(불리오[[#This Row],[종목코드]],표3[],4,FALSE)</f>
        <v>ISHARES INC MSCI Brazil ETF</v>
      </c>
      <c r="E86" s="75"/>
      <c r="F86" s="52"/>
      <c r="G86" s="53"/>
      <c r="H86" s="53">
        <f>불리오[[#This Row],[현금지출]]-불리오[[#This Row],[매입액]]</f>
        <v>0</v>
      </c>
      <c r="I86" s="13">
        <v>4</v>
      </c>
      <c r="J86" s="52">
        <v>120.84</v>
      </c>
      <c r="K86" s="52">
        <v>121.76</v>
      </c>
      <c r="L86" s="66"/>
      <c r="M86" s="52">
        <v>121.56</v>
      </c>
      <c r="N86" s="66">
        <f>불리오[[#This Row],[매도액]]-불리오[[#This Row],[매도원금]]</f>
        <v>0.92000000000000171</v>
      </c>
      <c r="O86" s="66">
        <f>불리오[[#This Row],[매도액]]+불리오[[#This Row],[이자배당액]]-불리오[[#This Row],[현금수입]]</f>
        <v>0.20000000000000284</v>
      </c>
      <c r="P86" s="66">
        <f>불리오[[#This Row],[매매수익]]+불리오[[#This Row],[이자배당액]]-불리오[[#This Row],[매도비용]]-불리오[[#This Row],[매입비용]]</f>
        <v>0.71999999999999886</v>
      </c>
      <c r="Q86" s="67"/>
      <c r="R86" s="68">
        <f>불리오[[#This Row],[입출금]]+불리오[[#This Row],[현금수입]]-불리오[[#This Row],[현금지출]]</f>
        <v>121.56</v>
      </c>
      <c r="S86" s="13">
        <f>SUM($R$2:R86)</f>
        <v>156.22999999999968</v>
      </c>
    </row>
    <row r="87" spans="1:19" x14ac:dyDescent="0.3">
      <c r="A87" s="3">
        <v>45223</v>
      </c>
      <c r="B87" s="87" t="s">
        <v>157</v>
      </c>
      <c r="C87" s="1" t="str">
        <f>VLOOKUP(불리오[[#This Row],[종목코드]],표3[],2,FALSE)</f>
        <v>캐나다주식</v>
      </c>
      <c r="D87" s="9" t="str">
        <f>VLOOKUP(불리오[[#This Row],[종목코드]],표3[],4,FALSE)</f>
        <v>ISHARES MSCI CANADA FUND</v>
      </c>
      <c r="E87" s="75">
        <v>3</v>
      </c>
      <c r="F87" s="52">
        <v>99</v>
      </c>
      <c r="G87" s="53">
        <v>99.15</v>
      </c>
      <c r="H87" s="53">
        <f>불리오[[#This Row],[현금지출]]-불리오[[#This Row],[매입액]]</f>
        <v>0.15000000000000568</v>
      </c>
      <c r="I87" s="13"/>
      <c r="J87" s="52"/>
      <c r="K87" s="52"/>
      <c r="L87" s="66"/>
      <c r="M87" s="52"/>
      <c r="N87" s="66">
        <f>불리오[[#This Row],[매도액]]-불리오[[#This Row],[매도원금]]</f>
        <v>0</v>
      </c>
      <c r="O87" s="66">
        <f>불리오[[#This Row],[매도액]]+불리오[[#This Row],[이자배당액]]-불리오[[#This Row],[현금수입]]</f>
        <v>0</v>
      </c>
      <c r="P87" s="66">
        <f>불리오[[#This Row],[매매수익]]+불리오[[#This Row],[이자배당액]]-불리오[[#This Row],[매도비용]]-불리오[[#This Row],[매입비용]]</f>
        <v>-0.15000000000000568</v>
      </c>
      <c r="Q87" s="67"/>
      <c r="R87" s="68">
        <f>불리오[[#This Row],[입출금]]+불리오[[#This Row],[현금수입]]-불리오[[#This Row],[현금지출]]</f>
        <v>-99.15</v>
      </c>
      <c r="S87" s="13">
        <f>SUM($R$2:R87)</f>
        <v>57.079999999999671</v>
      </c>
    </row>
    <row r="88" spans="1:19" x14ac:dyDescent="0.3">
      <c r="A88" s="3">
        <v>45223</v>
      </c>
      <c r="B88" s="87" t="s">
        <v>125</v>
      </c>
      <c r="C88" s="1" t="str">
        <f>VLOOKUP(불리오[[#This Row],[종목코드]],표3[],2,FALSE)</f>
        <v>미국장기채</v>
      </c>
      <c r="D88" s="9" t="str">
        <f>VLOOKUP(불리오[[#This Row],[종목코드]],표3[],4,FALSE)</f>
        <v>SPDR LONG TERM TREASURY ETF</v>
      </c>
      <c r="E88" s="75">
        <v>1</v>
      </c>
      <c r="F88" s="52">
        <v>24.83</v>
      </c>
      <c r="G88" s="53">
        <v>24.85</v>
      </c>
      <c r="H88" s="53">
        <f>불리오[[#This Row],[현금지출]]-불리오[[#This Row],[매입액]]</f>
        <v>2.0000000000003126E-2</v>
      </c>
      <c r="I88" s="13"/>
      <c r="J88" s="52"/>
      <c r="K88" s="52"/>
      <c r="L88" s="66"/>
      <c r="M88" s="52"/>
      <c r="N88" s="66">
        <f>불리오[[#This Row],[매도액]]-불리오[[#This Row],[매도원금]]</f>
        <v>0</v>
      </c>
      <c r="O88" s="66">
        <f>불리오[[#This Row],[매도액]]+불리오[[#This Row],[이자배당액]]-불리오[[#This Row],[현금수입]]</f>
        <v>0</v>
      </c>
      <c r="P88" s="66">
        <f>불리오[[#This Row],[매매수익]]+불리오[[#This Row],[이자배당액]]-불리오[[#This Row],[매도비용]]-불리오[[#This Row],[매입비용]]</f>
        <v>-2.0000000000003126E-2</v>
      </c>
      <c r="Q88" s="67"/>
      <c r="R88" s="68">
        <f>불리오[[#This Row],[입출금]]+불리오[[#This Row],[현금수입]]-불리오[[#This Row],[현금지출]]</f>
        <v>-24.85</v>
      </c>
      <c r="S88" s="13">
        <f>SUM($R$2:R88)</f>
        <v>32.22999999999967</v>
      </c>
    </row>
    <row r="89" spans="1:19" x14ac:dyDescent="0.3">
      <c r="A89" s="3">
        <v>45236</v>
      </c>
      <c r="B89" t="s">
        <v>129</v>
      </c>
      <c r="C89" s="1" t="str">
        <f>VLOOKUP(불리오[[#This Row],[종목코드]],표3[],2,FALSE)</f>
        <v>신흥국채권</v>
      </c>
      <c r="D89" s="9" t="str">
        <f>VLOOKUP(불리오[[#This Row],[종목코드]],표3[],4,FALSE)</f>
        <v>VANGUARD EMERGING MARKETS GOVERNMENT BOND ETF</v>
      </c>
      <c r="G89" s="8"/>
      <c r="H89" s="8">
        <f>불리오[[#This Row],[현금지출]]-불리오[[#This Row],[매입액]]</f>
        <v>0</v>
      </c>
      <c r="I89" s="13"/>
      <c r="J89" s="7"/>
      <c r="K89" s="7"/>
      <c r="L89" s="11">
        <v>0.3</v>
      </c>
      <c r="M89" s="7">
        <v>0.26</v>
      </c>
      <c r="N89" s="11">
        <f>불리오[[#This Row],[매도액]]-불리오[[#This Row],[매도원금]]</f>
        <v>0</v>
      </c>
      <c r="O89" s="11">
        <f>불리오[[#This Row],[매도액]]+불리오[[#This Row],[이자배당액]]-불리오[[#This Row],[현금수입]]</f>
        <v>3.999999999999998E-2</v>
      </c>
      <c r="P89" s="11">
        <f>불리오[[#This Row],[매매수익]]+불리오[[#This Row],[이자배당액]]-불리오[[#This Row],[매도비용]]-불리오[[#This Row],[매입비용]]</f>
        <v>0.26</v>
      </c>
      <c r="Q89" s="12"/>
      <c r="R89" s="13">
        <f>불리오[[#This Row],[입출금]]+불리오[[#This Row],[현금수입]]-불리오[[#This Row],[현금지출]]</f>
        <v>0.26</v>
      </c>
      <c r="S89" s="13">
        <f>SUM($R$2:R89)</f>
        <v>32.489999999999668</v>
      </c>
    </row>
    <row r="90" spans="1:19" x14ac:dyDescent="0.3">
      <c r="A90" s="3">
        <v>45237</v>
      </c>
      <c r="B90" s="5" t="s">
        <v>142</v>
      </c>
      <c r="C90" s="1" t="str">
        <f>VLOOKUP(불리오[[#This Row],[종목코드]],표3[],2,FALSE)</f>
        <v>미국국채</v>
      </c>
      <c r="D90" s="9" t="str">
        <f>VLOOKUP(불리오[[#This Row],[종목코드]],표3[],4,FALSE)</f>
        <v>ISHARES U.S. Treasury Bond ETF</v>
      </c>
      <c r="G90" s="8"/>
      <c r="H90" s="8">
        <f>불리오[[#This Row],[현금지출]]-불리오[[#This Row],[매입액]]</f>
        <v>0</v>
      </c>
      <c r="I90" s="13"/>
      <c r="J90" s="7"/>
      <c r="K90" s="7"/>
      <c r="L90" s="11">
        <v>0.28000000000000003</v>
      </c>
      <c r="M90" s="7">
        <v>0.28000000000000003</v>
      </c>
      <c r="N90" s="11">
        <f>불리오[[#This Row],[매도액]]-불리오[[#This Row],[매도원금]]</f>
        <v>0</v>
      </c>
      <c r="O90" s="11">
        <f>불리오[[#This Row],[매도액]]+불리오[[#This Row],[이자배당액]]-불리오[[#This Row],[현금수입]]</f>
        <v>0</v>
      </c>
      <c r="P90" s="11">
        <f>불리오[[#This Row],[매매수익]]+불리오[[#This Row],[이자배당액]]-불리오[[#This Row],[매도비용]]-불리오[[#This Row],[매입비용]]</f>
        <v>0.28000000000000003</v>
      </c>
      <c r="Q90" s="12"/>
      <c r="R90" s="13">
        <f>불리오[[#This Row],[입출금]]+불리오[[#This Row],[현금수입]]-불리오[[#This Row],[현금지출]]</f>
        <v>0.28000000000000003</v>
      </c>
      <c r="S90" s="13">
        <f>SUM($R$2:R90)</f>
        <v>32.769999999999669</v>
      </c>
    </row>
    <row r="91" spans="1:19" x14ac:dyDescent="0.3">
      <c r="A91" s="3">
        <v>45237</v>
      </c>
      <c r="B91" t="s">
        <v>127</v>
      </c>
      <c r="C91" s="1" t="str">
        <f>VLOOKUP(불리오[[#This Row],[종목코드]],표3[],2,FALSE)</f>
        <v>하이일드</v>
      </c>
      <c r="D91" s="9" t="str">
        <f>VLOOKUP(불리오[[#This Row],[종목코드]],표3[],4,FALSE)</f>
        <v>SPDR SERIES TRUST Portfolio High Yield Bond ETF</v>
      </c>
      <c r="G91" s="8"/>
      <c r="H91" s="8">
        <f>불리오[[#This Row],[현금지출]]-불리오[[#This Row],[매입액]]</f>
        <v>0</v>
      </c>
      <c r="I91" s="13"/>
      <c r="J91" s="7"/>
      <c r="K91" s="7"/>
      <c r="L91" s="11">
        <v>0.45</v>
      </c>
      <c r="M91" s="7">
        <v>0.39</v>
      </c>
      <c r="N91" s="11">
        <f>불리오[[#This Row],[매도액]]-불리오[[#This Row],[매도원금]]</f>
        <v>0</v>
      </c>
      <c r="O91" s="11">
        <f>불리오[[#This Row],[매도액]]+불리오[[#This Row],[이자배당액]]-불리오[[#This Row],[현금수입]]</f>
        <v>0.06</v>
      </c>
      <c r="P91" s="11">
        <f>불리오[[#This Row],[매매수익]]+불리오[[#This Row],[이자배당액]]-불리오[[#This Row],[매도비용]]-불리오[[#This Row],[매입비용]]</f>
        <v>0.39</v>
      </c>
      <c r="Q91" s="12"/>
      <c r="R91" s="13">
        <f>불리오[[#This Row],[입출금]]+불리오[[#This Row],[현금수입]]-불리오[[#This Row],[현금지출]]</f>
        <v>0.39</v>
      </c>
      <c r="S91" s="13">
        <f>SUM($R$2:R91)</f>
        <v>33.15999999999967</v>
      </c>
    </row>
    <row r="92" spans="1:19" x14ac:dyDescent="0.3">
      <c r="A92" s="3">
        <v>45237</v>
      </c>
      <c r="B92" t="s">
        <v>128</v>
      </c>
      <c r="C92" s="1" t="str">
        <f>VLOOKUP(불리오[[#This Row],[종목코드]],표3[],2,FALSE)</f>
        <v>물가연동채</v>
      </c>
      <c r="D92" s="9" t="str">
        <f>VLOOKUP(불리오[[#This Row],[종목코드]],표3[],4,FALSE)</f>
        <v>SPDR SERIES TRUST Portfolio TIPS ETF</v>
      </c>
      <c r="G92" s="8"/>
      <c r="H92" s="8">
        <f>불리오[[#This Row],[현금지출]]-불리오[[#This Row],[매입액]]</f>
        <v>0</v>
      </c>
      <c r="I92" s="13"/>
      <c r="J92" s="7"/>
      <c r="K92" s="7"/>
      <c r="L92" s="11">
        <v>1.57</v>
      </c>
      <c r="M92" s="7">
        <v>1.33</v>
      </c>
      <c r="N92" s="11">
        <f>불리오[[#This Row],[매도액]]-불리오[[#This Row],[매도원금]]</f>
        <v>0</v>
      </c>
      <c r="O92" s="11">
        <f>불리오[[#This Row],[매도액]]+불리오[[#This Row],[이자배당액]]-불리오[[#This Row],[현금수입]]</f>
        <v>0.24</v>
      </c>
      <c r="P92" s="11">
        <f>불리오[[#This Row],[매매수익]]+불리오[[#This Row],[이자배당액]]-불리오[[#This Row],[매도비용]]-불리오[[#This Row],[매입비용]]</f>
        <v>1.33</v>
      </c>
      <c r="Q92" s="12"/>
      <c r="R92" s="13">
        <f>불리오[[#This Row],[입출금]]+불리오[[#This Row],[현금수입]]-불리오[[#This Row],[현금지출]]</f>
        <v>1.33</v>
      </c>
      <c r="S92" s="13">
        <f>SUM($R$2:R92)</f>
        <v>34.489999999999668</v>
      </c>
    </row>
    <row r="93" spans="1:19" x14ac:dyDescent="0.3">
      <c r="A93" s="3">
        <v>45237</v>
      </c>
      <c r="B93" t="s">
        <v>125</v>
      </c>
      <c r="C93" s="1" t="str">
        <f>VLOOKUP(불리오[[#This Row],[종목코드]],표3[],2,FALSE)</f>
        <v>미국장기채</v>
      </c>
      <c r="D93" s="9" t="str">
        <f>VLOOKUP(불리오[[#This Row],[종목코드]],표3[],4,FALSE)</f>
        <v>SPDR LONG TERM TREASURY ETF</v>
      </c>
      <c r="G93" s="8"/>
      <c r="H93" s="8">
        <f>불리오[[#This Row],[현금지출]]-불리오[[#This Row],[매입액]]</f>
        <v>0</v>
      </c>
      <c r="I93" s="13"/>
      <c r="J93" s="7"/>
      <c r="K93" s="7"/>
      <c r="L93" s="11">
        <v>1.25</v>
      </c>
      <c r="M93" s="7">
        <v>1.07</v>
      </c>
      <c r="N93" s="11">
        <f>불리오[[#This Row],[매도액]]-불리오[[#This Row],[매도원금]]</f>
        <v>0</v>
      </c>
      <c r="O93" s="11">
        <f>불리오[[#This Row],[매도액]]+불리오[[#This Row],[이자배당액]]-불리오[[#This Row],[현금수입]]</f>
        <v>0.17999999999999994</v>
      </c>
      <c r="P93" s="11">
        <f>불리오[[#This Row],[매매수익]]+불리오[[#This Row],[이자배당액]]-불리오[[#This Row],[매도비용]]-불리오[[#This Row],[매입비용]]</f>
        <v>1.07</v>
      </c>
      <c r="Q93" s="12"/>
      <c r="R93" s="13">
        <f>불리오[[#This Row],[입출금]]+불리오[[#This Row],[현금수입]]-불리오[[#This Row],[현금지출]]</f>
        <v>1.07</v>
      </c>
      <c r="S93" s="13">
        <f>SUM($R$2:R93)</f>
        <v>35.559999999999668</v>
      </c>
    </row>
    <row r="94" spans="1:19" x14ac:dyDescent="0.3">
      <c r="A94" s="3">
        <v>45251</v>
      </c>
      <c r="B94" t="s">
        <v>131</v>
      </c>
      <c r="C94" s="1" t="str">
        <f>VLOOKUP(불리오[[#This Row],[종목코드]],표3[],2,FALSE)</f>
        <v>독일주식</v>
      </c>
      <c r="D94" s="9" t="str">
        <f>VLOOKUP(불리오[[#This Row],[종목코드]],표3[],4,FALSE)</f>
        <v>ISHARES INC MSCI GERMANY ETF</v>
      </c>
      <c r="F94" s="96"/>
      <c r="G94" s="97"/>
      <c r="H94" s="97">
        <f>불리오[[#This Row],[현금지출]]-불리오[[#This Row],[매입액]]</f>
        <v>0</v>
      </c>
      <c r="I94" s="98">
        <v>4</v>
      </c>
      <c r="J94" s="96">
        <v>108.32</v>
      </c>
      <c r="K94" s="96">
        <v>110.62</v>
      </c>
      <c r="L94" s="99"/>
      <c r="M94" s="96">
        <v>110.44</v>
      </c>
      <c r="N94" s="99">
        <f>불리오[[#This Row],[매도액]]-불리오[[#This Row],[매도원금]]</f>
        <v>2.3000000000000114</v>
      </c>
      <c r="O94" s="99">
        <f>불리오[[#This Row],[매도액]]+불리오[[#This Row],[이자배당액]]-불리오[[#This Row],[현금수입]]</f>
        <v>0.18000000000000682</v>
      </c>
      <c r="P94" s="99">
        <f>불리오[[#This Row],[매매수익]]+불리오[[#This Row],[이자배당액]]-불리오[[#This Row],[매도비용]]-불리오[[#This Row],[매입비용]]</f>
        <v>2.1200000000000045</v>
      </c>
      <c r="Q94" s="100"/>
      <c r="R94" s="98">
        <f>불리오[[#This Row],[입출금]]+불리오[[#This Row],[현금수입]]-불리오[[#This Row],[현금지출]]</f>
        <v>110.44</v>
      </c>
      <c r="S94" s="13">
        <f>SUM($R$2:R94)</f>
        <v>145.99999999999966</v>
      </c>
    </row>
    <row r="95" spans="1:19" x14ac:dyDescent="0.3">
      <c r="A95" s="3">
        <v>45251</v>
      </c>
      <c r="B95" t="s">
        <v>122</v>
      </c>
      <c r="C95" s="1" t="str">
        <f>VLOOKUP(불리오[[#This Row],[종목코드]],표3[],2,FALSE)</f>
        <v>남아프리카주식</v>
      </c>
      <c r="D95" s="9" t="str">
        <f>VLOOKUP(불리오[[#This Row],[종목코드]],표3[],4,FALSE)</f>
        <v>ISHARES MSCI SOUTH AFRICA FUND</v>
      </c>
      <c r="F95" s="96"/>
      <c r="G95" s="97"/>
      <c r="H95" s="97">
        <f>불리오[[#This Row],[현금지출]]-불리오[[#This Row],[매입액]]</f>
        <v>0</v>
      </c>
      <c r="I95" s="98">
        <v>1</v>
      </c>
      <c r="J95" s="96">
        <v>37.549999999999997</v>
      </c>
      <c r="K95" s="96">
        <v>40.15</v>
      </c>
      <c r="L95" s="99"/>
      <c r="M95" s="96">
        <v>40.090000000000003</v>
      </c>
      <c r="N95" s="99">
        <f>불리오[[#This Row],[매도액]]-불리오[[#This Row],[매도원금]]</f>
        <v>2.6000000000000014</v>
      </c>
      <c r="O95" s="99">
        <f>불리오[[#This Row],[매도액]]+불리오[[#This Row],[이자배당액]]-불리오[[#This Row],[현금수입]]</f>
        <v>5.9999999999995168E-2</v>
      </c>
      <c r="P95" s="99">
        <f>불리오[[#This Row],[매매수익]]+불리오[[#This Row],[이자배당액]]-불리오[[#This Row],[매도비용]]-불리오[[#This Row],[매입비용]]</f>
        <v>2.5400000000000063</v>
      </c>
      <c r="Q95" s="100"/>
      <c r="R95" s="98">
        <f>불리오[[#This Row],[입출금]]+불리오[[#This Row],[현금수입]]-불리오[[#This Row],[현금지출]]</f>
        <v>40.090000000000003</v>
      </c>
      <c r="S95" s="13">
        <f>SUM($R$2:R95)</f>
        <v>186.08999999999966</v>
      </c>
    </row>
    <row r="96" spans="1:19" x14ac:dyDescent="0.3">
      <c r="A96" s="3">
        <v>45251</v>
      </c>
      <c r="B96" t="s">
        <v>116</v>
      </c>
      <c r="C96" s="1" t="str">
        <f>VLOOKUP(불리오[[#This Row],[종목코드]],표3[],2,FALSE)</f>
        <v>중국주식</v>
      </c>
      <c r="D96" s="9" t="str">
        <f>VLOOKUP(불리오[[#This Row],[종목코드]],표3[],4,FALSE)</f>
        <v>ISHARES CHINA LARGE-CAP ETF</v>
      </c>
      <c r="F96" s="96"/>
      <c r="G96" s="97"/>
      <c r="H96" s="97">
        <f>불리오[[#This Row],[현금지출]]-불리오[[#This Row],[매입액]]</f>
        <v>0</v>
      </c>
      <c r="I96" s="98">
        <v>1</v>
      </c>
      <c r="J96" s="96">
        <v>26.13</v>
      </c>
      <c r="K96" s="96">
        <v>26.39</v>
      </c>
      <c r="L96" s="99"/>
      <c r="M96" s="96">
        <v>26.35</v>
      </c>
      <c r="N96" s="99">
        <f>불리오[[#This Row],[매도액]]-불리오[[#This Row],[매도원금]]</f>
        <v>0.26000000000000156</v>
      </c>
      <c r="O96" s="99">
        <f>불리오[[#This Row],[매도액]]+불리오[[#This Row],[이자배당액]]-불리오[[#This Row],[현금수입]]</f>
        <v>3.9999999999999147E-2</v>
      </c>
      <c r="P96" s="99">
        <f>불리오[[#This Row],[매매수익]]+불리오[[#This Row],[이자배당액]]-불리오[[#This Row],[매도비용]]-불리오[[#This Row],[매입비용]]</f>
        <v>0.22000000000000242</v>
      </c>
      <c r="Q96" s="100"/>
      <c r="R96" s="98">
        <f>불리오[[#This Row],[입출금]]+불리오[[#This Row],[현금수입]]-불리오[[#This Row],[현금지출]]</f>
        <v>26.35</v>
      </c>
      <c r="S96" s="13">
        <f>SUM($R$2:R96)</f>
        <v>212.43999999999966</v>
      </c>
    </row>
    <row r="97" spans="1:19" x14ac:dyDescent="0.3">
      <c r="A97" s="3">
        <v>45251</v>
      </c>
      <c r="B97" t="s">
        <v>125</v>
      </c>
      <c r="C97" s="1" t="str">
        <f>VLOOKUP(불리오[[#This Row],[종목코드]],표3[],2,FALSE)</f>
        <v>미국장기채</v>
      </c>
      <c r="D97" s="9" t="str">
        <f>VLOOKUP(불리오[[#This Row],[종목코드]],표3[],4,FALSE)</f>
        <v>SPDR LONG TERM TREASURY ETF</v>
      </c>
      <c r="F97" s="96"/>
      <c r="G97" s="97"/>
      <c r="H97" s="97">
        <f>불리오[[#This Row],[현금지출]]-불리오[[#This Row],[매입액]]</f>
        <v>0</v>
      </c>
      <c r="I97" s="98">
        <v>1</v>
      </c>
      <c r="J97" s="96">
        <v>29.7</v>
      </c>
      <c r="K97" s="96">
        <v>26.37</v>
      </c>
      <c r="L97" s="99"/>
      <c r="M97" s="96">
        <v>26.33</v>
      </c>
      <c r="N97" s="99">
        <f>불리오[[#This Row],[매도액]]-불리오[[#This Row],[매도원금]]</f>
        <v>-3.3299999999999983</v>
      </c>
      <c r="O97" s="99">
        <f>불리오[[#This Row],[매도액]]+불리오[[#This Row],[이자배당액]]-불리오[[#This Row],[현금수입]]</f>
        <v>4.00000000000027E-2</v>
      </c>
      <c r="P97" s="99">
        <f>불리오[[#This Row],[매매수익]]+불리오[[#This Row],[이자배당액]]-불리오[[#This Row],[매도비용]]-불리오[[#This Row],[매입비용]]</f>
        <v>-3.370000000000001</v>
      </c>
      <c r="Q97" s="100"/>
      <c r="R97" s="98">
        <f>불리오[[#This Row],[입출금]]+불리오[[#This Row],[현금수입]]-불리오[[#This Row],[현금지출]]</f>
        <v>26.33</v>
      </c>
      <c r="S97" s="13">
        <f>SUM($R$2:R97)</f>
        <v>238.76999999999964</v>
      </c>
    </row>
    <row r="98" spans="1:19" x14ac:dyDescent="0.3">
      <c r="A98" s="3">
        <v>45252</v>
      </c>
      <c r="B98" s="87" t="s">
        <v>157</v>
      </c>
      <c r="C98" s="1" t="str">
        <f>VLOOKUP(불리오[[#This Row],[종목코드]],표3[],2,FALSE)</f>
        <v>캐나다주식</v>
      </c>
      <c r="D98" s="9" t="str">
        <f>VLOOKUP(불리오[[#This Row],[종목코드]],표3[],4,FALSE)</f>
        <v>ISHARES MSCI CANADA FUND</v>
      </c>
      <c r="E98" s="98">
        <v>4</v>
      </c>
      <c r="F98" s="96">
        <v>137.52000000000001</v>
      </c>
      <c r="G98" s="96">
        <v>137.75</v>
      </c>
      <c r="H98" s="97">
        <f>불리오[[#This Row],[현금지출]]-불리오[[#This Row],[매입액]]</f>
        <v>0.22999999999998977</v>
      </c>
      <c r="I98" s="98"/>
      <c r="J98" s="96"/>
      <c r="K98" s="96"/>
      <c r="L98" s="99"/>
      <c r="M98" s="96"/>
      <c r="N98" s="99">
        <f>불리오[[#This Row],[매도액]]-불리오[[#This Row],[매도원금]]</f>
        <v>0</v>
      </c>
      <c r="O98" s="99">
        <f>불리오[[#This Row],[매도액]]+불리오[[#This Row],[이자배당액]]-불리오[[#This Row],[현금수입]]</f>
        <v>0</v>
      </c>
      <c r="P98" s="99">
        <f>불리오[[#This Row],[매매수익]]+불리오[[#This Row],[이자배당액]]-불리오[[#This Row],[매도비용]]-불리오[[#This Row],[매입비용]]</f>
        <v>-0.22999999999998977</v>
      </c>
      <c r="Q98" s="100"/>
      <c r="R98" s="98">
        <f>불리오[[#This Row],[입출금]]+불리오[[#This Row],[현금수입]]-불리오[[#This Row],[현금지출]]</f>
        <v>-137.75</v>
      </c>
      <c r="S98" s="13">
        <f>SUM($R$2:R98)</f>
        <v>101.01999999999964</v>
      </c>
    </row>
    <row r="99" spans="1:19" x14ac:dyDescent="0.3">
      <c r="A99" s="3">
        <v>45252</v>
      </c>
      <c r="B99" s="87" t="s">
        <v>141</v>
      </c>
      <c r="C99" s="1" t="str">
        <f>VLOOKUP(불리오[[#This Row],[종목코드]],표3[],2,FALSE)</f>
        <v>에너지섹터</v>
      </c>
      <c r="D99" s="9" t="str">
        <f>VLOOKUP(불리오[[#This Row],[종목코드]],표3[],4,FALSE)</f>
        <v>Energy Select Sector SPDR</v>
      </c>
      <c r="E99" s="98">
        <v>1</v>
      </c>
      <c r="F99" s="96">
        <v>83.64</v>
      </c>
      <c r="G99" s="96">
        <v>83.78</v>
      </c>
      <c r="H99" s="97">
        <f>불리오[[#This Row],[현금지출]]-불리오[[#This Row],[매입액]]</f>
        <v>0.14000000000000057</v>
      </c>
      <c r="I99" s="98"/>
      <c r="J99" s="96"/>
      <c r="K99" s="96"/>
      <c r="L99" s="99"/>
      <c r="M99" s="96"/>
      <c r="N99" s="99">
        <f>불리오[[#This Row],[매도액]]-불리오[[#This Row],[매도원금]]</f>
        <v>0</v>
      </c>
      <c r="O99" s="99">
        <f>불리오[[#This Row],[매도액]]+불리오[[#This Row],[이자배당액]]-불리오[[#This Row],[현금수입]]</f>
        <v>0</v>
      </c>
      <c r="P99" s="99">
        <f>불리오[[#This Row],[매매수익]]+불리오[[#This Row],[이자배당액]]-불리오[[#This Row],[매도비용]]-불리오[[#This Row],[매입비용]]</f>
        <v>-0.14000000000000057</v>
      </c>
      <c r="Q99" s="100"/>
      <c r="R99" s="98">
        <f>불리오[[#This Row],[입출금]]+불리오[[#This Row],[현금수입]]-불리오[[#This Row],[현금지출]]</f>
        <v>-83.78</v>
      </c>
      <c r="S99" s="13">
        <f>SUM($R$2:R99)</f>
        <v>17.23999999999964</v>
      </c>
    </row>
    <row r="100" spans="1:19" x14ac:dyDescent="0.3">
      <c r="A100" s="3">
        <v>45266</v>
      </c>
      <c r="B100" s="87" t="s">
        <v>129</v>
      </c>
      <c r="C100" s="1" t="str">
        <f>VLOOKUP(불리오[[#This Row],[종목코드]],표3[],2,FALSE)</f>
        <v>신흥국채권</v>
      </c>
      <c r="D100" s="9" t="str">
        <f>VLOOKUP(불리오[[#This Row],[종목코드]],표3[],4,FALSE)</f>
        <v>VANGUARD EMERGING MARKETS GOVERNMENT BOND ETF</v>
      </c>
      <c r="G100" s="8"/>
      <c r="H100" s="8">
        <f>불리오[[#This Row],[현금지출]]-불리오[[#This Row],[매입액]]</f>
        <v>0</v>
      </c>
      <c r="I100" s="13"/>
      <c r="J100" s="7"/>
      <c r="K100" s="7"/>
      <c r="L100" s="11">
        <v>0.28000000000000003</v>
      </c>
      <c r="M100" s="7">
        <v>0.24</v>
      </c>
      <c r="N100" s="11">
        <f>불리오[[#This Row],[매도액]]-불리오[[#This Row],[매도원금]]</f>
        <v>0</v>
      </c>
      <c r="O100" s="11">
        <f>불리오[[#This Row],[매도액]]+불리오[[#This Row],[이자배당액]]-불리오[[#This Row],[현금수입]]</f>
        <v>4.0000000000000036E-2</v>
      </c>
      <c r="P100" s="11">
        <f>불리오[[#This Row],[매매수익]]+불리오[[#This Row],[이자배당액]]-불리오[[#This Row],[매도비용]]-불리오[[#This Row],[매입비용]]</f>
        <v>0.24</v>
      </c>
      <c r="Q100" s="12"/>
      <c r="R100" s="13">
        <f>불리오[[#This Row],[입출금]]+불리오[[#This Row],[현금수입]]-불리오[[#This Row],[현금지출]]</f>
        <v>0.24</v>
      </c>
      <c r="S100" s="13">
        <f>SUM($R$2:R100)</f>
        <v>17.479999999999638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pane xSplit="4" ySplit="1" topLeftCell="N77" activePane="bottomRight" state="frozen"/>
      <selection activeCell="A46" sqref="A46"/>
      <selection pane="topRight" activeCell="O1" sqref="O1"/>
      <selection pane="bottomLeft" activeCell="A2" sqref="A2"/>
      <selection pane="bottomRight" activeCell="A90" sqref="A90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4" t="s">
        <v>0</v>
      </c>
      <c r="B1" s="14" t="s">
        <v>78</v>
      </c>
      <c r="C1" s="14" t="s">
        <v>1</v>
      </c>
      <c r="D1" s="15" t="s">
        <v>27</v>
      </c>
      <c r="E1" s="77" t="s">
        <v>133</v>
      </c>
      <c r="F1" s="16" t="s">
        <v>57</v>
      </c>
      <c r="G1" s="16" t="s">
        <v>56</v>
      </c>
      <c r="H1" s="16" t="s">
        <v>28</v>
      </c>
      <c r="I1" s="76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6" t="s">
        <v>61</v>
      </c>
      <c r="O1" s="16" t="s">
        <v>60</v>
      </c>
      <c r="P1" s="16" t="s">
        <v>29</v>
      </c>
      <c r="Q1" s="17" t="s">
        <v>66</v>
      </c>
      <c r="R1" s="17" t="s">
        <v>62</v>
      </c>
      <c r="S1" s="101" t="s">
        <v>63</v>
      </c>
    </row>
    <row r="2" spans="1:19" x14ac:dyDescent="0.3">
      <c r="A2" s="23">
        <v>45097</v>
      </c>
      <c r="B2" s="24" t="s">
        <v>89</v>
      </c>
      <c r="C2" s="1" t="str">
        <f>VLOOKUP(표4[[#This Row],[종목코드]],표3[],2,FALSE)</f>
        <v>직접운용달러</v>
      </c>
      <c r="D2" s="9" t="str">
        <f>VLOOKUP(표4[[#This Row],[종목코드]],표3[],4,FALSE)</f>
        <v>한국투자증권 직접투자계좌 달러예수금</v>
      </c>
      <c r="E2" s="75">
        <v>1</v>
      </c>
      <c r="F2" s="25"/>
      <c r="G2" s="26"/>
      <c r="H2" s="26">
        <f>표4[[#This Row],[현금지출]]-표4[[#This Row],[매입액]]</f>
        <v>0</v>
      </c>
      <c r="I2" s="79"/>
      <c r="J2" s="25"/>
      <c r="K2" s="25"/>
      <c r="L2" s="25"/>
      <c r="M2" s="25"/>
      <c r="N2" s="25">
        <f>표4[[#This Row],[매도액]]-표4[[#This Row],[매도원금]]</f>
        <v>0</v>
      </c>
      <c r="O2" s="25">
        <f>표4[[#This Row],[매도액]]+표4[[#This Row],[이자배당액]]-표4[[#This Row],[현금수입]]</f>
        <v>0</v>
      </c>
      <c r="P2" s="27">
        <f>표4[[#This Row],[매매수익]]+표4[[#This Row],[이자배당액]]-표4[[#This Row],[매도비용]]-표4[[#This Row],[매입비용]]</f>
        <v>0</v>
      </c>
      <c r="Q2" s="28">
        <v>778.82</v>
      </c>
      <c r="R2" s="28">
        <f>표4[[#This Row],[입출금]]+표4[[#This Row],[현금수입]]-표4[[#This Row],[현금지출]]</f>
        <v>778.82</v>
      </c>
      <c r="S2" s="102">
        <f>SUM($R$2:R2)</f>
        <v>778.82</v>
      </c>
    </row>
    <row r="3" spans="1:19" x14ac:dyDescent="0.3">
      <c r="A3" s="23">
        <v>45110</v>
      </c>
      <c r="B3" s="24" t="s">
        <v>90</v>
      </c>
      <c r="C3" s="1" t="str">
        <f>VLOOKUP(표4[[#This Row],[종목코드]],표3[],2,FALSE)</f>
        <v>한투외화RP</v>
      </c>
      <c r="D3" s="9" t="str">
        <f>VLOOKUP(표4[[#This Row],[종목코드]],표3[],4,FALSE)</f>
        <v>한국투자증권 직접투자계좌 외화RP</v>
      </c>
      <c r="E3" s="75">
        <v>1</v>
      </c>
      <c r="F3" s="25">
        <v>778.82</v>
      </c>
      <c r="G3" s="26">
        <v>778.82</v>
      </c>
      <c r="H3" s="26">
        <f>표4[[#This Row],[현금지출]]-표4[[#This Row],[매입액]]</f>
        <v>0</v>
      </c>
      <c r="I3" s="79"/>
      <c r="J3" s="25"/>
      <c r="K3" s="25"/>
      <c r="L3" s="25"/>
      <c r="M3" s="25"/>
      <c r="N3" s="25">
        <f>표4[[#This Row],[매도액]]-표4[[#This Row],[매도원금]]</f>
        <v>0</v>
      </c>
      <c r="O3" s="25">
        <f>표4[[#This Row],[매도액]]+표4[[#This Row],[이자배당액]]-표4[[#This Row],[현금수입]]</f>
        <v>0</v>
      </c>
      <c r="P3" s="27">
        <f>표4[[#This Row],[매매수익]]+표4[[#This Row],[이자배당액]]-표4[[#This Row],[매도비용]]-표4[[#This Row],[매입비용]]</f>
        <v>0</v>
      </c>
      <c r="Q3" s="28"/>
      <c r="R3" s="28">
        <f>표4[[#This Row],[입출금]]+표4[[#This Row],[현금수입]]-표4[[#This Row],[현금지출]]</f>
        <v>-778.82</v>
      </c>
      <c r="S3" s="102">
        <f>SUM($R$2:R3)</f>
        <v>0</v>
      </c>
    </row>
    <row r="4" spans="1:19" x14ac:dyDescent="0.3">
      <c r="A4" s="23">
        <v>45120</v>
      </c>
      <c r="B4" s="24" t="s">
        <v>90</v>
      </c>
      <c r="C4" s="1" t="str">
        <f>VLOOKUP(표4[[#This Row],[종목코드]],표3[],2,FALSE)</f>
        <v>한투외화RP</v>
      </c>
      <c r="D4" s="9" t="str">
        <f>VLOOKUP(표4[[#This Row],[종목코드]],표3[],4,FALSE)</f>
        <v>한국투자증권 직접투자계좌 외화RP</v>
      </c>
      <c r="F4" s="25"/>
      <c r="G4" s="26"/>
      <c r="H4" s="26">
        <f>표4[[#This Row],[현금지출]]-표4[[#This Row],[매입액]]</f>
        <v>0</v>
      </c>
      <c r="I4" s="79">
        <v>1</v>
      </c>
      <c r="J4" s="25">
        <v>778.82</v>
      </c>
      <c r="K4" s="25">
        <v>779.75</v>
      </c>
      <c r="L4" s="25"/>
      <c r="M4" s="25">
        <v>779.61</v>
      </c>
      <c r="N4" s="25">
        <f>표4[[#This Row],[매도액]]-표4[[#This Row],[매도원금]]</f>
        <v>0.92999999999994998</v>
      </c>
      <c r="O4" s="25">
        <f>표4[[#This Row],[매도액]]+표4[[#This Row],[이자배당액]]-표4[[#This Row],[현금수입]]</f>
        <v>0.13999999999998636</v>
      </c>
      <c r="P4" s="27">
        <f>표4[[#This Row],[매매수익]]+표4[[#This Row],[이자배당액]]-표4[[#This Row],[매도비용]]-표4[[#This Row],[매입비용]]</f>
        <v>0.78999999999996362</v>
      </c>
      <c r="Q4" s="28"/>
      <c r="R4" s="28">
        <f>표4[[#This Row],[입출금]]+표4[[#This Row],[현금수입]]-표4[[#This Row],[현금지출]]</f>
        <v>779.61</v>
      </c>
      <c r="S4" s="102">
        <f>SUM($R$2:R4)</f>
        <v>779.61</v>
      </c>
    </row>
    <row r="5" spans="1:19" x14ac:dyDescent="0.3">
      <c r="A5" s="23">
        <v>45120</v>
      </c>
      <c r="B5" s="24" t="s">
        <v>89</v>
      </c>
      <c r="C5" s="1" t="str">
        <f>VLOOKUP(표4[[#This Row],[종목코드]],표3[],2,FALSE)</f>
        <v>직접운용달러</v>
      </c>
      <c r="D5" s="9" t="str">
        <f>VLOOKUP(표4[[#This Row],[종목코드]],표3[],4,FALSE)</f>
        <v>한국투자증권 직접투자계좌 달러예수금</v>
      </c>
      <c r="F5" s="25"/>
      <c r="G5" s="26"/>
      <c r="H5" s="26">
        <f>표4[[#This Row],[현금지출]]-표4[[#This Row],[매입액]]</f>
        <v>0</v>
      </c>
      <c r="I5" s="79"/>
      <c r="J5" s="25"/>
      <c r="K5" s="25"/>
      <c r="L5" s="25"/>
      <c r="M5" s="25"/>
      <c r="N5" s="25">
        <f>표4[[#This Row],[매도액]]-표4[[#This Row],[매도원금]]</f>
        <v>0</v>
      </c>
      <c r="O5" s="25">
        <f>표4[[#This Row],[매도액]]+표4[[#This Row],[이자배당액]]-표4[[#This Row],[현금수입]]</f>
        <v>0</v>
      </c>
      <c r="P5" s="27">
        <f>표4[[#This Row],[매매수익]]+표4[[#This Row],[이자배당액]]-표4[[#This Row],[매도비용]]-표4[[#This Row],[매입비용]]</f>
        <v>0</v>
      </c>
      <c r="Q5" s="28">
        <v>3897.41</v>
      </c>
      <c r="R5" s="28">
        <f>표4[[#This Row],[입출금]]+표4[[#This Row],[현금수입]]-표4[[#This Row],[현금지출]]</f>
        <v>3897.41</v>
      </c>
      <c r="S5" s="102">
        <f>SUM($R$2:R5)</f>
        <v>4677.0199999999995</v>
      </c>
    </row>
    <row r="6" spans="1:19" x14ac:dyDescent="0.3">
      <c r="A6" s="23">
        <v>45120</v>
      </c>
      <c r="B6" s="24" t="s">
        <v>166</v>
      </c>
      <c r="C6" s="1" t="str">
        <f>VLOOKUP(표4[[#This Row],[종목코드]],표3[],2,FALSE)</f>
        <v>(약정)한투외화발행어음</v>
      </c>
      <c r="D6" s="9" t="str">
        <f>VLOOKUP(표4[[#This Row],[종목코드]],표3[],4,FALSE)</f>
        <v>한국투자증권 직접투자계좌 외화발행어음(약정)</v>
      </c>
      <c r="E6" s="75">
        <v>1</v>
      </c>
      <c r="F6" s="25">
        <v>4677.0200000000004</v>
      </c>
      <c r="G6" s="25">
        <v>4677.0200000000004</v>
      </c>
      <c r="H6" s="26">
        <f>표4[[#This Row],[현금지출]]-표4[[#This Row],[매입액]]</f>
        <v>0</v>
      </c>
      <c r="I6" s="79"/>
      <c r="J6" s="25"/>
      <c r="K6" s="25"/>
      <c r="L6" s="25"/>
      <c r="M6" s="25"/>
      <c r="N6" s="25">
        <f>표4[[#This Row],[매도액]]-표4[[#This Row],[매도원금]]</f>
        <v>0</v>
      </c>
      <c r="O6" s="25">
        <f>표4[[#This Row],[매도액]]+표4[[#This Row],[이자배당액]]-표4[[#This Row],[현금수입]]</f>
        <v>0</v>
      </c>
      <c r="P6" s="27">
        <f>표4[[#This Row],[매매수익]]+표4[[#This Row],[이자배당액]]-표4[[#This Row],[매도비용]]-표4[[#This Row],[매입비용]]</f>
        <v>0</v>
      </c>
      <c r="Q6" s="28"/>
      <c r="R6" s="28">
        <f>표4[[#This Row],[입출금]]+표4[[#This Row],[현금수입]]-표4[[#This Row],[현금지출]]</f>
        <v>-4677.0200000000004</v>
      </c>
      <c r="S6" s="102">
        <f>SUM($R$2:R6)</f>
        <v>0</v>
      </c>
    </row>
    <row r="7" spans="1:19" x14ac:dyDescent="0.3">
      <c r="A7" s="23">
        <v>45124</v>
      </c>
      <c r="B7" s="24" t="s">
        <v>89</v>
      </c>
      <c r="C7" s="1" t="str">
        <f>VLOOKUP(표4[[#This Row],[종목코드]],표3[],2,FALSE)</f>
        <v>직접운용달러</v>
      </c>
      <c r="D7" s="9" t="str">
        <f>VLOOKUP(표4[[#This Row],[종목코드]],표3[],4,FALSE)</f>
        <v>한국투자증권 직접투자계좌 달러예수금</v>
      </c>
      <c r="F7" s="25"/>
      <c r="G7" s="26"/>
      <c r="H7" s="26">
        <f>표4[[#This Row],[현금지출]]-표4[[#This Row],[매입액]]</f>
        <v>0</v>
      </c>
      <c r="I7" s="79"/>
      <c r="J7" s="25"/>
      <c r="K7" s="25"/>
      <c r="L7" s="25"/>
      <c r="M7" s="25"/>
      <c r="N7" s="25">
        <f>표4[[#This Row],[매도액]]-표4[[#This Row],[매도원금]]</f>
        <v>0</v>
      </c>
      <c r="O7" s="25">
        <f>표4[[#This Row],[매도액]]+표4[[#This Row],[이자배당액]]-표4[[#This Row],[현금수입]]</f>
        <v>0</v>
      </c>
      <c r="P7" s="27">
        <f>표4[[#This Row],[매매수익]]+표4[[#This Row],[이자배당액]]-표4[[#This Row],[매도비용]]-표4[[#This Row],[매입비용]]</f>
        <v>0</v>
      </c>
      <c r="Q7" s="28">
        <v>2358.65</v>
      </c>
      <c r="R7" s="28">
        <f>표4[[#This Row],[입출금]]+표4[[#This Row],[현금수입]]-표4[[#This Row],[현금지출]]</f>
        <v>2358.65</v>
      </c>
      <c r="S7" s="102">
        <f>SUM($R$2:R7)</f>
        <v>2358.6499999999992</v>
      </c>
    </row>
    <row r="8" spans="1:19" x14ac:dyDescent="0.3">
      <c r="A8" s="23">
        <v>45124</v>
      </c>
      <c r="B8" s="24" t="s">
        <v>90</v>
      </c>
      <c r="C8" s="1" t="str">
        <f>VLOOKUP(표4[[#This Row],[종목코드]],표3[],2,FALSE)</f>
        <v>한투외화RP</v>
      </c>
      <c r="D8" s="9" t="str">
        <f>VLOOKUP(표4[[#This Row],[종목코드]],표3[],4,FALSE)</f>
        <v>한국투자증권 직접투자계좌 외화RP</v>
      </c>
      <c r="E8" s="75">
        <v>1</v>
      </c>
      <c r="F8" s="25">
        <v>2358.65</v>
      </c>
      <c r="G8" s="25">
        <v>2358.65</v>
      </c>
      <c r="H8" s="26">
        <f>표4[[#This Row],[현금지출]]-표4[[#This Row],[매입액]]</f>
        <v>0</v>
      </c>
      <c r="I8" s="79"/>
      <c r="J8" s="25"/>
      <c r="K8" s="25"/>
      <c r="L8" s="25"/>
      <c r="M8" s="25"/>
      <c r="N8" s="25">
        <f>표4[[#This Row],[매도액]]-표4[[#This Row],[매도원금]]</f>
        <v>0</v>
      </c>
      <c r="O8" s="25">
        <f>표4[[#This Row],[매도액]]+표4[[#This Row],[이자배당액]]-표4[[#This Row],[현금수입]]</f>
        <v>0</v>
      </c>
      <c r="P8" s="27">
        <f>표4[[#This Row],[매매수익]]+표4[[#This Row],[이자배당액]]-표4[[#This Row],[매도비용]]-표4[[#This Row],[매입비용]]</f>
        <v>0</v>
      </c>
      <c r="Q8" s="28"/>
      <c r="R8" s="28">
        <f>표4[[#This Row],[입출금]]+표4[[#This Row],[현금수입]]-표4[[#This Row],[현금지출]]</f>
        <v>-2358.65</v>
      </c>
      <c r="S8" s="102">
        <f>SUM($R$2:R8)</f>
        <v>0</v>
      </c>
    </row>
    <row r="9" spans="1:19" x14ac:dyDescent="0.3">
      <c r="A9" s="29">
        <v>45125</v>
      </c>
      <c r="B9" s="61" t="s">
        <v>90</v>
      </c>
      <c r="C9" s="1" t="str">
        <f>VLOOKUP(표4[[#This Row],[종목코드]],표3[],2,FALSE)</f>
        <v>한투외화RP</v>
      </c>
      <c r="D9" s="9" t="str">
        <f>VLOOKUP(표4[[#This Row],[종목코드]],표3[],4,FALSE)</f>
        <v>한국투자증권 직접투자계좌 외화RP</v>
      </c>
      <c r="F9" s="30">
        <v>2358.81</v>
      </c>
      <c r="G9" s="30">
        <v>2358.81</v>
      </c>
      <c r="H9" s="31">
        <f>표4[[#This Row],[현금지출]]-표4[[#This Row],[매입액]]</f>
        <v>0</v>
      </c>
      <c r="I9" s="80"/>
      <c r="J9" s="25">
        <v>2358.65</v>
      </c>
      <c r="K9" s="30">
        <v>2358.84</v>
      </c>
      <c r="L9" s="30"/>
      <c r="M9" s="30">
        <v>2358.81</v>
      </c>
      <c r="N9" s="30">
        <f>표4[[#This Row],[매도액]]-표4[[#This Row],[매도원금]]</f>
        <v>0.19000000000005457</v>
      </c>
      <c r="O9" s="30">
        <f>표4[[#This Row],[매도액]]+표4[[#This Row],[이자배당액]]-표4[[#This Row],[현금수입]]</f>
        <v>3.0000000000200089E-2</v>
      </c>
      <c r="P9" s="32">
        <f>표4[[#This Row],[매매수익]]+표4[[#This Row],[이자배당액]]-표4[[#This Row],[매도비용]]-표4[[#This Row],[매입비용]]</f>
        <v>0.15999999999985448</v>
      </c>
      <c r="Q9" s="33"/>
      <c r="R9" s="33">
        <f>표4[[#This Row],[입출금]]+표4[[#This Row],[현금수입]]-표4[[#This Row],[현금지출]]</f>
        <v>0</v>
      </c>
      <c r="S9" s="102">
        <f>SUM($R$2:R9)</f>
        <v>-9.0949470177292824E-13</v>
      </c>
    </row>
    <row r="10" spans="1:19" x14ac:dyDescent="0.3">
      <c r="A10" s="23">
        <v>45126</v>
      </c>
      <c r="B10" s="24" t="s">
        <v>90</v>
      </c>
      <c r="C10" s="1" t="str">
        <f>VLOOKUP(표4[[#This Row],[종목코드]],표3[],2,FALSE)</f>
        <v>한투외화RP</v>
      </c>
      <c r="D10" s="9" t="str">
        <f>VLOOKUP(표4[[#This Row],[종목코드]],표3[],4,FALSE)</f>
        <v>한국투자증권 직접투자계좌 외화RP</v>
      </c>
      <c r="F10" s="25">
        <v>2358.9699999999998</v>
      </c>
      <c r="G10" s="25">
        <v>2358.9699999999998</v>
      </c>
      <c r="H10" s="26">
        <f>표4[[#This Row],[현금지출]]-표4[[#This Row],[매입액]]</f>
        <v>0</v>
      </c>
      <c r="I10" s="80"/>
      <c r="J10" s="30">
        <v>2358.81</v>
      </c>
      <c r="K10" s="25">
        <v>2359</v>
      </c>
      <c r="L10" s="25"/>
      <c r="M10" s="25">
        <v>2358.9699999999998</v>
      </c>
      <c r="N10" s="25">
        <f>표4[[#This Row],[매도액]]-표4[[#This Row],[매도원금]]</f>
        <v>0.19000000000005457</v>
      </c>
      <c r="O10" s="25">
        <f>표4[[#This Row],[매도액]]+표4[[#This Row],[이자배당액]]-표4[[#This Row],[현금수입]]</f>
        <v>3.0000000000200089E-2</v>
      </c>
      <c r="P10" s="27">
        <f>표4[[#This Row],[매매수익]]+표4[[#This Row],[이자배당액]]-표4[[#This Row],[매도비용]]-표4[[#This Row],[매입비용]]</f>
        <v>0.15999999999985448</v>
      </c>
      <c r="Q10" s="33"/>
      <c r="R10" s="33">
        <f>표4[[#This Row],[입출금]]+표4[[#This Row],[현금수입]]-표4[[#This Row],[현금지출]]</f>
        <v>0</v>
      </c>
      <c r="S10" s="102">
        <f>SUM($R$2:R10)</f>
        <v>-9.0949470177292824E-13</v>
      </c>
    </row>
    <row r="11" spans="1:19" x14ac:dyDescent="0.3">
      <c r="A11" s="29">
        <v>45127</v>
      </c>
      <c r="B11" s="24" t="s">
        <v>90</v>
      </c>
      <c r="C11" s="1" t="str">
        <f>VLOOKUP(표4[[#This Row],[종목코드]],표3[],2,FALSE)</f>
        <v>한투외화RP</v>
      </c>
      <c r="D11" s="9" t="str">
        <f>VLOOKUP(표4[[#This Row],[종목코드]],표3[],4,FALSE)</f>
        <v>한국투자증권 직접투자계좌 외화RP</v>
      </c>
      <c r="F11" s="25">
        <v>2359.13</v>
      </c>
      <c r="G11" s="25">
        <v>2359.13</v>
      </c>
      <c r="H11" s="26">
        <f>표4[[#This Row],[현금지출]]-표4[[#This Row],[매입액]]</f>
        <v>0</v>
      </c>
      <c r="I11" s="79"/>
      <c r="J11" s="25">
        <v>2358.9699999999998</v>
      </c>
      <c r="K11" s="25">
        <v>2359.16</v>
      </c>
      <c r="L11" s="25"/>
      <c r="M11" s="25">
        <v>2359.13</v>
      </c>
      <c r="N11" s="25">
        <f>표4[[#This Row],[매도액]]-표4[[#This Row],[매도원금]]</f>
        <v>0.19000000000005457</v>
      </c>
      <c r="O11" s="25">
        <f>표4[[#This Row],[매도액]]+표4[[#This Row],[이자배당액]]-표4[[#This Row],[현금수입]]</f>
        <v>2.9999999999745341E-2</v>
      </c>
      <c r="P11" s="27">
        <f>표4[[#This Row],[매매수익]]+표4[[#This Row],[이자배당액]]-표4[[#This Row],[매도비용]]-표4[[#This Row],[매입비용]]</f>
        <v>0.16000000000030923</v>
      </c>
      <c r="Q11" s="33"/>
      <c r="R11" s="33">
        <f>표4[[#This Row],[입출금]]+표4[[#This Row],[현금수입]]-표4[[#This Row],[현금지출]]</f>
        <v>0</v>
      </c>
      <c r="S11" s="102">
        <f>SUM($R$2:R11)</f>
        <v>-9.0949470177292824E-13</v>
      </c>
    </row>
    <row r="12" spans="1:19" x14ac:dyDescent="0.3">
      <c r="A12" s="23">
        <v>45128</v>
      </c>
      <c r="B12" s="24" t="s">
        <v>90</v>
      </c>
      <c r="C12" s="1" t="str">
        <f>VLOOKUP(표4[[#This Row],[종목코드]],표3[],2,FALSE)</f>
        <v>한투외화RP</v>
      </c>
      <c r="D12" s="9" t="str">
        <f>VLOOKUP(표4[[#This Row],[종목코드]],표3[],4,FALSE)</f>
        <v>한국투자증권 직접투자계좌 외화RP</v>
      </c>
      <c r="F12" s="25">
        <v>2359.29</v>
      </c>
      <c r="G12" s="25">
        <v>2359.29</v>
      </c>
      <c r="H12" s="26">
        <f>표4[[#This Row],[현금지출]]-표4[[#This Row],[매입액]]</f>
        <v>0</v>
      </c>
      <c r="I12" s="79"/>
      <c r="J12" s="25">
        <v>2359.13</v>
      </c>
      <c r="K12" s="25">
        <v>2359.3200000000002</v>
      </c>
      <c r="L12" s="25"/>
      <c r="M12" s="25">
        <v>2359.29</v>
      </c>
      <c r="N12" s="25">
        <f>표4[[#This Row],[매도액]]-표4[[#This Row],[매도원금]]</f>
        <v>0.19000000000005457</v>
      </c>
      <c r="O12" s="25">
        <f>표4[[#This Row],[매도액]]+표4[[#This Row],[이자배당액]]-표4[[#This Row],[현금수입]]</f>
        <v>3.0000000000200089E-2</v>
      </c>
      <c r="P12" s="27">
        <f>표4[[#This Row],[매매수익]]+표4[[#This Row],[이자배당액]]-표4[[#This Row],[매도비용]]-표4[[#This Row],[매입비용]]</f>
        <v>0.15999999999985448</v>
      </c>
      <c r="Q12" s="33"/>
      <c r="R12" s="33">
        <f>표4[[#This Row],[입출금]]+표4[[#This Row],[현금수입]]-표4[[#This Row],[현금지출]]</f>
        <v>0</v>
      </c>
      <c r="S12" s="102">
        <f>SUM($R$2:R12)</f>
        <v>-9.0949470177292824E-13</v>
      </c>
    </row>
    <row r="13" spans="1:19" x14ac:dyDescent="0.3">
      <c r="A13" s="29">
        <v>45131</v>
      </c>
      <c r="B13" s="24" t="s">
        <v>90</v>
      </c>
      <c r="C13" s="1" t="str">
        <f>VLOOKUP(표4[[#This Row],[종목코드]],표3[],2,FALSE)</f>
        <v>한투외화RP</v>
      </c>
      <c r="D13" s="9" t="str">
        <f>VLOOKUP(표4[[#This Row],[종목코드]],표3[],4,FALSE)</f>
        <v>한국투자증권 직접투자계좌 외화RP</v>
      </c>
      <c r="F13" s="25">
        <v>2359.7800000000002</v>
      </c>
      <c r="G13" s="25">
        <v>2359.7800000000002</v>
      </c>
      <c r="H13" s="26">
        <f>표4[[#This Row],[현금지출]]-표4[[#This Row],[매입액]]</f>
        <v>0</v>
      </c>
      <c r="I13" s="79"/>
      <c r="J13" s="25">
        <v>2359.29</v>
      </c>
      <c r="K13" s="25">
        <v>2359.87</v>
      </c>
      <c r="L13" s="25"/>
      <c r="M13" s="25">
        <v>2359.7800000000002</v>
      </c>
      <c r="N13" s="25">
        <f>표4[[#This Row],[매도액]]-표4[[#This Row],[매도원금]]</f>
        <v>0.57999999999992724</v>
      </c>
      <c r="O13" s="25">
        <f>표4[[#This Row],[매도액]]+표4[[#This Row],[이자배당액]]-표4[[#This Row],[현금수입]]</f>
        <v>8.9999999999690772E-2</v>
      </c>
      <c r="P13" s="27">
        <f>표4[[#This Row],[매매수익]]+표4[[#This Row],[이자배당액]]-표4[[#This Row],[매도비용]]-표4[[#This Row],[매입비용]]</f>
        <v>0.49000000000023647</v>
      </c>
      <c r="Q13" s="33"/>
      <c r="R13" s="33">
        <f>표4[[#This Row],[입출금]]+표4[[#This Row],[현금수입]]-표4[[#This Row],[현금지출]]</f>
        <v>0</v>
      </c>
      <c r="S13" s="102">
        <f>SUM($R$2:R13)</f>
        <v>-9.0949470177292824E-13</v>
      </c>
    </row>
    <row r="14" spans="1:19" x14ac:dyDescent="0.3">
      <c r="A14" s="23">
        <v>45132</v>
      </c>
      <c r="B14" s="24" t="s">
        <v>90</v>
      </c>
      <c r="C14" s="1" t="str">
        <f>VLOOKUP(표4[[#This Row],[종목코드]],표3[],2,FALSE)</f>
        <v>한투외화RP</v>
      </c>
      <c r="D14" s="9" t="str">
        <f>VLOOKUP(표4[[#This Row],[종목코드]],표3[],4,FALSE)</f>
        <v>한국투자증권 직접투자계좌 외화RP</v>
      </c>
      <c r="F14" s="25">
        <v>2359.94</v>
      </c>
      <c r="G14" s="25">
        <v>2359.94</v>
      </c>
      <c r="H14" s="26">
        <f>표4[[#This Row],[현금지출]]-표4[[#This Row],[매입액]]</f>
        <v>0</v>
      </c>
      <c r="I14" s="79"/>
      <c r="J14" s="25">
        <v>2359.7800000000002</v>
      </c>
      <c r="K14" s="25">
        <v>2359.96</v>
      </c>
      <c r="L14" s="25"/>
      <c r="M14" s="25">
        <v>2359.94</v>
      </c>
      <c r="N14" s="25">
        <f>표4[[#This Row],[매도액]]-표4[[#This Row],[매도원금]]</f>
        <v>0.17999999999983629</v>
      </c>
      <c r="O14" s="25">
        <f>표4[[#This Row],[매도액]]+표4[[#This Row],[이자배당액]]-표4[[#This Row],[현금수입]]</f>
        <v>1.999999999998181E-2</v>
      </c>
      <c r="P14" s="27">
        <f>표4[[#This Row],[매매수익]]+표4[[#This Row],[이자배당액]]-표4[[#This Row],[매도비용]]-표4[[#This Row],[매입비용]]</f>
        <v>0.15999999999985448</v>
      </c>
      <c r="Q14" s="33"/>
      <c r="R14" s="33">
        <f>표4[[#This Row],[입출금]]+표4[[#This Row],[현금수입]]-표4[[#This Row],[현금지출]]</f>
        <v>0</v>
      </c>
      <c r="S14" s="102">
        <f>SUM($R$2:R14)</f>
        <v>-9.0949470177292824E-13</v>
      </c>
    </row>
    <row r="15" spans="1:19" x14ac:dyDescent="0.3">
      <c r="A15" s="23">
        <v>45133</v>
      </c>
      <c r="B15" s="24" t="s">
        <v>90</v>
      </c>
      <c r="C15" s="1" t="str">
        <f>VLOOKUP(표4[[#This Row],[종목코드]],표3[],2,FALSE)</f>
        <v>한투외화RP</v>
      </c>
      <c r="D15" s="9" t="str">
        <f>VLOOKUP(표4[[#This Row],[종목코드]],표3[],4,FALSE)</f>
        <v>한국투자증권 직접투자계좌 외화RP</v>
      </c>
      <c r="F15" s="25">
        <v>2360.1</v>
      </c>
      <c r="G15" s="25">
        <v>2360.1</v>
      </c>
      <c r="H15" s="26">
        <f>표4[[#This Row],[현금지출]]-표4[[#This Row],[매입액]]</f>
        <v>0</v>
      </c>
      <c r="I15" s="79"/>
      <c r="J15" s="25">
        <v>2359.94</v>
      </c>
      <c r="K15" s="25">
        <v>2360.13</v>
      </c>
      <c r="L15" s="25"/>
      <c r="M15" s="25">
        <v>2360.1</v>
      </c>
      <c r="N15" s="25">
        <f>표4[[#This Row],[매도액]]-표4[[#This Row],[매도원금]]</f>
        <v>0.19000000000005457</v>
      </c>
      <c r="O15" s="25">
        <f>표4[[#This Row],[매도액]]+표4[[#This Row],[이자배당액]]-표4[[#This Row],[현금수입]]</f>
        <v>3.0000000000200089E-2</v>
      </c>
      <c r="P15" s="27">
        <f>표4[[#This Row],[매매수익]]+표4[[#This Row],[이자배당액]]-표4[[#This Row],[매도비용]]-표4[[#This Row],[매입비용]]</f>
        <v>0.15999999999985448</v>
      </c>
      <c r="Q15" s="33"/>
      <c r="R15" s="33">
        <f>표4[[#This Row],[입출금]]+표4[[#This Row],[현금수입]]-표4[[#This Row],[현금지출]]</f>
        <v>0</v>
      </c>
      <c r="S15" s="102">
        <f>SUM($R$2:R15)</f>
        <v>-9.0949470177292824E-13</v>
      </c>
    </row>
    <row r="16" spans="1:19" x14ac:dyDescent="0.3">
      <c r="A16" s="23">
        <v>45134</v>
      </c>
      <c r="B16" s="24" t="s">
        <v>90</v>
      </c>
      <c r="C16" s="1" t="str">
        <f>VLOOKUP(표4[[#This Row],[종목코드]],표3[],2,FALSE)</f>
        <v>한투외화RP</v>
      </c>
      <c r="D16" s="9" t="str">
        <f>VLOOKUP(표4[[#This Row],[종목코드]],표3[],4,FALSE)</f>
        <v>한국투자증권 직접투자계좌 외화RP</v>
      </c>
      <c r="F16" s="25">
        <v>2360.2600000000002</v>
      </c>
      <c r="G16" s="25">
        <v>2360.2600000000002</v>
      </c>
      <c r="H16" s="26">
        <f>표4[[#This Row],[현금지출]]-표4[[#This Row],[매입액]]</f>
        <v>0</v>
      </c>
      <c r="I16" s="79"/>
      <c r="J16" s="25">
        <v>2360.1</v>
      </c>
      <c r="K16" s="25">
        <v>2360.29</v>
      </c>
      <c r="L16" s="25"/>
      <c r="M16" s="25">
        <v>2360.2600000000002</v>
      </c>
      <c r="N16" s="25">
        <f>표4[[#This Row],[매도액]]-표4[[#This Row],[매도원금]]</f>
        <v>0.19000000000005457</v>
      </c>
      <c r="O16" s="25">
        <f>표4[[#This Row],[매도액]]+표4[[#This Row],[이자배당액]]-표4[[#This Row],[현금수입]]</f>
        <v>2.9999999999745341E-2</v>
      </c>
      <c r="P16" s="27">
        <f>표4[[#This Row],[매매수익]]+표4[[#This Row],[이자배당액]]-표4[[#This Row],[매도비용]]-표4[[#This Row],[매입비용]]</f>
        <v>0.16000000000030923</v>
      </c>
      <c r="Q16" s="33"/>
      <c r="R16" s="33">
        <f>표4[[#This Row],[입출금]]+표4[[#This Row],[현금수입]]-표4[[#This Row],[현금지출]]</f>
        <v>0</v>
      </c>
      <c r="S16" s="102">
        <f>SUM($R$2:R16)</f>
        <v>-9.0949470177292824E-13</v>
      </c>
    </row>
    <row r="17" spans="1:19" x14ac:dyDescent="0.3">
      <c r="A17" s="23">
        <v>45135</v>
      </c>
      <c r="B17" s="24" t="s">
        <v>90</v>
      </c>
      <c r="C17" s="1" t="str">
        <f>VLOOKUP(표4[[#This Row],[종목코드]],표3[],2,FALSE)</f>
        <v>한투외화RP</v>
      </c>
      <c r="D17" s="9" t="str">
        <f>VLOOKUP(표4[[#This Row],[종목코드]],표3[],4,FALSE)</f>
        <v>한국투자증권 직접투자계좌 외화RP</v>
      </c>
      <c r="F17" s="25">
        <v>2360.42</v>
      </c>
      <c r="G17" s="25">
        <v>2360.42</v>
      </c>
      <c r="H17" s="26">
        <f>표4[[#This Row],[현금지출]]-표4[[#This Row],[매입액]]</f>
        <v>0</v>
      </c>
      <c r="I17" s="79"/>
      <c r="J17" s="25">
        <v>2360.2600000000002</v>
      </c>
      <c r="K17" s="25">
        <v>2360.44</v>
      </c>
      <c r="L17" s="25"/>
      <c r="M17" s="25">
        <v>2360.42</v>
      </c>
      <c r="N17" s="25">
        <f>표4[[#This Row],[매도액]]-표4[[#This Row],[매도원금]]</f>
        <v>0.17999999999983629</v>
      </c>
      <c r="O17" s="25">
        <f>표4[[#This Row],[매도액]]+표4[[#This Row],[이자배당액]]-표4[[#This Row],[현금수입]]</f>
        <v>1.999999999998181E-2</v>
      </c>
      <c r="P17" s="27">
        <f>표4[[#This Row],[매매수익]]+표4[[#This Row],[이자배당액]]-표4[[#This Row],[매도비용]]-표4[[#This Row],[매입비용]]</f>
        <v>0.15999999999985448</v>
      </c>
      <c r="Q17" s="33"/>
      <c r="R17" s="33">
        <f>표4[[#This Row],[입출금]]+표4[[#This Row],[현금수입]]-표4[[#This Row],[현금지출]]</f>
        <v>0</v>
      </c>
      <c r="S17" s="102">
        <f>SUM($R$2:R17)</f>
        <v>-9.0949470177292824E-13</v>
      </c>
    </row>
    <row r="18" spans="1:19" x14ac:dyDescent="0.3">
      <c r="A18" s="23">
        <v>45138</v>
      </c>
      <c r="B18" s="24" t="s">
        <v>90</v>
      </c>
      <c r="C18" s="1" t="str">
        <f>VLOOKUP(표4[[#This Row],[종목코드]],표3[],2,FALSE)</f>
        <v>한투외화RP</v>
      </c>
      <c r="D18" s="9" t="str">
        <f>VLOOKUP(표4[[#This Row],[종목코드]],표3[],4,FALSE)</f>
        <v>한국투자증권 직접투자계좌 외화RP</v>
      </c>
      <c r="F18" s="25">
        <v>2360.91</v>
      </c>
      <c r="G18" s="25">
        <v>2360.91</v>
      </c>
      <c r="H18" s="26">
        <f>표4[[#This Row],[현금지출]]-표4[[#This Row],[매입액]]</f>
        <v>0</v>
      </c>
      <c r="I18" s="79"/>
      <c r="J18" s="25">
        <v>2360.42</v>
      </c>
      <c r="K18" s="25">
        <v>2361</v>
      </c>
      <c r="L18" s="25"/>
      <c r="M18" s="25">
        <v>2360.91</v>
      </c>
      <c r="N18" s="25">
        <f>표4[[#This Row],[매도액]]-표4[[#This Row],[매도원금]]</f>
        <v>0.57999999999992724</v>
      </c>
      <c r="O18" s="25">
        <f>표4[[#This Row],[매도액]]+표4[[#This Row],[이자배당액]]-표4[[#This Row],[현금수입]]</f>
        <v>9.0000000000145519E-2</v>
      </c>
      <c r="P18" s="27">
        <f>표4[[#This Row],[매매수익]]+표4[[#This Row],[이자배당액]]-표4[[#This Row],[매도비용]]-표4[[#This Row],[매입비용]]</f>
        <v>0.48999999999978172</v>
      </c>
      <c r="Q18" s="33"/>
      <c r="R18" s="33">
        <f>표4[[#This Row],[입출금]]+표4[[#This Row],[현금수입]]-표4[[#This Row],[현금지출]]</f>
        <v>0</v>
      </c>
      <c r="S18" s="102">
        <f>SUM($R$2:R18)</f>
        <v>-9.0949470177292824E-13</v>
      </c>
    </row>
    <row r="19" spans="1:19" x14ac:dyDescent="0.3">
      <c r="A19" s="23">
        <v>45139</v>
      </c>
      <c r="B19" s="24" t="s">
        <v>90</v>
      </c>
      <c r="C19" s="1" t="str">
        <f>VLOOKUP(표4[[#This Row],[종목코드]],표3[],2,FALSE)</f>
        <v>한투외화RP</v>
      </c>
      <c r="D19" s="9" t="str">
        <f>VLOOKUP(표4[[#This Row],[종목코드]],표3[],4,FALSE)</f>
        <v>한국투자증권 직접투자계좌 외화RP</v>
      </c>
      <c r="F19" s="25">
        <v>2361.0700000000002</v>
      </c>
      <c r="G19" s="25">
        <v>2361.0700000000002</v>
      </c>
      <c r="H19" s="26">
        <f>표4[[#This Row],[현금지출]]-표4[[#This Row],[매입액]]</f>
        <v>0</v>
      </c>
      <c r="I19" s="79"/>
      <c r="J19" s="25">
        <v>2360.91</v>
      </c>
      <c r="K19" s="25">
        <v>2361.1</v>
      </c>
      <c r="L19" s="25"/>
      <c r="M19" s="25">
        <v>2361.0700000000002</v>
      </c>
      <c r="N19" s="25">
        <f>표4[[#This Row],[매도액]]-표4[[#This Row],[매도원금]]</f>
        <v>0.19000000000005457</v>
      </c>
      <c r="O19" s="25">
        <f>표4[[#This Row],[매도액]]+표4[[#This Row],[이자배당액]]-표4[[#This Row],[현금수입]]</f>
        <v>2.9999999999745341E-2</v>
      </c>
      <c r="P19" s="27">
        <f>표4[[#This Row],[매매수익]]+표4[[#This Row],[이자배당액]]-표4[[#This Row],[매도비용]]-표4[[#This Row],[매입비용]]</f>
        <v>0.16000000000030923</v>
      </c>
      <c r="Q19" s="33"/>
      <c r="R19" s="33">
        <f>표4[[#This Row],[입출금]]+표4[[#This Row],[현금수입]]-표4[[#This Row],[현금지출]]</f>
        <v>0</v>
      </c>
      <c r="S19" s="102">
        <f>SUM($R$2:R19)</f>
        <v>-9.0949470177292824E-13</v>
      </c>
    </row>
    <row r="20" spans="1:19" x14ac:dyDescent="0.3">
      <c r="A20" s="23">
        <v>45140</v>
      </c>
      <c r="B20" s="24" t="s">
        <v>90</v>
      </c>
      <c r="C20" s="1" t="str">
        <f>VLOOKUP(표4[[#This Row],[종목코드]],표3[],2,FALSE)</f>
        <v>한투외화RP</v>
      </c>
      <c r="D20" s="9" t="str">
        <f>VLOOKUP(표4[[#This Row],[종목코드]],표3[],4,FALSE)</f>
        <v>한국투자증권 직접투자계좌 외화RP</v>
      </c>
      <c r="F20" s="25">
        <v>2361.23</v>
      </c>
      <c r="G20" s="25">
        <v>2361.23</v>
      </c>
      <c r="H20" s="26">
        <f>표4[[#This Row],[현금지출]]-표4[[#This Row],[매입액]]</f>
        <v>0</v>
      </c>
      <c r="I20" s="79"/>
      <c r="J20" s="25">
        <v>2361.0700000000002</v>
      </c>
      <c r="K20" s="25">
        <v>2361.2600000000002</v>
      </c>
      <c r="L20" s="25"/>
      <c r="M20" s="25">
        <v>2361.23</v>
      </c>
      <c r="N20" s="25">
        <f>표4[[#This Row],[매도액]]-표4[[#This Row],[매도원금]]</f>
        <v>0.19000000000005457</v>
      </c>
      <c r="O20" s="25">
        <f>표4[[#This Row],[매도액]]+표4[[#This Row],[이자배당액]]-표4[[#This Row],[현금수입]]</f>
        <v>3.0000000000200089E-2</v>
      </c>
      <c r="P20" s="27">
        <f>표4[[#This Row],[매매수익]]+표4[[#This Row],[이자배당액]]-표4[[#This Row],[매도비용]]-표4[[#This Row],[매입비용]]</f>
        <v>0.15999999999985448</v>
      </c>
      <c r="Q20" s="33"/>
      <c r="R20" s="33">
        <f>표4[[#This Row],[입출금]]+표4[[#This Row],[현금수입]]-표4[[#This Row],[현금지출]]</f>
        <v>0</v>
      </c>
      <c r="S20" s="102">
        <f>SUM($R$2:R20)</f>
        <v>-9.0949470177292824E-13</v>
      </c>
    </row>
    <row r="21" spans="1:19" x14ac:dyDescent="0.3">
      <c r="A21" s="23">
        <v>45141</v>
      </c>
      <c r="B21" s="24" t="s">
        <v>90</v>
      </c>
      <c r="C21" s="1" t="str">
        <f>VLOOKUP(표4[[#This Row],[종목코드]],표3[],2,FALSE)</f>
        <v>한투외화RP</v>
      </c>
      <c r="D21" s="9" t="str">
        <f>VLOOKUP(표4[[#This Row],[종목코드]],표3[],4,FALSE)</f>
        <v>한국투자증권 직접투자계좌 외화RP</v>
      </c>
      <c r="F21" s="25">
        <v>2361.41</v>
      </c>
      <c r="G21" s="25">
        <v>2361.41</v>
      </c>
      <c r="H21" s="26">
        <f>표4[[#This Row],[현금지출]]-표4[[#This Row],[매입액]]</f>
        <v>0</v>
      </c>
      <c r="I21" s="79"/>
      <c r="J21" s="25">
        <v>2361.23</v>
      </c>
      <c r="K21" s="25">
        <v>2361.44</v>
      </c>
      <c r="L21" s="25"/>
      <c r="M21" s="25">
        <v>2361.41</v>
      </c>
      <c r="N21" s="25">
        <f>표4[[#This Row],[매도액]]-표4[[#This Row],[매도원금]]</f>
        <v>0.21000000000003638</v>
      </c>
      <c r="O21" s="25">
        <f>표4[[#This Row],[매도액]]+표4[[#This Row],[이자배당액]]-표4[[#This Row],[현금수입]]</f>
        <v>3.0000000000200089E-2</v>
      </c>
      <c r="P21" s="27">
        <f>표4[[#This Row],[매매수익]]+표4[[#This Row],[이자배당액]]-표4[[#This Row],[매도비용]]-표4[[#This Row],[매입비용]]</f>
        <v>0.17999999999983629</v>
      </c>
      <c r="Q21" s="33"/>
      <c r="R21" s="33">
        <f>표4[[#This Row],[입출금]]+표4[[#This Row],[현금수입]]-표4[[#This Row],[현금지출]]</f>
        <v>0</v>
      </c>
      <c r="S21" s="102">
        <f>SUM($R$2:R21)</f>
        <v>-9.0949470177292824E-13</v>
      </c>
    </row>
    <row r="22" spans="1:19" x14ac:dyDescent="0.3">
      <c r="A22" s="23">
        <v>45142</v>
      </c>
      <c r="B22" s="24" t="s">
        <v>90</v>
      </c>
      <c r="C22" s="1" t="str">
        <f>VLOOKUP(표4[[#This Row],[종목코드]],표3[],2,FALSE)</f>
        <v>한투외화RP</v>
      </c>
      <c r="D22" s="9" t="str">
        <f>VLOOKUP(표4[[#This Row],[종목코드]],표3[],4,FALSE)</f>
        <v>한국투자증권 직접투자계좌 외화RP</v>
      </c>
      <c r="F22" s="25">
        <v>2361.59</v>
      </c>
      <c r="G22" s="25">
        <v>2361.59</v>
      </c>
      <c r="H22" s="26">
        <f>표4[[#This Row],[현금지출]]-표4[[#This Row],[매입액]]</f>
        <v>0</v>
      </c>
      <c r="I22" s="79"/>
      <c r="J22" s="25">
        <v>2361.41</v>
      </c>
      <c r="K22" s="25">
        <v>2361.62</v>
      </c>
      <c r="L22" s="25"/>
      <c r="M22" s="25">
        <v>2361.59</v>
      </c>
      <c r="N22" s="25">
        <f>표4[[#This Row],[매도액]]-표4[[#This Row],[매도원금]]</f>
        <v>0.21000000000003638</v>
      </c>
      <c r="O22" s="25">
        <f>표4[[#This Row],[매도액]]+표4[[#This Row],[이자배당액]]-표4[[#This Row],[현금수입]]</f>
        <v>2.9999999999745341E-2</v>
      </c>
      <c r="P22" s="27">
        <f>표4[[#This Row],[매매수익]]+표4[[#This Row],[이자배당액]]-표4[[#This Row],[매도비용]]-표4[[#This Row],[매입비용]]</f>
        <v>0.18000000000029104</v>
      </c>
      <c r="Q22" s="33"/>
      <c r="R22" s="33">
        <f>표4[[#This Row],[입출금]]+표4[[#This Row],[현금수입]]-표4[[#This Row],[현금지출]]</f>
        <v>0</v>
      </c>
      <c r="S22" s="102">
        <f>SUM($R$2:R22)</f>
        <v>-9.0949470177292824E-13</v>
      </c>
    </row>
    <row r="23" spans="1:19" x14ac:dyDescent="0.3">
      <c r="A23" s="23">
        <v>45145</v>
      </c>
      <c r="B23" s="24" t="s">
        <v>90</v>
      </c>
      <c r="C23" s="1" t="str">
        <f>VLOOKUP(표4[[#This Row],[종목코드]],표3[],2,FALSE)</f>
        <v>한투외화RP</v>
      </c>
      <c r="D23" s="9" t="str">
        <f>VLOOKUP(표4[[#This Row],[종목코드]],표3[],4,FALSE)</f>
        <v>한국투자증권 직접투자계좌 외화RP</v>
      </c>
      <c r="F23" s="25">
        <v>2362.12</v>
      </c>
      <c r="G23" s="25">
        <v>2362.12</v>
      </c>
      <c r="H23" s="26">
        <f>표4[[#This Row],[현금지출]]-표4[[#This Row],[매입액]]</f>
        <v>0</v>
      </c>
      <c r="I23" s="79"/>
      <c r="J23" s="25">
        <v>2361.59</v>
      </c>
      <c r="K23" s="25">
        <v>2362.21</v>
      </c>
      <c r="L23" s="25"/>
      <c r="M23" s="25">
        <v>2362.12</v>
      </c>
      <c r="N23" s="25">
        <f>표4[[#This Row],[매도액]]-표4[[#This Row],[매도원금]]</f>
        <v>0.61999999999989086</v>
      </c>
      <c r="O23" s="25">
        <f>표4[[#This Row],[매도액]]+표4[[#This Row],[이자배당액]]-표4[[#This Row],[현금수입]]</f>
        <v>9.0000000000145519E-2</v>
      </c>
      <c r="P23" s="27">
        <f>표4[[#This Row],[매매수익]]+표4[[#This Row],[이자배당액]]-표4[[#This Row],[매도비용]]-표4[[#This Row],[매입비용]]</f>
        <v>0.52999999999974534</v>
      </c>
      <c r="Q23" s="33"/>
      <c r="R23" s="33">
        <f>표4[[#This Row],[입출금]]+표4[[#This Row],[현금수입]]-표4[[#This Row],[현금지출]]</f>
        <v>0</v>
      </c>
      <c r="S23" s="102">
        <f>SUM($R$2:R23)</f>
        <v>-9.0949470177292824E-13</v>
      </c>
    </row>
    <row r="24" spans="1:19" x14ac:dyDescent="0.3">
      <c r="A24" s="23">
        <v>45146</v>
      </c>
      <c r="B24" s="24" t="s">
        <v>90</v>
      </c>
      <c r="C24" s="1" t="str">
        <f>VLOOKUP(표4[[#This Row],[종목코드]],표3[],2,FALSE)</f>
        <v>한투외화RP</v>
      </c>
      <c r="D24" s="9" t="str">
        <f>VLOOKUP(표4[[#This Row],[종목코드]],표3[],4,FALSE)</f>
        <v>한국투자증권 직접투자계좌 외화RP</v>
      </c>
      <c r="F24" s="25">
        <v>2362.3000000000002</v>
      </c>
      <c r="G24" s="25">
        <v>2362.3000000000002</v>
      </c>
      <c r="H24" s="26">
        <f>표4[[#This Row],[현금지출]]-표4[[#This Row],[매입액]]</f>
        <v>0</v>
      </c>
      <c r="I24" s="79"/>
      <c r="J24" s="25">
        <v>2362.12</v>
      </c>
      <c r="K24" s="25">
        <v>2362.33</v>
      </c>
      <c r="L24" s="25"/>
      <c r="M24" s="25">
        <v>2362.3000000000002</v>
      </c>
      <c r="N24" s="25">
        <f>표4[[#This Row],[매도액]]-표4[[#This Row],[매도원금]]</f>
        <v>0.21000000000003638</v>
      </c>
      <c r="O24" s="25">
        <f>표4[[#This Row],[매도액]]+표4[[#This Row],[이자배당액]]-표4[[#This Row],[현금수입]]</f>
        <v>2.9999999999745341E-2</v>
      </c>
      <c r="P24" s="27">
        <f>표4[[#This Row],[매매수익]]+표4[[#This Row],[이자배당액]]-표4[[#This Row],[매도비용]]-표4[[#This Row],[매입비용]]</f>
        <v>0.18000000000029104</v>
      </c>
      <c r="Q24" s="33"/>
      <c r="R24" s="33">
        <f>표4[[#This Row],[입출금]]+표4[[#This Row],[현금수입]]-표4[[#This Row],[현금지출]]</f>
        <v>0</v>
      </c>
      <c r="S24" s="102">
        <f>SUM($R$2:R24)</f>
        <v>-9.0949470177292824E-13</v>
      </c>
    </row>
    <row r="25" spans="1:19" x14ac:dyDescent="0.3">
      <c r="A25" s="23">
        <v>45147</v>
      </c>
      <c r="B25" s="24" t="s">
        <v>90</v>
      </c>
      <c r="C25" s="1" t="str">
        <f>VLOOKUP(표4[[#This Row],[종목코드]],표3[],2,FALSE)</f>
        <v>한투외화RP</v>
      </c>
      <c r="D25" s="9" t="str">
        <f>VLOOKUP(표4[[#This Row],[종목코드]],표3[],4,FALSE)</f>
        <v>한국투자증권 직접투자계좌 외화RP</v>
      </c>
      <c r="F25" s="25">
        <v>2362.48</v>
      </c>
      <c r="G25" s="25">
        <v>2362.48</v>
      </c>
      <c r="H25" s="26">
        <f>표4[[#This Row],[현금지출]]-표4[[#This Row],[매입액]]</f>
        <v>0</v>
      </c>
      <c r="I25" s="79"/>
      <c r="J25" s="25">
        <v>2362.3000000000002</v>
      </c>
      <c r="K25" s="25">
        <v>2362.5100000000002</v>
      </c>
      <c r="L25" s="25"/>
      <c r="M25" s="25">
        <v>2362.48</v>
      </c>
      <c r="N25" s="25">
        <f>표4[[#This Row],[매도액]]-표4[[#This Row],[매도원금]]</f>
        <v>0.21000000000003638</v>
      </c>
      <c r="O25" s="25">
        <f>표4[[#This Row],[매도액]]+표4[[#This Row],[이자배당액]]-표4[[#This Row],[현금수입]]</f>
        <v>3.0000000000200089E-2</v>
      </c>
      <c r="P25" s="27">
        <f>표4[[#This Row],[매매수익]]+표4[[#This Row],[이자배당액]]-표4[[#This Row],[매도비용]]-표4[[#This Row],[매입비용]]</f>
        <v>0.17999999999983629</v>
      </c>
      <c r="Q25" s="33"/>
      <c r="R25" s="33">
        <f>표4[[#This Row],[입출금]]+표4[[#This Row],[현금수입]]-표4[[#This Row],[현금지출]]</f>
        <v>0</v>
      </c>
      <c r="S25" s="102">
        <f>SUM($R$2:R25)</f>
        <v>-9.0949470177292824E-13</v>
      </c>
    </row>
    <row r="26" spans="1:19" x14ac:dyDescent="0.3">
      <c r="A26" s="23">
        <v>45148</v>
      </c>
      <c r="B26" s="24" t="s">
        <v>90</v>
      </c>
      <c r="C26" s="1" t="str">
        <f>VLOOKUP(표4[[#This Row],[종목코드]],표3[],2,FALSE)</f>
        <v>한투외화RP</v>
      </c>
      <c r="D26" s="9" t="str">
        <f>VLOOKUP(표4[[#This Row],[종목코드]],표3[],4,FALSE)</f>
        <v>한국투자증권 직접투자계좌 외화RP</v>
      </c>
      <c r="F26" s="25">
        <v>2362.66</v>
      </c>
      <c r="G26" s="25">
        <v>2362.66</v>
      </c>
      <c r="H26" s="26">
        <f>표4[[#This Row],[현금지출]]-표4[[#This Row],[매입액]]</f>
        <v>0</v>
      </c>
      <c r="I26" s="79"/>
      <c r="J26" s="25">
        <v>2362.48</v>
      </c>
      <c r="K26" s="25">
        <v>2362.69</v>
      </c>
      <c r="L26" s="25"/>
      <c r="M26" s="25">
        <v>2362.66</v>
      </c>
      <c r="N26" s="25">
        <f>표4[[#This Row],[매도액]]-표4[[#This Row],[매도원금]]</f>
        <v>0.21000000000003638</v>
      </c>
      <c r="O26" s="25">
        <f>표4[[#This Row],[매도액]]+표4[[#This Row],[이자배당액]]-표4[[#This Row],[현금수입]]</f>
        <v>3.0000000000200089E-2</v>
      </c>
      <c r="P26" s="27">
        <f>표4[[#This Row],[매매수익]]+표4[[#This Row],[이자배당액]]-표4[[#This Row],[매도비용]]-표4[[#This Row],[매입비용]]</f>
        <v>0.17999999999983629</v>
      </c>
      <c r="Q26" s="33"/>
      <c r="R26" s="33">
        <f>표4[[#This Row],[입출금]]+표4[[#This Row],[현금수입]]-표4[[#This Row],[현금지출]]</f>
        <v>0</v>
      </c>
      <c r="S26" s="102">
        <f>SUM($R$2:R26)</f>
        <v>-9.0949470177292824E-13</v>
      </c>
    </row>
    <row r="27" spans="1:19" x14ac:dyDescent="0.3">
      <c r="A27" s="36">
        <v>45149</v>
      </c>
      <c r="B27" s="61" t="s">
        <v>90</v>
      </c>
      <c r="C27" s="1" t="str">
        <f>VLOOKUP(표4[[#This Row],[종목코드]],표3[],2,FALSE)</f>
        <v>한투외화RP</v>
      </c>
      <c r="D27" s="9" t="str">
        <f>VLOOKUP(표4[[#This Row],[종목코드]],표3[],4,FALSE)</f>
        <v>한국투자증권 직접투자계좌 외화RP</v>
      </c>
      <c r="F27" s="37">
        <v>2362.84</v>
      </c>
      <c r="G27" s="37">
        <v>2362.84</v>
      </c>
      <c r="H27" s="38">
        <f>표4[[#This Row],[현금지출]]-표4[[#This Row],[매입액]]</f>
        <v>0</v>
      </c>
      <c r="I27" s="81"/>
      <c r="J27" s="25">
        <v>2362.66</v>
      </c>
      <c r="K27" s="37">
        <v>2362.87</v>
      </c>
      <c r="L27" s="37"/>
      <c r="M27" s="37">
        <v>2362.84</v>
      </c>
      <c r="N27" s="37">
        <f>표4[[#This Row],[매도액]]-표4[[#This Row],[매도원금]]</f>
        <v>0.21000000000003638</v>
      </c>
      <c r="O27" s="37">
        <f>표4[[#This Row],[매도액]]+표4[[#This Row],[이자배당액]]-표4[[#This Row],[현금수입]]</f>
        <v>2.9999999999745341E-2</v>
      </c>
      <c r="P27" s="39">
        <f>표4[[#This Row],[매매수익]]+표4[[#This Row],[이자배당액]]-표4[[#This Row],[매도비용]]-표4[[#This Row],[매입비용]]</f>
        <v>0.18000000000029104</v>
      </c>
      <c r="Q27" s="33"/>
      <c r="R27" s="33">
        <f>표4[[#This Row],[입출금]]+표4[[#This Row],[현금수입]]-표4[[#This Row],[현금지출]]</f>
        <v>0</v>
      </c>
      <c r="S27" s="102">
        <f>SUM($R$2:R27)</f>
        <v>-9.0949470177292824E-13</v>
      </c>
    </row>
    <row r="28" spans="1:19" x14ac:dyDescent="0.3">
      <c r="A28" s="48">
        <v>45152</v>
      </c>
      <c r="B28" s="24" t="s">
        <v>166</v>
      </c>
      <c r="C28" s="1" t="str">
        <f>VLOOKUP(표4[[#This Row],[종목코드]],표3[],2,FALSE)</f>
        <v>(약정)한투외화발행어음</v>
      </c>
      <c r="D28" s="9" t="str">
        <f>VLOOKUP(표4[[#This Row],[종목코드]],표3[],4,FALSE)</f>
        <v>한국투자증권 직접투자계좌 외화발행어음(약정)</v>
      </c>
      <c r="F28" s="45"/>
      <c r="G28" s="46"/>
      <c r="H28" s="46">
        <f>표4[[#This Row],[현금지출]]-표4[[#This Row],[매입액]]</f>
        <v>0</v>
      </c>
      <c r="I28" s="82">
        <v>1</v>
      </c>
      <c r="J28" s="25">
        <v>4677.0200000000004</v>
      </c>
      <c r="K28" s="45">
        <v>4695.47</v>
      </c>
      <c r="L28" s="45"/>
      <c r="M28" s="45">
        <v>4692.6400000000003</v>
      </c>
      <c r="N28" s="45">
        <f>표4[[#This Row],[매도액]]-표4[[#This Row],[매도원금]]</f>
        <v>18.449999999999818</v>
      </c>
      <c r="O28" s="45">
        <f>표4[[#This Row],[매도액]]+표4[[#This Row],[이자배당액]]-표4[[#This Row],[현금수입]]</f>
        <v>2.8299999999999272</v>
      </c>
      <c r="P28" s="47">
        <f>표4[[#This Row],[매매수익]]+표4[[#This Row],[이자배당액]]-표4[[#This Row],[매도비용]]-표4[[#This Row],[매입비용]]</f>
        <v>15.619999999999891</v>
      </c>
      <c r="Q28" s="33"/>
      <c r="R28" s="33">
        <f>표4[[#This Row],[입출금]]+표4[[#This Row],[현금수입]]-표4[[#This Row],[현금지출]]</f>
        <v>4692.6400000000003</v>
      </c>
      <c r="S28" s="102">
        <f>SUM($R$2:R28)</f>
        <v>4692.6399999999994</v>
      </c>
    </row>
    <row r="29" spans="1:19" x14ac:dyDescent="0.3">
      <c r="A29" s="48">
        <v>45152</v>
      </c>
      <c r="B29" s="61" t="s">
        <v>90</v>
      </c>
      <c r="C29" s="1" t="str">
        <f>VLOOKUP(표4[[#This Row],[종목코드]],표3[],2,FALSE)</f>
        <v>한투외화RP</v>
      </c>
      <c r="D29" s="9" t="str">
        <f>VLOOKUP(표4[[#This Row],[종목코드]],표3[],4,FALSE)</f>
        <v>한국투자증권 직접투자계좌 외화RP</v>
      </c>
      <c r="F29" s="49">
        <v>7056.01</v>
      </c>
      <c r="G29" s="50">
        <v>7056.01</v>
      </c>
      <c r="H29" s="50">
        <f>표4[[#This Row],[현금지출]]-표4[[#This Row],[매입액]]</f>
        <v>0</v>
      </c>
      <c r="I29" s="83"/>
      <c r="J29" s="49">
        <v>2362.84</v>
      </c>
      <c r="K29" s="49">
        <v>2363.46</v>
      </c>
      <c r="L29" s="49"/>
      <c r="M29" s="49">
        <v>2363.37</v>
      </c>
      <c r="N29" s="49">
        <f>표4[[#This Row],[매도액]]-표4[[#This Row],[매도원금]]</f>
        <v>0.61999999999989086</v>
      </c>
      <c r="O29" s="49">
        <f>표4[[#This Row],[매도액]]+표4[[#This Row],[이자배당액]]-표4[[#This Row],[현금수입]]</f>
        <v>9.0000000000145519E-2</v>
      </c>
      <c r="P29" s="51">
        <f>표4[[#This Row],[매매수익]]+표4[[#This Row],[이자배당액]]-표4[[#This Row],[매도비용]]-표4[[#This Row],[매입비용]]</f>
        <v>0.52999999999974534</v>
      </c>
      <c r="Q29" s="33"/>
      <c r="R29" s="33">
        <f>표4[[#This Row],[입출금]]+표4[[#This Row],[현금수입]]-표4[[#This Row],[현금지출]]</f>
        <v>-4692.6400000000003</v>
      </c>
      <c r="S29" s="102">
        <f>SUM($R$2:R29)</f>
        <v>0</v>
      </c>
    </row>
    <row r="30" spans="1:19" x14ac:dyDescent="0.3">
      <c r="A30" s="48">
        <v>45154</v>
      </c>
      <c r="B30" s="61" t="s">
        <v>90</v>
      </c>
      <c r="C30" s="1" t="str">
        <f>VLOOKUP(표4[[#This Row],[종목코드]],표3[],2,FALSE)</f>
        <v>한투외화RP</v>
      </c>
      <c r="D30" s="9" t="str">
        <f>VLOOKUP(표4[[#This Row],[종목코드]],표3[],4,FALSE)</f>
        <v>한국투자증권 직접투자계좌 외화RP</v>
      </c>
      <c r="F30" s="49">
        <v>7057.07</v>
      </c>
      <c r="G30" s="49">
        <v>7057.07</v>
      </c>
      <c r="H30" s="50">
        <f>표4[[#This Row],[현금지출]]-표4[[#This Row],[매입액]]</f>
        <v>0</v>
      </c>
      <c r="I30" s="83"/>
      <c r="J30" s="49">
        <v>7056.01</v>
      </c>
      <c r="K30" s="49">
        <v>7057.26</v>
      </c>
      <c r="L30" s="49"/>
      <c r="M30" s="49">
        <v>7057.07</v>
      </c>
      <c r="N30" s="49">
        <f>표4[[#This Row],[매도액]]-표4[[#This Row],[매도원금]]</f>
        <v>1.25</v>
      </c>
      <c r="O30" s="49">
        <f>표4[[#This Row],[매도액]]+표4[[#This Row],[이자배당액]]-표4[[#This Row],[현금수입]]</f>
        <v>0.19000000000050932</v>
      </c>
      <c r="P30" s="51">
        <f>표4[[#This Row],[매매수익]]+표4[[#This Row],[이자배당액]]-표4[[#This Row],[매도비용]]-표4[[#This Row],[매입비용]]</f>
        <v>1.0599999999994907</v>
      </c>
      <c r="Q30" s="33"/>
      <c r="R30" s="33">
        <f>표4[[#This Row],[입출금]]+표4[[#This Row],[현금수입]]-표4[[#This Row],[현금지출]]</f>
        <v>0</v>
      </c>
      <c r="S30" s="102">
        <f>SUM($R$2:R30)</f>
        <v>-9.0949470177292824E-13</v>
      </c>
    </row>
    <row r="31" spans="1:19" x14ac:dyDescent="0.3">
      <c r="A31" s="48">
        <v>45155</v>
      </c>
      <c r="B31" s="61" t="s">
        <v>90</v>
      </c>
      <c r="C31" s="1" t="str">
        <f>VLOOKUP(표4[[#This Row],[종목코드]],표3[],2,FALSE)</f>
        <v>한투외화RP</v>
      </c>
      <c r="D31" s="9" t="str">
        <f>VLOOKUP(표4[[#This Row],[종목코드]],표3[],4,FALSE)</f>
        <v>한국투자증권 직접투자계좌 외화RP</v>
      </c>
      <c r="F31" s="49">
        <v>7057.59</v>
      </c>
      <c r="G31" s="49">
        <v>7057.59</v>
      </c>
      <c r="H31" s="50">
        <f>표4[[#This Row],[현금지출]]-표4[[#This Row],[매입액]]</f>
        <v>0</v>
      </c>
      <c r="I31" s="83"/>
      <c r="J31" s="49">
        <v>7057.07</v>
      </c>
      <c r="K31" s="49">
        <v>7057.69</v>
      </c>
      <c r="L31" s="49"/>
      <c r="M31" s="49">
        <v>7057.59</v>
      </c>
      <c r="N31" s="49">
        <f>표4[[#This Row],[매도액]]-표4[[#This Row],[매도원금]]</f>
        <v>0.61999999999989086</v>
      </c>
      <c r="O31" s="49">
        <f>표4[[#This Row],[매도액]]+표4[[#This Row],[이자배당액]]-표4[[#This Row],[현금수입]]</f>
        <v>9.9999999999454303E-2</v>
      </c>
      <c r="P31" s="51">
        <f>표4[[#This Row],[매매수익]]+표4[[#This Row],[이자배당액]]-표4[[#This Row],[매도비용]]-표4[[#This Row],[매입비용]]</f>
        <v>0.52000000000043656</v>
      </c>
      <c r="Q31" s="33"/>
      <c r="R31" s="33">
        <f>표4[[#This Row],[입출금]]+표4[[#This Row],[현금수입]]-표4[[#This Row],[현금지출]]</f>
        <v>0</v>
      </c>
      <c r="S31" s="102">
        <f>SUM($R$2:R31)</f>
        <v>-9.0949470177292824E-13</v>
      </c>
    </row>
    <row r="32" spans="1:19" x14ac:dyDescent="0.3">
      <c r="A32" s="48">
        <v>45156</v>
      </c>
      <c r="B32" s="61" t="s">
        <v>90</v>
      </c>
      <c r="C32" s="1" t="str">
        <f>VLOOKUP(표4[[#This Row],[종목코드]],표3[],2,FALSE)</f>
        <v>한투외화RP</v>
      </c>
      <c r="D32" s="9" t="str">
        <f>VLOOKUP(표4[[#This Row],[종목코드]],표3[],4,FALSE)</f>
        <v>한국투자증권 직접투자계좌 외화RP</v>
      </c>
      <c r="F32" s="49">
        <v>7058.11</v>
      </c>
      <c r="G32" s="49">
        <v>7058.11</v>
      </c>
      <c r="H32" s="50">
        <f>표4[[#This Row],[현금지출]]-표4[[#This Row],[매입액]]</f>
        <v>0</v>
      </c>
      <c r="I32" s="83"/>
      <c r="J32" s="49">
        <v>7057.59</v>
      </c>
      <c r="K32" s="49">
        <v>7058.21</v>
      </c>
      <c r="L32" s="49"/>
      <c r="M32" s="49">
        <v>7058.11</v>
      </c>
      <c r="N32" s="49">
        <f>표4[[#This Row],[매도액]]-표4[[#This Row],[매도원금]]</f>
        <v>0.61999999999989086</v>
      </c>
      <c r="O32" s="49">
        <f>표4[[#This Row],[매도액]]+표4[[#This Row],[이자배당액]]-표4[[#This Row],[현금수입]]</f>
        <v>0.1000000000003638</v>
      </c>
      <c r="P32" s="51">
        <f>표4[[#This Row],[매매수익]]+표4[[#This Row],[이자배당액]]-표4[[#This Row],[매도비용]]-표4[[#This Row],[매입비용]]</f>
        <v>0.51999999999952706</v>
      </c>
      <c r="Q32" s="33"/>
      <c r="R32" s="33">
        <f>표4[[#This Row],[입출금]]+표4[[#This Row],[현금수입]]-표4[[#This Row],[현금지출]]</f>
        <v>0</v>
      </c>
      <c r="S32" s="102">
        <f>SUM($R$2:R32)</f>
        <v>-9.0949470177292824E-13</v>
      </c>
    </row>
    <row r="33" spans="1:19" x14ac:dyDescent="0.3">
      <c r="A33" s="48">
        <v>45159</v>
      </c>
      <c r="B33" s="61" t="s">
        <v>90</v>
      </c>
      <c r="C33" s="1" t="str">
        <f>VLOOKUP(표4[[#This Row],[종목코드]],표3[],2,FALSE)</f>
        <v>한투외화RP</v>
      </c>
      <c r="D33" s="9" t="str">
        <f>VLOOKUP(표4[[#This Row],[종목코드]],표3[],4,FALSE)</f>
        <v>한국투자증권 직접투자계좌 외화RP</v>
      </c>
      <c r="F33" s="49">
        <v>7059.7</v>
      </c>
      <c r="G33" s="49">
        <v>7059.7</v>
      </c>
      <c r="H33" s="50">
        <f>표4[[#This Row],[현금지출]]-표4[[#This Row],[매입액]]</f>
        <v>0</v>
      </c>
      <c r="I33" s="83"/>
      <c r="J33" s="49">
        <v>7058.11</v>
      </c>
      <c r="K33" s="49">
        <v>7059.99</v>
      </c>
      <c r="L33" s="49"/>
      <c r="M33" s="49">
        <v>7059.7</v>
      </c>
      <c r="N33" s="49">
        <f>표4[[#This Row],[매도액]]-표4[[#This Row],[매도원금]]</f>
        <v>1.8800000000001091</v>
      </c>
      <c r="O33" s="49">
        <f>표4[[#This Row],[매도액]]+표4[[#This Row],[이자배당액]]-표4[[#This Row],[현금수입]]</f>
        <v>0.28999999999996362</v>
      </c>
      <c r="P33" s="51">
        <f>표4[[#This Row],[매매수익]]+표4[[#This Row],[이자배당액]]-표4[[#This Row],[매도비용]]-표4[[#This Row],[매입비용]]</f>
        <v>1.5900000000001455</v>
      </c>
      <c r="Q33" s="33"/>
      <c r="R33" s="33">
        <f>표4[[#This Row],[입출금]]+표4[[#This Row],[현금수입]]-표4[[#This Row],[현금지출]]</f>
        <v>0</v>
      </c>
      <c r="S33" s="102">
        <f>SUM($R$2:R33)</f>
        <v>-9.0949470177292824E-13</v>
      </c>
    </row>
    <row r="34" spans="1:19" x14ac:dyDescent="0.3">
      <c r="A34" s="48">
        <v>45160</v>
      </c>
      <c r="B34" s="61" t="s">
        <v>90</v>
      </c>
      <c r="C34" s="1" t="str">
        <f>VLOOKUP(표4[[#This Row],[종목코드]],표3[],2,FALSE)</f>
        <v>한투외화RP</v>
      </c>
      <c r="D34" s="9" t="str">
        <f>VLOOKUP(표4[[#This Row],[종목코드]],표3[],4,FALSE)</f>
        <v>한국투자증권 직접투자계좌 외화RP</v>
      </c>
      <c r="F34" s="30">
        <v>7060.22</v>
      </c>
      <c r="G34" s="30">
        <v>7060.22</v>
      </c>
      <c r="H34" s="31">
        <f>표4[[#This Row],[현금지출]]-표4[[#This Row],[매입액]]</f>
        <v>0</v>
      </c>
      <c r="I34" s="80"/>
      <c r="J34" s="49">
        <v>7059.7</v>
      </c>
      <c r="K34" s="30">
        <v>7060.32</v>
      </c>
      <c r="L34" s="30"/>
      <c r="M34" s="30">
        <v>7060.22</v>
      </c>
      <c r="N34" s="30">
        <f>표4[[#This Row],[매도액]]-표4[[#This Row],[매도원금]]</f>
        <v>0.61999999999989086</v>
      </c>
      <c r="O34" s="30">
        <f>표4[[#This Row],[매도액]]+표4[[#This Row],[이자배당액]]-표4[[#This Row],[현금수입]]</f>
        <v>9.9999999999454303E-2</v>
      </c>
      <c r="P34" s="32">
        <f>표4[[#This Row],[매매수익]]+표4[[#This Row],[이자배당액]]-표4[[#This Row],[매도비용]]-표4[[#This Row],[매입비용]]</f>
        <v>0.52000000000043656</v>
      </c>
      <c r="Q34" s="33"/>
      <c r="R34" s="33">
        <f>표4[[#This Row],[입출금]]+표4[[#This Row],[현금수입]]-표4[[#This Row],[현금지출]]</f>
        <v>0</v>
      </c>
      <c r="S34" s="102">
        <f>SUM($R$2:R34)</f>
        <v>-9.0949470177292824E-13</v>
      </c>
    </row>
    <row r="35" spans="1:19" x14ac:dyDescent="0.3">
      <c r="A35" s="48">
        <v>45161</v>
      </c>
      <c r="B35" s="61" t="s">
        <v>90</v>
      </c>
      <c r="C35" s="1" t="str">
        <f>VLOOKUP(표4[[#This Row],[종목코드]],표3[],2,FALSE)</f>
        <v>한투외화RP</v>
      </c>
      <c r="D35" s="9" t="str">
        <f>VLOOKUP(표4[[#This Row],[종목코드]],표3[],4,FALSE)</f>
        <v>한국투자증권 직접투자계좌 외화RP</v>
      </c>
      <c r="F35" s="30">
        <v>7060.75</v>
      </c>
      <c r="G35" s="30">
        <v>7060.75</v>
      </c>
      <c r="H35" s="31">
        <f>표4[[#This Row],[현금지출]]-표4[[#This Row],[매입액]]</f>
        <v>0</v>
      </c>
      <c r="I35" s="80"/>
      <c r="J35" s="30">
        <v>7060.22</v>
      </c>
      <c r="K35" s="30">
        <v>7060.84</v>
      </c>
      <c r="L35" s="30"/>
      <c r="M35" s="30">
        <v>7060.75</v>
      </c>
      <c r="N35" s="30">
        <f>표4[[#This Row],[매도액]]-표4[[#This Row],[매도원금]]</f>
        <v>0.61999999999989086</v>
      </c>
      <c r="O35" s="30">
        <f>표4[[#This Row],[매도액]]+표4[[#This Row],[이자배당액]]-표4[[#This Row],[현금수입]]</f>
        <v>9.0000000000145519E-2</v>
      </c>
      <c r="P35" s="32">
        <f>표4[[#This Row],[매매수익]]+표4[[#This Row],[이자배당액]]-표4[[#This Row],[매도비용]]-표4[[#This Row],[매입비용]]</f>
        <v>0.52999999999974534</v>
      </c>
      <c r="Q35" s="33"/>
      <c r="R35" s="33">
        <f>표4[[#This Row],[입출금]]+표4[[#This Row],[현금수입]]-표4[[#This Row],[현금지출]]</f>
        <v>0</v>
      </c>
      <c r="S35" s="102">
        <f>SUM($R$2:R35)</f>
        <v>-9.0949470177292824E-13</v>
      </c>
    </row>
    <row r="36" spans="1:19" x14ac:dyDescent="0.3">
      <c r="A36" s="48">
        <v>45162</v>
      </c>
      <c r="B36" s="24" t="s">
        <v>90</v>
      </c>
      <c r="C36" s="1" t="str">
        <f>VLOOKUP(표4[[#This Row],[종목코드]],표3[],2,FALSE)</f>
        <v>한투외화RP</v>
      </c>
      <c r="D36" s="9" t="str">
        <f>VLOOKUP(표4[[#This Row],[종목코드]],표3[],4,FALSE)</f>
        <v>한국투자증권 직접투자계좌 외화RP</v>
      </c>
      <c r="F36" s="54">
        <v>7061.27</v>
      </c>
      <c r="G36" s="54">
        <v>7061.27</v>
      </c>
      <c r="H36" s="55">
        <f>표4[[#This Row],[현금지출]]-표4[[#This Row],[매입액]]</f>
        <v>0</v>
      </c>
      <c r="I36" s="84"/>
      <c r="J36" s="30">
        <v>7060.75</v>
      </c>
      <c r="K36" s="54">
        <v>7061.37</v>
      </c>
      <c r="L36" s="54"/>
      <c r="M36" s="54">
        <v>7061.27</v>
      </c>
      <c r="N36" s="54">
        <f>표4[[#This Row],[매도액]]-표4[[#This Row],[매도원금]]</f>
        <v>0.61999999999989086</v>
      </c>
      <c r="O36" s="54">
        <f>표4[[#This Row],[매도액]]+표4[[#This Row],[이자배당액]]-표4[[#This Row],[현금수입]]</f>
        <v>9.9999999999454303E-2</v>
      </c>
      <c r="P36" s="56">
        <f>표4[[#This Row],[매매수익]]+표4[[#This Row],[이자배당액]]-표4[[#This Row],[매도비용]]-표4[[#This Row],[매입비용]]</f>
        <v>0.52000000000043656</v>
      </c>
      <c r="Q36" s="28"/>
      <c r="R36" s="28">
        <f>표4[[#This Row],[입출금]]+표4[[#This Row],[현금수입]]-표4[[#This Row],[현금지출]]</f>
        <v>0</v>
      </c>
      <c r="S36" s="102">
        <f>SUM($R$2:R36)</f>
        <v>-9.0949470177292824E-13</v>
      </c>
    </row>
    <row r="37" spans="1:19" x14ac:dyDescent="0.3">
      <c r="A37" s="48">
        <v>45163</v>
      </c>
      <c r="B37" s="24" t="s">
        <v>90</v>
      </c>
      <c r="C37" s="1" t="str">
        <f>VLOOKUP(표4[[#This Row],[종목코드]],표3[],2,FALSE)</f>
        <v>한투외화RP</v>
      </c>
      <c r="D37" s="9" t="str">
        <f>VLOOKUP(표4[[#This Row],[종목코드]],표3[],4,FALSE)</f>
        <v>한국투자증권 직접투자계좌 외화RP</v>
      </c>
      <c r="F37" s="54">
        <v>4061.79</v>
      </c>
      <c r="G37" s="54">
        <v>4061.79</v>
      </c>
      <c r="H37" s="55">
        <f>표4[[#This Row],[현금지출]]-표4[[#This Row],[매입액]]</f>
        <v>0</v>
      </c>
      <c r="I37" s="85"/>
      <c r="J37" s="54">
        <v>7061.27</v>
      </c>
      <c r="K37" s="54">
        <v>7061.89</v>
      </c>
      <c r="L37" s="54"/>
      <c r="M37" s="54">
        <v>7061.79</v>
      </c>
      <c r="N37" s="54">
        <f>표4[[#This Row],[매도액]]-표4[[#This Row],[매도원금]]</f>
        <v>0.61999999999989086</v>
      </c>
      <c r="O37" s="54">
        <f>표4[[#This Row],[매도액]]+표4[[#This Row],[이자배당액]]-표4[[#This Row],[현금수입]]</f>
        <v>0.1000000000003638</v>
      </c>
      <c r="P37" s="56">
        <f>표4[[#This Row],[매매수익]]+표4[[#This Row],[이자배당액]]-표4[[#This Row],[매도비용]]-표4[[#This Row],[매입비용]]</f>
        <v>0.51999999999952706</v>
      </c>
      <c r="Q37" s="28"/>
      <c r="R37" s="28">
        <f>표4[[#This Row],[입출금]]+표4[[#This Row],[현금수입]]-표4[[#This Row],[현금지출]]</f>
        <v>3000</v>
      </c>
      <c r="S37" s="102">
        <f>SUM($R$2:R37)</f>
        <v>2999.9999999999991</v>
      </c>
    </row>
    <row r="38" spans="1:19" x14ac:dyDescent="0.3">
      <c r="A38" s="48">
        <v>45163</v>
      </c>
      <c r="B38" s="24" t="s">
        <v>166</v>
      </c>
      <c r="C38" s="1" t="str">
        <f>VLOOKUP(표4[[#This Row],[종목코드]],표3[],2,FALSE)</f>
        <v>(약정)한투외화발행어음</v>
      </c>
      <c r="D38" s="9" t="str">
        <f>VLOOKUP(표4[[#This Row],[종목코드]],표3[],4,FALSE)</f>
        <v>한국투자증권 직접투자계좌 외화발행어음(약정)</v>
      </c>
      <c r="E38" s="75">
        <v>1</v>
      </c>
      <c r="F38" s="57">
        <v>3000</v>
      </c>
      <c r="G38" s="57">
        <v>3000</v>
      </c>
      <c r="H38" s="58">
        <f>표4[[#This Row],[현금지출]]-표4[[#This Row],[매입액]]</f>
        <v>0</v>
      </c>
      <c r="I38" s="84"/>
      <c r="J38" s="57"/>
      <c r="K38" s="57"/>
      <c r="L38" s="57"/>
      <c r="M38" s="57"/>
      <c r="N38" s="57">
        <f>표4[[#This Row],[매도액]]-표4[[#This Row],[매도원금]]</f>
        <v>0</v>
      </c>
      <c r="O38" s="57">
        <f>표4[[#This Row],[매도액]]+표4[[#This Row],[이자배당액]]-표4[[#This Row],[현금수입]]</f>
        <v>0</v>
      </c>
      <c r="P38" s="59">
        <f>표4[[#This Row],[매매수익]]+표4[[#This Row],[이자배당액]]-표4[[#This Row],[매도비용]]-표4[[#This Row],[매입비용]]</f>
        <v>0</v>
      </c>
      <c r="Q38" s="33"/>
      <c r="R38" s="33">
        <f>표4[[#This Row],[입출금]]+표4[[#This Row],[현금수입]]-표4[[#This Row],[현금지출]]</f>
        <v>-3000</v>
      </c>
      <c r="S38" s="102">
        <f>SUM($R$2:R38)</f>
        <v>0</v>
      </c>
    </row>
    <row r="39" spans="1:19" x14ac:dyDescent="0.3">
      <c r="A39" s="48">
        <v>45166</v>
      </c>
      <c r="B39" s="24" t="s">
        <v>90</v>
      </c>
      <c r="C39" s="1" t="str">
        <f>VLOOKUP(표4[[#This Row],[종목코드]],표3[],2,FALSE)</f>
        <v>한투외화RP</v>
      </c>
      <c r="D39" s="9" t="str">
        <f>VLOOKUP(표4[[#This Row],[종목코드]],표3[],4,FALSE)</f>
        <v>한국투자증권 직접투자계좌 외화RP</v>
      </c>
      <c r="F39" s="54">
        <v>4062.7</v>
      </c>
      <c r="G39" s="54">
        <v>4062.7</v>
      </c>
      <c r="H39" s="55">
        <f>표4[[#This Row],[현금지출]]-표4[[#This Row],[매입액]]</f>
        <v>0</v>
      </c>
      <c r="I39" s="84"/>
      <c r="J39" s="54">
        <v>4061.79</v>
      </c>
      <c r="K39" s="54">
        <v>4062.87</v>
      </c>
      <c r="L39" s="54"/>
      <c r="M39" s="54">
        <v>4062.7</v>
      </c>
      <c r="N39" s="54">
        <f>표4[[#This Row],[매도액]]-표4[[#This Row],[매도원금]]</f>
        <v>1.0799999999999272</v>
      </c>
      <c r="O39" s="54">
        <f>표4[[#This Row],[매도액]]+표4[[#This Row],[이자배당액]]-표4[[#This Row],[현금수입]]</f>
        <v>0.17000000000007276</v>
      </c>
      <c r="P39" s="56">
        <f>표4[[#This Row],[매매수익]]+표4[[#This Row],[이자배당액]]-표4[[#This Row],[매도비용]]-표4[[#This Row],[매입비용]]</f>
        <v>0.90999999999985448</v>
      </c>
      <c r="Q39" s="28"/>
      <c r="R39" s="28">
        <f>표4[[#This Row],[입출금]]+표4[[#This Row],[현금수입]]-표4[[#This Row],[현금지출]]</f>
        <v>0</v>
      </c>
      <c r="S39" s="102">
        <f>SUM($R$2:R39)</f>
        <v>-9.0949470177292824E-13</v>
      </c>
    </row>
    <row r="40" spans="1:19" x14ac:dyDescent="0.3">
      <c r="A40" s="48">
        <v>45167</v>
      </c>
      <c r="B40" s="24" t="s">
        <v>90</v>
      </c>
      <c r="C40" s="1" t="str">
        <f>VLOOKUP(표4[[#This Row],[종목코드]],표3[],2,FALSE)</f>
        <v>한투외화RP</v>
      </c>
      <c r="D40" s="9" t="str">
        <f>VLOOKUP(표4[[#This Row],[종목코드]],표3[],4,FALSE)</f>
        <v>한국투자증권 직접투자계좌 외화RP</v>
      </c>
      <c r="F40" s="54">
        <v>4063.01</v>
      </c>
      <c r="G40" s="54">
        <v>4063.01</v>
      </c>
      <c r="H40" s="55">
        <f>표4[[#This Row],[현금지출]]-표4[[#This Row],[매입액]]</f>
        <v>0</v>
      </c>
      <c r="I40" s="86"/>
      <c r="J40" s="54">
        <v>4062.7</v>
      </c>
      <c r="K40" s="54">
        <v>4063.06</v>
      </c>
      <c r="L40" s="54"/>
      <c r="M40" s="54">
        <v>4063.01</v>
      </c>
      <c r="N40" s="54">
        <f>표4[[#This Row],[매도액]]-표4[[#This Row],[매도원금]]</f>
        <v>0.36000000000012733</v>
      </c>
      <c r="O40" s="54">
        <f>표4[[#This Row],[매도액]]+표4[[#This Row],[이자배당액]]-표4[[#This Row],[현금수입]]</f>
        <v>4.9999999999727152E-2</v>
      </c>
      <c r="P40" s="56">
        <f>표4[[#This Row],[매매수익]]+표4[[#This Row],[이자배당액]]-표4[[#This Row],[매도비용]]-표4[[#This Row],[매입비용]]</f>
        <v>0.31000000000040018</v>
      </c>
      <c r="Q40" s="28"/>
      <c r="R40" s="28">
        <f>표4[[#This Row],[입출금]]+표4[[#This Row],[현금수입]]-표4[[#This Row],[현금지출]]</f>
        <v>0</v>
      </c>
      <c r="S40" s="102">
        <f>SUM($R$2:R40)</f>
        <v>-9.0949470177292824E-13</v>
      </c>
    </row>
    <row r="41" spans="1:19" x14ac:dyDescent="0.3">
      <c r="A41" s="48">
        <v>45168</v>
      </c>
      <c r="B41" s="24" t="s">
        <v>90</v>
      </c>
      <c r="C41" s="1" t="str">
        <f>VLOOKUP(표4[[#This Row],[종목코드]],표3[],2,FALSE)</f>
        <v>한투외화RP</v>
      </c>
      <c r="D41" s="9" t="str">
        <f>VLOOKUP(표4[[#This Row],[종목코드]],표3[],4,FALSE)</f>
        <v>한국투자증권 직접투자계좌 외화RP</v>
      </c>
      <c r="F41" s="54">
        <v>4063.32</v>
      </c>
      <c r="G41" s="54">
        <v>4063.32</v>
      </c>
      <c r="H41" s="55">
        <f>표4[[#This Row],[현금지출]]-표4[[#This Row],[매입액]]</f>
        <v>0</v>
      </c>
      <c r="I41" s="86"/>
      <c r="J41" s="54">
        <v>4063.01</v>
      </c>
      <c r="K41" s="54">
        <v>4063.37</v>
      </c>
      <c r="L41" s="54"/>
      <c r="M41" s="54">
        <v>4063.32</v>
      </c>
      <c r="N41" s="54">
        <f>표4[[#This Row],[매도액]]-표4[[#This Row],[매도원금]]</f>
        <v>0.35999999999967258</v>
      </c>
      <c r="O41" s="54">
        <f>표4[[#This Row],[매도액]]+표4[[#This Row],[이자배당액]]-표4[[#This Row],[현금수입]]</f>
        <v>4.9999999999727152E-2</v>
      </c>
      <c r="P41" s="56">
        <f>표4[[#This Row],[매매수익]]+표4[[#This Row],[이자배당액]]-표4[[#This Row],[매도비용]]-표4[[#This Row],[매입비용]]</f>
        <v>0.30999999999994543</v>
      </c>
      <c r="Q41" s="28"/>
      <c r="R41" s="28">
        <f>표4[[#This Row],[입출금]]+표4[[#This Row],[현금수입]]-표4[[#This Row],[현금지출]]</f>
        <v>0</v>
      </c>
      <c r="S41" s="102">
        <f>SUM($R$2:R41)</f>
        <v>-9.0949470177292824E-13</v>
      </c>
    </row>
    <row r="42" spans="1:19" x14ac:dyDescent="0.3">
      <c r="A42" s="48">
        <v>45169</v>
      </c>
      <c r="B42" s="24" t="s">
        <v>90</v>
      </c>
      <c r="C42" s="1" t="str">
        <f>VLOOKUP(표4[[#This Row],[종목코드]],표3[],2,FALSE)</f>
        <v>한투외화RP</v>
      </c>
      <c r="D42" s="9" t="str">
        <f>VLOOKUP(표4[[#This Row],[종목코드]],표3[],4,FALSE)</f>
        <v>한국투자증권 직접투자계좌 외화RP</v>
      </c>
      <c r="F42" s="54">
        <v>4063.63</v>
      </c>
      <c r="G42" s="54">
        <v>4063.63</v>
      </c>
      <c r="H42" s="55">
        <f>표4[[#This Row],[현금지출]]-표4[[#This Row],[매입액]]</f>
        <v>0</v>
      </c>
      <c r="I42" s="86"/>
      <c r="J42" s="54">
        <v>4063.32</v>
      </c>
      <c r="K42" s="54">
        <v>4063.68</v>
      </c>
      <c r="L42" s="54"/>
      <c r="M42" s="54">
        <v>4063.63</v>
      </c>
      <c r="N42" s="54">
        <f>표4[[#This Row],[매도액]]-표4[[#This Row],[매도원금]]</f>
        <v>0.35999999999967258</v>
      </c>
      <c r="O42" s="54">
        <f>표4[[#This Row],[매도액]]+표4[[#This Row],[이자배당액]]-표4[[#This Row],[현금수입]]</f>
        <v>4.9999999999727152E-2</v>
      </c>
      <c r="P42" s="56">
        <f>표4[[#This Row],[매매수익]]+표4[[#This Row],[이자배당액]]-표4[[#This Row],[매도비용]]-표4[[#This Row],[매입비용]]</f>
        <v>0.30999999999994543</v>
      </c>
      <c r="Q42" s="28"/>
      <c r="R42" s="28">
        <f>표4[[#This Row],[입출금]]+표4[[#This Row],[현금수입]]-표4[[#This Row],[현금지출]]</f>
        <v>0</v>
      </c>
      <c r="S42" s="102">
        <f>SUM($R$2:R42)</f>
        <v>-9.0949470177292824E-13</v>
      </c>
    </row>
    <row r="43" spans="1:19" x14ac:dyDescent="0.3">
      <c r="A43" s="48">
        <v>45170</v>
      </c>
      <c r="B43" s="24" t="s">
        <v>90</v>
      </c>
      <c r="C43" s="1" t="str">
        <f>VLOOKUP(표4[[#This Row],[종목코드]],표3[],2,FALSE)</f>
        <v>한투외화RP</v>
      </c>
      <c r="D43" s="9" t="str">
        <f>VLOOKUP(표4[[#This Row],[종목코드]],표3[],4,FALSE)</f>
        <v>한국투자증권 직접투자계좌 외화RP</v>
      </c>
      <c r="F43" s="54">
        <v>4063.94</v>
      </c>
      <c r="G43" s="54">
        <v>4063.94</v>
      </c>
      <c r="H43" s="55">
        <f>표4[[#This Row],[현금지출]]-표4[[#This Row],[매입액]]</f>
        <v>0</v>
      </c>
      <c r="I43" s="84"/>
      <c r="J43" s="54">
        <v>4063.63</v>
      </c>
      <c r="K43" s="54">
        <v>4063.99</v>
      </c>
      <c r="L43" s="54"/>
      <c r="M43" s="54">
        <v>4063.94</v>
      </c>
      <c r="N43" s="54">
        <f>표4[[#This Row],[매도액]]-표4[[#This Row],[매도원금]]</f>
        <v>0.35999999999967258</v>
      </c>
      <c r="O43" s="54">
        <f>표4[[#This Row],[매도액]]+표4[[#This Row],[이자배당액]]-표4[[#This Row],[현금수입]]</f>
        <v>4.9999999999727152E-2</v>
      </c>
      <c r="P43" s="56">
        <f>표4[[#This Row],[매매수익]]+표4[[#This Row],[이자배당액]]-표4[[#This Row],[매도비용]]-표4[[#This Row],[매입비용]]</f>
        <v>0.30999999999994543</v>
      </c>
      <c r="Q43" s="28"/>
      <c r="R43" s="28">
        <f>표4[[#This Row],[입출금]]+표4[[#This Row],[현금수입]]-표4[[#This Row],[현금지출]]</f>
        <v>0</v>
      </c>
      <c r="S43" s="102">
        <f>SUM($R$2:R43)</f>
        <v>-9.0949470177292824E-13</v>
      </c>
    </row>
    <row r="44" spans="1:19" x14ac:dyDescent="0.3">
      <c r="A44" s="48">
        <v>45173</v>
      </c>
      <c r="B44" s="24" t="s">
        <v>90</v>
      </c>
      <c r="C44" s="1" t="str">
        <f>VLOOKUP(표4[[#This Row],[종목코드]],표3[],2,FALSE)</f>
        <v>한투외화RP</v>
      </c>
      <c r="D44" s="9" t="str">
        <f>VLOOKUP(표4[[#This Row],[종목코드]],표3[],4,FALSE)</f>
        <v>한국투자증권 직접투자계좌 외화RP</v>
      </c>
      <c r="F44" s="54">
        <v>4064.86</v>
      </c>
      <c r="G44" s="54">
        <v>4064.86</v>
      </c>
      <c r="H44" s="55">
        <f>표4[[#This Row],[현금지출]]-표4[[#This Row],[매입액]]</f>
        <v>0</v>
      </c>
      <c r="I44" s="86"/>
      <c r="J44" s="54">
        <v>4063.94</v>
      </c>
      <c r="K44" s="54">
        <v>4065.02</v>
      </c>
      <c r="L44" s="54"/>
      <c r="M44" s="54">
        <v>4064.86</v>
      </c>
      <c r="N44" s="54">
        <f>표4[[#This Row],[매도액]]-표4[[#This Row],[매도원금]]</f>
        <v>1.0799999999999272</v>
      </c>
      <c r="O44" s="54">
        <f>표4[[#This Row],[매도액]]+표4[[#This Row],[이자배당액]]-표4[[#This Row],[현금수입]]</f>
        <v>0.15999999999985448</v>
      </c>
      <c r="P44" s="56">
        <f>표4[[#This Row],[매매수익]]+표4[[#This Row],[이자배당액]]-표4[[#This Row],[매도비용]]-표4[[#This Row],[매입비용]]</f>
        <v>0.92000000000007276</v>
      </c>
      <c r="Q44" s="28"/>
      <c r="R44" s="28">
        <f>표4[[#This Row],[입출금]]+표4[[#This Row],[현금수입]]-표4[[#This Row],[현금지출]]</f>
        <v>0</v>
      </c>
      <c r="S44" s="102">
        <f>SUM($R$2:R44)</f>
        <v>-9.0949470177292824E-13</v>
      </c>
    </row>
    <row r="45" spans="1:19" x14ac:dyDescent="0.3">
      <c r="A45" s="48">
        <v>45174</v>
      </c>
      <c r="B45" s="24" t="s">
        <v>90</v>
      </c>
      <c r="C45" s="1" t="str">
        <f>VLOOKUP(표4[[#This Row],[종목코드]],표3[],2,FALSE)</f>
        <v>한투외화RP</v>
      </c>
      <c r="D45" s="9" t="str">
        <f>VLOOKUP(표4[[#This Row],[종목코드]],표3[],4,FALSE)</f>
        <v>한국투자증권 직접투자계좌 외화RP</v>
      </c>
      <c r="F45" s="54">
        <v>4065.17</v>
      </c>
      <c r="G45" s="54">
        <v>4065.17</v>
      </c>
      <c r="H45" s="55">
        <f>표4[[#This Row],[현금지출]]-표4[[#This Row],[매입액]]</f>
        <v>0</v>
      </c>
      <c r="I45" s="86"/>
      <c r="J45" s="54">
        <v>4064.86</v>
      </c>
      <c r="K45" s="54">
        <v>4065.22</v>
      </c>
      <c r="L45" s="54"/>
      <c r="M45" s="54">
        <v>4065.17</v>
      </c>
      <c r="N45" s="54">
        <f>표4[[#This Row],[매도액]]-표4[[#This Row],[매도원금]]</f>
        <v>0.35999999999967258</v>
      </c>
      <c r="O45" s="54">
        <f>표4[[#This Row],[매도액]]+표4[[#This Row],[이자배당액]]-표4[[#This Row],[현금수입]]</f>
        <v>4.9999999999727152E-2</v>
      </c>
      <c r="P45" s="56">
        <f>표4[[#This Row],[매매수익]]+표4[[#This Row],[이자배당액]]-표4[[#This Row],[매도비용]]-표4[[#This Row],[매입비용]]</f>
        <v>0.30999999999994543</v>
      </c>
      <c r="Q45" s="28"/>
      <c r="R45" s="28">
        <f>표4[[#This Row],[입출금]]+표4[[#This Row],[현금수입]]-표4[[#This Row],[현금지출]]</f>
        <v>0</v>
      </c>
      <c r="S45" s="102">
        <f>SUM($R$2:R45)</f>
        <v>-9.0949470177292824E-13</v>
      </c>
    </row>
    <row r="46" spans="1:19" x14ac:dyDescent="0.3">
      <c r="A46" s="48">
        <v>45175</v>
      </c>
      <c r="B46" s="24" t="s">
        <v>90</v>
      </c>
      <c r="C46" s="1" t="str">
        <f>VLOOKUP(표4[[#This Row],[종목코드]],표3[],2,FALSE)</f>
        <v>한투외화RP</v>
      </c>
      <c r="D46" s="9" t="str">
        <f>VLOOKUP(표4[[#This Row],[종목코드]],표3[],4,FALSE)</f>
        <v>한국투자증권 직접투자계좌 외화RP</v>
      </c>
      <c r="F46" s="54">
        <v>4065.48</v>
      </c>
      <c r="G46" s="54">
        <v>4065.48</v>
      </c>
      <c r="H46" s="55">
        <f>표4[[#This Row],[현금지출]]-표4[[#This Row],[매입액]]</f>
        <v>0</v>
      </c>
      <c r="I46" s="86"/>
      <c r="J46" s="54">
        <v>4065.17</v>
      </c>
      <c r="K46" s="54">
        <v>4065.53</v>
      </c>
      <c r="L46" s="54"/>
      <c r="M46" s="54">
        <v>4065.48</v>
      </c>
      <c r="N46" s="54">
        <f>표4[[#This Row],[매도액]]-표4[[#This Row],[매도원금]]</f>
        <v>0.36000000000012733</v>
      </c>
      <c r="O46" s="54">
        <f>표4[[#This Row],[매도액]]+표4[[#This Row],[이자배당액]]-표4[[#This Row],[현금수입]]</f>
        <v>5.0000000000181899E-2</v>
      </c>
      <c r="P46" s="56">
        <f>표4[[#This Row],[매매수익]]+표4[[#This Row],[이자배당액]]-표4[[#This Row],[매도비용]]-표4[[#This Row],[매입비용]]</f>
        <v>0.30999999999994543</v>
      </c>
      <c r="Q46" s="28"/>
      <c r="R46" s="28">
        <f>표4[[#This Row],[입출금]]+표4[[#This Row],[현금수입]]-표4[[#This Row],[현금지출]]</f>
        <v>0</v>
      </c>
      <c r="S46" s="102">
        <f>SUM($R$2:R46)</f>
        <v>-9.0949470177292824E-13</v>
      </c>
    </row>
    <row r="47" spans="1:19" x14ac:dyDescent="0.3">
      <c r="A47" s="48">
        <v>45176</v>
      </c>
      <c r="B47" s="24" t="s">
        <v>90</v>
      </c>
      <c r="C47" s="1" t="str">
        <f>VLOOKUP(표4[[#This Row],[종목코드]],표3[],2,FALSE)</f>
        <v>한투외화RP</v>
      </c>
      <c r="D47" s="9" t="str">
        <f>VLOOKUP(표4[[#This Row],[종목코드]],표3[],4,FALSE)</f>
        <v>한국투자증권 직접투자계좌 외화RP</v>
      </c>
      <c r="F47" s="54">
        <v>4065.79</v>
      </c>
      <c r="G47" s="54">
        <v>4065.79</v>
      </c>
      <c r="H47" s="55">
        <f>표4[[#This Row],[현금지출]]-표4[[#This Row],[매입액]]</f>
        <v>0</v>
      </c>
      <c r="I47" s="86"/>
      <c r="J47" s="54">
        <v>4065.48</v>
      </c>
      <c r="K47" s="54">
        <v>4065.84</v>
      </c>
      <c r="L47" s="54"/>
      <c r="M47" s="54">
        <v>4065.79</v>
      </c>
      <c r="N47" s="54">
        <f>표4[[#This Row],[매도액]]-표4[[#This Row],[매도원금]]</f>
        <v>0.36000000000012733</v>
      </c>
      <c r="O47" s="54">
        <f>표4[[#This Row],[매도액]]+표4[[#This Row],[이자배당액]]-표4[[#This Row],[현금수입]]</f>
        <v>5.0000000000181899E-2</v>
      </c>
      <c r="P47" s="56">
        <f>표4[[#This Row],[매매수익]]+표4[[#This Row],[이자배당액]]-표4[[#This Row],[매도비용]]-표4[[#This Row],[매입비용]]</f>
        <v>0.30999999999994543</v>
      </c>
      <c r="Q47" s="28"/>
      <c r="R47" s="28">
        <f>표4[[#This Row],[입출금]]+표4[[#This Row],[현금수입]]-표4[[#This Row],[현금지출]]</f>
        <v>0</v>
      </c>
      <c r="S47" s="102">
        <f>SUM($R$2:R47)</f>
        <v>-9.0949470177292824E-13</v>
      </c>
    </row>
    <row r="48" spans="1:19" x14ac:dyDescent="0.3">
      <c r="A48" s="48">
        <v>45177</v>
      </c>
      <c r="B48" s="24" t="s">
        <v>90</v>
      </c>
      <c r="C48" s="1" t="str">
        <f>VLOOKUP(표4[[#This Row],[종목코드]],표3[],2,FALSE)</f>
        <v>한투외화RP</v>
      </c>
      <c r="D48" s="9" t="str">
        <f>VLOOKUP(표4[[#This Row],[종목코드]],표3[],4,FALSE)</f>
        <v>한국투자증권 직접투자계좌 외화RP</v>
      </c>
      <c r="F48" s="54">
        <v>4066.1</v>
      </c>
      <c r="G48" s="55">
        <v>4066.1</v>
      </c>
      <c r="H48" s="55">
        <f>표4[[#This Row],[현금지출]]-표4[[#This Row],[매입액]]</f>
        <v>0</v>
      </c>
      <c r="I48" s="84"/>
      <c r="J48" s="54">
        <v>4065.79</v>
      </c>
      <c r="K48" s="54">
        <v>4066.15</v>
      </c>
      <c r="L48" s="54"/>
      <c r="M48" s="54">
        <v>4066.1</v>
      </c>
      <c r="N48" s="54">
        <f>표4[[#This Row],[매도액]]-표4[[#This Row],[매도원금]]</f>
        <v>0.36000000000012733</v>
      </c>
      <c r="O48" s="54">
        <f>표4[[#This Row],[매도액]]+표4[[#This Row],[이자배당액]]-표4[[#This Row],[현금수입]]</f>
        <v>5.0000000000181899E-2</v>
      </c>
      <c r="P48" s="56">
        <f>표4[[#This Row],[매매수익]]+표4[[#This Row],[이자배당액]]-표4[[#This Row],[매도비용]]-표4[[#This Row],[매입비용]]</f>
        <v>0.30999999999994543</v>
      </c>
      <c r="Q48" s="28"/>
      <c r="R48" s="28">
        <f>표4[[#This Row],[입출금]]+표4[[#This Row],[현금수입]]-표4[[#This Row],[현금지출]]</f>
        <v>0</v>
      </c>
      <c r="S48" s="102">
        <f>SUM($R$2:R48)</f>
        <v>-9.0949470177292824E-13</v>
      </c>
    </row>
    <row r="49" spans="1:19" x14ac:dyDescent="0.3">
      <c r="A49" s="48">
        <v>45180</v>
      </c>
      <c r="B49" s="24" t="s">
        <v>90</v>
      </c>
      <c r="C49" s="1" t="str">
        <f>VLOOKUP(표4[[#This Row],[종목코드]],표3[],2,FALSE)</f>
        <v>한투외화RP</v>
      </c>
      <c r="D49" s="9" t="str">
        <f>VLOOKUP(표4[[#This Row],[종목코드]],표3[],4,FALSE)</f>
        <v>한국투자증권 직접투자계좌 외화RP</v>
      </c>
      <c r="F49" s="54">
        <v>4067.01</v>
      </c>
      <c r="G49" s="55">
        <v>4067.01</v>
      </c>
      <c r="H49" s="55">
        <f>표4[[#This Row],[현금지출]]-표4[[#This Row],[매입액]]</f>
        <v>0</v>
      </c>
      <c r="I49" s="86"/>
      <c r="J49" s="54">
        <v>4066.1</v>
      </c>
      <c r="K49" s="54">
        <v>4067.18</v>
      </c>
      <c r="L49" s="54"/>
      <c r="M49" s="54">
        <v>4067.01</v>
      </c>
      <c r="N49" s="54">
        <f>표4[[#This Row],[매도액]]-표4[[#This Row],[매도원금]]</f>
        <v>1.0799999999999272</v>
      </c>
      <c r="O49" s="54">
        <f>표4[[#This Row],[매도액]]+표4[[#This Row],[이자배당액]]-표4[[#This Row],[현금수입]]</f>
        <v>0.16999999999961801</v>
      </c>
      <c r="P49" s="56">
        <f>표4[[#This Row],[매매수익]]+표4[[#This Row],[이자배당액]]-표4[[#This Row],[매도비용]]-표4[[#This Row],[매입비용]]</f>
        <v>0.91000000000030923</v>
      </c>
      <c r="Q49" s="28"/>
      <c r="R49" s="28">
        <f>표4[[#This Row],[입출금]]+표4[[#This Row],[현금수입]]-표4[[#This Row],[현금지출]]</f>
        <v>0</v>
      </c>
      <c r="S49" s="102">
        <f>SUM($R$2:R49)</f>
        <v>-9.0949470177292824E-13</v>
      </c>
    </row>
    <row r="50" spans="1:19" x14ac:dyDescent="0.3">
      <c r="A50" s="48">
        <v>45181</v>
      </c>
      <c r="B50" s="24" t="s">
        <v>90</v>
      </c>
      <c r="C50" s="1" t="str">
        <f>VLOOKUP(표4[[#This Row],[종목코드]],표3[],2,FALSE)</f>
        <v>한투외화RP</v>
      </c>
      <c r="D50" s="9" t="str">
        <f>VLOOKUP(표4[[#This Row],[종목코드]],표3[],4,FALSE)</f>
        <v>한국투자증권 직접투자계좌 외화RP</v>
      </c>
      <c r="F50" s="54">
        <v>4067.32</v>
      </c>
      <c r="G50" s="54">
        <v>4067.32</v>
      </c>
      <c r="H50" s="55">
        <f>표4[[#This Row],[현금지출]]-표4[[#This Row],[매입액]]</f>
        <v>0</v>
      </c>
      <c r="I50" s="86"/>
      <c r="J50" s="54">
        <v>4067.01</v>
      </c>
      <c r="K50" s="54">
        <v>4067.37</v>
      </c>
      <c r="L50" s="54"/>
      <c r="M50" s="54">
        <v>4067.32</v>
      </c>
      <c r="N50" s="54">
        <f>표4[[#This Row],[매도액]]-표4[[#This Row],[매도원금]]</f>
        <v>0.35999999999967258</v>
      </c>
      <c r="O50" s="54">
        <f>표4[[#This Row],[매도액]]+표4[[#This Row],[이자배당액]]-표4[[#This Row],[현금수입]]</f>
        <v>4.9999999999727152E-2</v>
      </c>
      <c r="P50" s="56">
        <f>표4[[#This Row],[매매수익]]+표4[[#This Row],[이자배당액]]-표4[[#This Row],[매도비용]]-표4[[#This Row],[매입비용]]</f>
        <v>0.30999999999994543</v>
      </c>
      <c r="Q50" s="28"/>
      <c r="R50" s="28">
        <f>표4[[#This Row],[입출금]]+표4[[#This Row],[현금수입]]-표4[[#This Row],[현금지출]]</f>
        <v>0</v>
      </c>
      <c r="S50" s="102">
        <f>SUM($R$2:R50)</f>
        <v>-9.0949470177292824E-13</v>
      </c>
    </row>
    <row r="51" spans="1:19" x14ac:dyDescent="0.3">
      <c r="A51" s="48">
        <v>45182</v>
      </c>
      <c r="B51" s="24" t="s">
        <v>90</v>
      </c>
      <c r="C51" s="1" t="str">
        <f>VLOOKUP(표4[[#This Row],[종목코드]],표3[],2,FALSE)</f>
        <v>한투외화RP</v>
      </c>
      <c r="D51" s="9" t="str">
        <f>VLOOKUP(표4[[#This Row],[종목코드]],표3[],4,FALSE)</f>
        <v>한국투자증권 직접투자계좌 외화RP</v>
      </c>
      <c r="F51" s="54">
        <v>4067.63</v>
      </c>
      <c r="G51" s="54">
        <v>4067.63</v>
      </c>
      <c r="H51" s="55">
        <f>표4[[#This Row],[현금지출]]-표4[[#This Row],[매입액]]</f>
        <v>0</v>
      </c>
      <c r="I51" s="86"/>
      <c r="J51" s="54">
        <v>4067.32</v>
      </c>
      <c r="K51" s="54">
        <v>4067.68</v>
      </c>
      <c r="L51" s="54"/>
      <c r="M51" s="54">
        <v>4067.63</v>
      </c>
      <c r="N51" s="54">
        <f>표4[[#This Row],[매도액]]-표4[[#This Row],[매도원금]]</f>
        <v>0.35999999999967258</v>
      </c>
      <c r="O51" s="54">
        <f>표4[[#This Row],[매도액]]+표4[[#This Row],[이자배당액]]-표4[[#This Row],[현금수입]]</f>
        <v>4.9999999999727152E-2</v>
      </c>
      <c r="P51" s="56">
        <f>표4[[#This Row],[매매수익]]+표4[[#This Row],[이자배당액]]-표4[[#This Row],[매도비용]]-표4[[#This Row],[매입비용]]</f>
        <v>0.30999999999994543</v>
      </c>
      <c r="Q51" s="28"/>
      <c r="R51" s="28">
        <f>표4[[#This Row],[입출금]]+표4[[#This Row],[현금수입]]-표4[[#This Row],[현금지출]]</f>
        <v>0</v>
      </c>
      <c r="S51" s="102">
        <f>SUM($R$2:R51)</f>
        <v>-9.0949470177292824E-13</v>
      </c>
    </row>
    <row r="52" spans="1:19" x14ac:dyDescent="0.3">
      <c r="A52" s="48">
        <v>45183</v>
      </c>
      <c r="B52" s="24" t="s">
        <v>90</v>
      </c>
      <c r="C52" s="1" t="str">
        <f>VLOOKUP(표4[[#This Row],[종목코드]],표3[],2,FALSE)</f>
        <v>한투외화RP</v>
      </c>
      <c r="D52" s="9" t="str">
        <f>VLOOKUP(표4[[#This Row],[종목코드]],표3[],4,FALSE)</f>
        <v>한국투자증권 직접투자계좌 외화RP</v>
      </c>
      <c r="F52" s="54">
        <v>4067.94</v>
      </c>
      <c r="G52" s="54">
        <v>4067.94</v>
      </c>
      <c r="H52" s="55">
        <f>표4[[#This Row],[현금지출]]-표4[[#This Row],[매입액]]</f>
        <v>0</v>
      </c>
      <c r="I52" s="86"/>
      <c r="J52" s="54">
        <v>4067.63</v>
      </c>
      <c r="K52" s="54">
        <v>4067.99</v>
      </c>
      <c r="L52" s="54"/>
      <c r="M52" s="54">
        <v>4067.94</v>
      </c>
      <c r="N52" s="54">
        <f>표4[[#This Row],[매도액]]-표4[[#This Row],[매도원금]]</f>
        <v>0.35999999999967258</v>
      </c>
      <c r="O52" s="54">
        <f>표4[[#This Row],[매도액]]+표4[[#This Row],[이자배당액]]-표4[[#This Row],[현금수입]]</f>
        <v>4.9999999999727152E-2</v>
      </c>
      <c r="P52" s="56">
        <f>표4[[#This Row],[매매수익]]+표4[[#This Row],[이자배당액]]-표4[[#This Row],[매도비용]]-표4[[#This Row],[매입비용]]</f>
        <v>0.30999999999994543</v>
      </c>
      <c r="Q52" s="28"/>
      <c r="R52" s="28">
        <f>표4[[#This Row],[입출금]]+표4[[#This Row],[현금수입]]-표4[[#This Row],[현금지출]]</f>
        <v>0</v>
      </c>
      <c r="S52" s="102">
        <f>SUM($R$2:R52)</f>
        <v>-9.0949470177292824E-13</v>
      </c>
    </row>
    <row r="53" spans="1:19" x14ac:dyDescent="0.3">
      <c r="A53" s="48">
        <v>45184</v>
      </c>
      <c r="B53" s="24" t="s">
        <v>90</v>
      </c>
      <c r="C53" s="1" t="str">
        <f>VLOOKUP(표4[[#This Row],[종목코드]],표3[],2,FALSE)</f>
        <v>한투외화RP</v>
      </c>
      <c r="D53" s="9" t="str">
        <f>VLOOKUP(표4[[#This Row],[종목코드]],표3[],4,FALSE)</f>
        <v>한국투자증권 직접투자계좌 외화RP</v>
      </c>
      <c r="F53" s="54">
        <v>4068.25</v>
      </c>
      <c r="G53" s="54">
        <v>4068.25</v>
      </c>
      <c r="H53" s="55">
        <f>표4[[#This Row],[현금지출]]-표4[[#This Row],[매입액]]</f>
        <v>0</v>
      </c>
      <c r="I53" s="86"/>
      <c r="J53" s="54">
        <v>4067.94</v>
      </c>
      <c r="K53" s="54">
        <v>4068.3</v>
      </c>
      <c r="L53" s="54"/>
      <c r="M53" s="54">
        <v>4068.25</v>
      </c>
      <c r="N53" s="54">
        <f>표4[[#This Row],[매도액]]-표4[[#This Row],[매도원금]]</f>
        <v>0.36000000000012733</v>
      </c>
      <c r="O53" s="54">
        <f>표4[[#This Row],[매도액]]+표4[[#This Row],[이자배당액]]-표4[[#This Row],[현금수입]]</f>
        <v>5.0000000000181899E-2</v>
      </c>
      <c r="P53" s="56">
        <f>표4[[#This Row],[매매수익]]+표4[[#This Row],[이자배당액]]-표4[[#This Row],[매도비용]]-표4[[#This Row],[매입비용]]</f>
        <v>0.30999999999994543</v>
      </c>
      <c r="Q53" s="28"/>
      <c r="R53" s="28">
        <f>표4[[#This Row],[입출금]]+표4[[#This Row],[현금수입]]-표4[[#This Row],[현금지출]]</f>
        <v>0</v>
      </c>
      <c r="S53" s="102">
        <f>SUM($R$2:R53)</f>
        <v>-9.0949470177292824E-13</v>
      </c>
    </row>
    <row r="54" spans="1:19" x14ac:dyDescent="0.3">
      <c r="A54" s="48">
        <v>45187</v>
      </c>
      <c r="B54" s="24" t="s">
        <v>90</v>
      </c>
      <c r="C54" s="1" t="str">
        <f>VLOOKUP(표4[[#This Row],[종목코드]],표3[],2,FALSE)</f>
        <v>한투외화RP</v>
      </c>
      <c r="D54" s="9" t="str">
        <f>VLOOKUP(표4[[#This Row],[종목코드]],표3[],4,FALSE)</f>
        <v>한국투자증권 직접투자계좌 외화RP</v>
      </c>
      <c r="F54" s="54">
        <v>4069.16</v>
      </c>
      <c r="G54" s="54">
        <v>4069.16</v>
      </c>
      <c r="H54" s="55">
        <f>표4[[#This Row],[현금지출]]-표4[[#This Row],[매입액]]</f>
        <v>0</v>
      </c>
      <c r="I54" s="84"/>
      <c r="J54" s="54">
        <v>4068.25</v>
      </c>
      <c r="K54" s="54">
        <v>4069.33</v>
      </c>
      <c r="L54" s="54"/>
      <c r="M54" s="54">
        <v>4069.16</v>
      </c>
      <c r="N54" s="54">
        <f>표4[[#This Row],[매도액]]-표4[[#This Row],[매도원금]]</f>
        <v>1.0799999999999272</v>
      </c>
      <c r="O54" s="54">
        <f>표4[[#This Row],[매도액]]+표4[[#This Row],[이자배당액]]-표4[[#This Row],[현금수입]]</f>
        <v>0.17000000000007276</v>
      </c>
      <c r="P54" s="56">
        <f>표4[[#This Row],[매매수익]]+표4[[#This Row],[이자배당액]]-표4[[#This Row],[매도비용]]-표4[[#This Row],[매입비용]]</f>
        <v>0.90999999999985448</v>
      </c>
      <c r="Q54" s="28"/>
      <c r="R54" s="28">
        <f>표4[[#This Row],[입출금]]+표4[[#This Row],[현금수입]]-표4[[#This Row],[현금지출]]</f>
        <v>0</v>
      </c>
      <c r="S54" s="102">
        <f>SUM($R$2:R54)</f>
        <v>-9.0949470177292824E-13</v>
      </c>
    </row>
    <row r="55" spans="1:19" x14ac:dyDescent="0.3">
      <c r="A55" s="48">
        <v>45188</v>
      </c>
      <c r="B55" s="24" t="s">
        <v>90</v>
      </c>
      <c r="C55" s="1" t="str">
        <f>VLOOKUP(표4[[#This Row],[종목코드]],표3[],2,FALSE)</f>
        <v>한투외화RP</v>
      </c>
      <c r="D55" s="9" t="str">
        <f>VLOOKUP(표4[[#This Row],[종목코드]],표3[],4,FALSE)</f>
        <v>한국투자증권 직접투자계좌 외화RP</v>
      </c>
      <c r="F55" s="54">
        <v>4069.47</v>
      </c>
      <c r="G55" s="54">
        <v>4069.47</v>
      </c>
      <c r="H55" s="55">
        <f>표4[[#This Row],[현금지출]]-표4[[#This Row],[매입액]]</f>
        <v>0</v>
      </c>
      <c r="I55" s="86"/>
      <c r="J55" s="54">
        <v>4069.16</v>
      </c>
      <c r="K55" s="54">
        <v>4069.52</v>
      </c>
      <c r="L55" s="54"/>
      <c r="M55" s="54">
        <v>4069.47</v>
      </c>
      <c r="N55" s="54">
        <f>표4[[#This Row],[매도액]]-표4[[#This Row],[매도원금]]</f>
        <v>0.36000000000012733</v>
      </c>
      <c r="O55" s="54">
        <f>표4[[#This Row],[매도액]]+표4[[#This Row],[이자배당액]]-표4[[#This Row],[현금수입]]</f>
        <v>5.0000000000181899E-2</v>
      </c>
      <c r="P55" s="56">
        <f>표4[[#This Row],[매매수익]]+표4[[#This Row],[이자배당액]]-표4[[#This Row],[매도비용]]-표4[[#This Row],[매입비용]]</f>
        <v>0.30999999999994543</v>
      </c>
      <c r="Q55" s="28"/>
      <c r="R55" s="28">
        <f>표4[[#This Row],[입출금]]+표4[[#This Row],[현금수입]]-표4[[#This Row],[현금지출]]</f>
        <v>0</v>
      </c>
      <c r="S55" s="102">
        <f>SUM($R$2:R55)</f>
        <v>-9.0949470177292824E-13</v>
      </c>
    </row>
    <row r="56" spans="1:19" x14ac:dyDescent="0.3">
      <c r="A56" s="48">
        <v>45189</v>
      </c>
      <c r="B56" s="24" t="s">
        <v>90</v>
      </c>
      <c r="C56" s="1" t="str">
        <f>VLOOKUP(표4[[#This Row],[종목코드]],표3[],2,FALSE)</f>
        <v>한투외화RP</v>
      </c>
      <c r="D56" s="9" t="str">
        <f>VLOOKUP(표4[[#This Row],[종목코드]],표3[],4,FALSE)</f>
        <v>한국투자증권 직접투자계좌 외화RP</v>
      </c>
      <c r="F56" s="54">
        <v>4069.78</v>
      </c>
      <c r="G56" s="54">
        <v>4069.78</v>
      </c>
      <c r="H56" s="55">
        <f>표4[[#This Row],[현금지출]]-표4[[#This Row],[매입액]]</f>
        <v>0</v>
      </c>
      <c r="I56" s="86"/>
      <c r="J56" s="54">
        <v>4069.47</v>
      </c>
      <c r="K56" s="54">
        <v>4069.83</v>
      </c>
      <c r="L56" s="54"/>
      <c r="M56" s="54">
        <v>4069.78</v>
      </c>
      <c r="N56" s="54">
        <f>표4[[#This Row],[매도액]]-표4[[#This Row],[매도원금]]</f>
        <v>0.36000000000012733</v>
      </c>
      <c r="O56" s="54">
        <f>표4[[#This Row],[매도액]]+표4[[#This Row],[이자배당액]]-표4[[#This Row],[현금수입]]</f>
        <v>4.9999999999727152E-2</v>
      </c>
      <c r="P56" s="56">
        <f>표4[[#This Row],[매매수익]]+표4[[#This Row],[이자배당액]]-표4[[#This Row],[매도비용]]-표4[[#This Row],[매입비용]]</f>
        <v>0.31000000000040018</v>
      </c>
      <c r="Q56" s="28"/>
      <c r="R56" s="28">
        <f>표4[[#This Row],[입출금]]+표4[[#This Row],[현금수입]]-표4[[#This Row],[현금지출]]</f>
        <v>0</v>
      </c>
      <c r="S56" s="102">
        <f>SUM($R$2:R56)</f>
        <v>-9.0949470177292824E-13</v>
      </c>
    </row>
    <row r="57" spans="1:19" x14ac:dyDescent="0.3">
      <c r="A57" s="48">
        <v>45190</v>
      </c>
      <c r="B57" s="24" t="s">
        <v>90</v>
      </c>
      <c r="C57" s="1" t="str">
        <f>VLOOKUP(표4[[#This Row],[종목코드]],표3[],2,FALSE)</f>
        <v>한투외화RP</v>
      </c>
      <c r="D57" s="9" t="str">
        <f>VLOOKUP(표4[[#This Row],[종목코드]],표3[],4,FALSE)</f>
        <v>한국투자증권 직접투자계좌 외화RP</v>
      </c>
      <c r="F57" s="54">
        <v>4070.09</v>
      </c>
      <c r="G57" s="54">
        <v>4070.09</v>
      </c>
      <c r="H57" s="55">
        <f>표4[[#This Row],[현금지출]]-표4[[#This Row],[매입액]]</f>
        <v>0</v>
      </c>
      <c r="I57" s="86"/>
      <c r="J57" s="54">
        <v>4069.78</v>
      </c>
      <c r="K57" s="54">
        <v>4070.14</v>
      </c>
      <c r="L57" s="54"/>
      <c r="M57" s="54">
        <v>4070.09</v>
      </c>
      <c r="N57" s="54">
        <f>표4[[#This Row],[매도액]]-표4[[#This Row],[매도원금]]</f>
        <v>0.35999999999967258</v>
      </c>
      <c r="O57" s="54">
        <f>표4[[#This Row],[매도액]]+표4[[#This Row],[이자배당액]]-표4[[#This Row],[현금수입]]</f>
        <v>4.9999999999727152E-2</v>
      </c>
      <c r="P57" s="56">
        <f>표4[[#This Row],[매매수익]]+표4[[#This Row],[이자배당액]]-표4[[#This Row],[매도비용]]-표4[[#This Row],[매입비용]]</f>
        <v>0.30999999999994543</v>
      </c>
      <c r="Q57" s="28"/>
      <c r="R57" s="28">
        <f>표4[[#This Row],[입출금]]+표4[[#This Row],[현금수입]]-표4[[#This Row],[현금지출]]</f>
        <v>0</v>
      </c>
      <c r="S57" s="102">
        <f>SUM($R$2:R57)</f>
        <v>-9.0949470177292824E-13</v>
      </c>
    </row>
    <row r="58" spans="1:19" x14ac:dyDescent="0.3">
      <c r="A58" s="69">
        <v>45191</v>
      </c>
      <c r="B58" s="24" t="s">
        <v>90</v>
      </c>
      <c r="C58" s="1" t="str">
        <f>VLOOKUP(표4[[#This Row],[종목코드]],표3[],2,FALSE)</f>
        <v>한투외화RP</v>
      </c>
      <c r="D58" s="9" t="str">
        <f>VLOOKUP(표4[[#This Row],[종목코드]],표3[],4,FALSE)</f>
        <v>한국투자증권 직접투자계좌 외화RP</v>
      </c>
      <c r="E58" s="78"/>
      <c r="F58" s="58">
        <v>4070.4</v>
      </c>
      <c r="G58" s="58">
        <v>4070.4</v>
      </c>
      <c r="H58" s="58">
        <f>표4[[#This Row],[현금지출]]-표4[[#This Row],[매입액]]</f>
        <v>0</v>
      </c>
      <c r="I58" s="84"/>
      <c r="J58" s="54">
        <v>4070.09</v>
      </c>
      <c r="K58" s="57">
        <v>4070.45</v>
      </c>
      <c r="L58" s="57"/>
      <c r="M58" s="58">
        <v>4070.4</v>
      </c>
      <c r="N58" s="57">
        <f>표4[[#This Row],[매도액]]-표4[[#This Row],[매도원금]]</f>
        <v>0.35999999999967258</v>
      </c>
      <c r="O58" s="57">
        <f>표4[[#This Row],[매도액]]+표4[[#This Row],[이자배당액]]-표4[[#This Row],[현금수입]]</f>
        <v>4.9999999999727152E-2</v>
      </c>
      <c r="P58" s="59">
        <f>표4[[#This Row],[매매수익]]+표4[[#This Row],[이자배당액]]-표4[[#This Row],[매도비용]]-표4[[#This Row],[매입비용]]</f>
        <v>0.30999999999994543</v>
      </c>
      <c r="Q58" s="33"/>
      <c r="R58" s="33">
        <f>표4[[#This Row],[입출금]]+표4[[#This Row],[현금수입]]-표4[[#This Row],[현금지출]]</f>
        <v>0</v>
      </c>
      <c r="S58" s="102">
        <f>SUM($R$2:R58)</f>
        <v>-9.0949470177292824E-13</v>
      </c>
    </row>
    <row r="59" spans="1:19" x14ac:dyDescent="0.3">
      <c r="A59" s="69">
        <v>45194</v>
      </c>
      <c r="B59" s="24" t="s">
        <v>166</v>
      </c>
      <c r="C59" s="1" t="str">
        <f>VLOOKUP(표4[[#This Row],[종목코드]],표3[],2,FALSE)</f>
        <v>(약정)한투외화발행어음</v>
      </c>
      <c r="D59" s="9" t="str">
        <f>VLOOKUP(표4[[#This Row],[종목코드]],표3[],4,FALSE)</f>
        <v>한국투자증권 직접투자계좌 외화발행어음(약정)</v>
      </c>
      <c r="E59" s="78"/>
      <c r="F59" s="54"/>
      <c r="G59" s="55"/>
      <c r="H59" s="55">
        <f>표4[[#This Row],[현금지출]]-표4[[#This Row],[매입액]]</f>
        <v>0</v>
      </c>
      <c r="I59" s="84"/>
      <c r="J59" s="54">
        <v>1000</v>
      </c>
      <c r="K59" s="54">
        <v>1004.03</v>
      </c>
      <c r="L59" s="54"/>
      <c r="M59" s="54">
        <v>1003.41</v>
      </c>
      <c r="N59" s="54">
        <f>표4[[#This Row],[매도액]]-표4[[#This Row],[매도원금]]</f>
        <v>4.0299999999999727</v>
      </c>
      <c r="O59" s="54">
        <f>표4[[#This Row],[매도액]]+표4[[#This Row],[이자배당액]]-표4[[#This Row],[현금수입]]</f>
        <v>0.62000000000000455</v>
      </c>
      <c r="P59" s="56">
        <f>표4[[#This Row],[매매수익]]+표4[[#This Row],[이자배당액]]-표4[[#This Row],[매도비용]]-표4[[#This Row],[매입비용]]</f>
        <v>3.4099999999999682</v>
      </c>
      <c r="Q59" s="33"/>
      <c r="R59" s="33">
        <f>표4[[#This Row],[입출금]]+표4[[#This Row],[현금수입]]-표4[[#This Row],[현금지출]]</f>
        <v>1003.41</v>
      </c>
      <c r="S59" s="102">
        <f>SUM($R$2:R59)</f>
        <v>1003.4099999999991</v>
      </c>
    </row>
    <row r="60" spans="1:19" x14ac:dyDescent="0.3">
      <c r="A60" s="69">
        <v>45194</v>
      </c>
      <c r="B60" s="24" t="s">
        <v>90</v>
      </c>
      <c r="C60" s="1" t="str">
        <f>VLOOKUP(표4[[#This Row],[종목코드]],표3[],2,FALSE)</f>
        <v>한투외화RP</v>
      </c>
      <c r="D60" s="9" t="str">
        <f>VLOOKUP(표4[[#This Row],[종목코드]],표3[],4,FALSE)</f>
        <v>한국투자증권 직접투자계좌 외화RP</v>
      </c>
      <c r="E60" s="78"/>
      <c r="F60" s="58">
        <v>5074.72</v>
      </c>
      <c r="G60" s="58">
        <v>5074.72</v>
      </c>
      <c r="H60" s="58">
        <f>표4[[#This Row],[현금지출]]-표4[[#This Row],[매입액]]</f>
        <v>0</v>
      </c>
      <c r="I60" s="84"/>
      <c r="J60" s="58">
        <v>4070.4</v>
      </c>
      <c r="K60" s="57">
        <v>4071.48</v>
      </c>
      <c r="L60" s="57"/>
      <c r="M60" s="58">
        <v>4071.31</v>
      </c>
      <c r="N60" s="57">
        <f>표4[[#This Row],[매도액]]-표4[[#This Row],[매도원금]]</f>
        <v>1.0799999999999272</v>
      </c>
      <c r="O60" s="57">
        <f>표4[[#This Row],[매도액]]+표4[[#This Row],[이자배당액]]-표4[[#This Row],[현금수입]]</f>
        <v>0.17000000000007276</v>
      </c>
      <c r="P60" s="59">
        <f>표4[[#This Row],[매매수익]]+표4[[#This Row],[이자배당액]]-표4[[#This Row],[매도비용]]-표4[[#This Row],[매입비용]]</f>
        <v>0.90999999999985448</v>
      </c>
      <c r="Q60" s="33"/>
      <c r="R60" s="33">
        <f>표4[[#This Row],[입출금]]+표4[[#This Row],[현금수입]]-표4[[#This Row],[현금지출]]</f>
        <v>-1003.4100000000003</v>
      </c>
      <c r="S60" s="102">
        <f>SUM($R$2:R60)</f>
        <v>-1.2505552149377763E-12</v>
      </c>
    </row>
    <row r="61" spans="1:19" x14ac:dyDescent="0.3">
      <c r="A61" s="69">
        <v>45195</v>
      </c>
      <c r="B61" s="24" t="s">
        <v>90</v>
      </c>
      <c r="C61" s="1" t="str">
        <f>VLOOKUP(표4[[#This Row],[종목코드]],표3[],2,FALSE)</f>
        <v>한투외화RP</v>
      </c>
      <c r="D61" s="9" t="str">
        <f>VLOOKUP(표4[[#This Row],[종목코드]],표3[],4,FALSE)</f>
        <v>한국투자증권 직접투자계좌 외화RP</v>
      </c>
      <c r="E61" s="78"/>
      <c r="F61" s="58">
        <v>5075.1000000000004</v>
      </c>
      <c r="G61" s="58">
        <v>5075.1000000000004</v>
      </c>
      <c r="H61" s="58">
        <f>표4[[#This Row],[현금지출]]-표4[[#This Row],[매입액]]</f>
        <v>0</v>
      </c>
      <c r="I61" s="84"/>
      <c r="J61" s="58">
        <v>5074.72</v>
      </c>
      <c r="K61" s="57">
        <v>5075.18</v>
      </c>
      <c r="L61" s="57"/>
      <c r="M61" s="58">
        <v>5075.1000000000004</v>
      </c>
      <c r="N61" s="57">
        <f>표4[[#This Row],[매도액]]-표4[[#This Row],[매도원금]]</f>
        <v>0.46000000000003638</v>
      </c>
      <c r="O61" s="57">
        <f>표4[[#This Row],[매도액]]+표4[[#This Row],[이자배당액]]-표4[[#This Row],[현금수입]]</f>
        <v>7.999999999992724E-2</v>
      </c>
      <c r="P61" s="59">
        <f>표4[[#This Row],[매매수익]]+표4[[#This Row],[이자배당액]]-표4[[#This Row],[매도비용]]-표4[[#This Row],[매입비용]]</f>
        <v>0.38000000000010914</v>
      </c>
      <c r="Q61" s="33"/>
      <c r="R61" s="33">
        <f>표4[[#This Row],[입출금]]+표4[[#This Row],[현금수입]]-표4[[#This Row],[현금지출]]</f>
        <v>0</v>
      </c>
      <c r="S61" s="102">
        <f>SUM($R$2:R61)</f>
        <v>-1.2505552149377763E-12</v>
      </c>
    </row>
    <row r="62" spans="1:19" x14ac:dyDescent="0.3">
      <c r="A62" s="69">
        <v>45196</v>
      </c>
      <c r="B62" s="24" t="s">
        <v>90</v>
      </c>
      <c r="C62" s="1" t="str">
        <f>VLOOKUP(표4[[#This Row],[종목코드]],표3[],2,FALSE)</f>
        <v>한투외화RP</v>
      </c>
      <c r="D62" s="9" t="str">
        <f>VLOOKUP(표4[[#This Row],[종목코드]],표3[],4,FALSE)</f>
        <v>한국투자증권 직접투자계좌 외화RP</v>
      </c>
      <c r="E62" s="78"/>
      <c r="F62" s="58">
        <v>5075.49</v>
      </c>
      <c r="G62" s="58">
        <v>5075.49</v>
      </c>
      <c r="H62" s="58">
        <f>표4[[#This Row],[현금지출]]-표4[[#This Row],[매입액]]</f>
        <v>0</v>
      </c>
      <c r="I62" s="84"/>
      <c r="J62" s="58">
        <v>5075.1000000000004</v>
      </c>
      <c r="K62" s="57">
        <v>5075.5600000000004</v>
      </c>
      <c r="L62" s="57"/>
      <c r="M62" s="58">
        <v>5075.49</v>
      </c>
      <c r="N62" s="57">
        <f>표4[[#This Row],[매도액]]-표4[[#This Row],[매도원금]]</f>
        <v>0.46000000000003638</v>
      </c>
      <c r="O62" s="57">
        <f>표4[[#This Row],[매도액]]+표4[[#This Row],[이자배당액]]-표4[[#This Row],[현금수입]]</f>
        <v>7.0000000000618456E-2</v>
      </c>
      <c r="P62" s="59">
        <f>표4[[#This Row],[매매수익]]+표4[[#This Row],[이자배당액]]-표4[[#This Row],[매도비용]]-표4[[#This Row],[매입비용]]</f>
        <v>0.38999999999941792</v>
      </c>
      <c r="Q62" s="33"/>
      <c r="R62" s="33">
        <f>표4[[#This Row],[입출금]]+표4[[#This Row],[현금수입]]-표4[[#This Row],[현금지출]]</f>
        <v>0</v>
      </c>
      <c r="S62" s="102">
        <f>SUM($R$2:R62)</f>
        <v>-1.2505552149377763E-12</v>
      </c>
    </row>
    <row r="63" spans="1:19" x14ac:dyDescent="0.3">
      <c r="A63" s="69">
        <v>45203</v>
      </c>
      <c r="B63" s="24" t="s">
        <v>90</v>
      </c>
      <c r="C63" s="1" t="str">
        <f>VLOOKUP(표4[[#This Row],[종목코드]],표3[],2,FALSE)</f>
        <v>한투외화RP</v>
      </c>
      <c r="D63" s="9" t="str">
        <f>VLOOKUP(표4[[#This Row],[종목코드]],표3[],4,FALSE)</f>
        <v>한국투자증권 직접투자계좌 외화RP</v>
      </c>
      <c r="E63" s="78"/>
      <c r="F63" s="58">
        <v>5078.17</v>
      </c>
      <c r="G63" s="58">
        <v>5078.17</v>
      </c>
      <c r="H63" s="58">
        <f>표4[[#This Row],[현금지출]]-표4[[#This Row],[매입액]]</f>
        <v>0</v>
      </c>
      <c r="I63" s="84"/>
      <c r="J63" s="58">
        <v>5075.49</v>
      </c>
      <c r="K63" s="57">
        <v>5078.6400000000003</v>
      </c>
      <c r="L63" s="57"/>
      <c r="M63" s="58">
        <v>5078.17</v>
      </c>
      <c r="N63" s="57">
        <f>표4[[#This Row],[매도액]]-표4[[#This Row],[매도원금]]</f>
        <v>3.1500000000005457</v>
      </c>
      <c r="O63" s="57">
        <f>표4[[#This Row],[매도액]]+표4[[#This Row],[이자배당액]]-표4[[#This Row],[현금수입]]</f>
        <v>0.47000000000025466</v>
      </c>
      <c r="P63" s="59">
        <f>표4[[#This Row],[매매수익]]+표4[[#This Row],[이자배당액]]-표4[[#This Row],[매도비용]]-표4[[#This Row],[매입비용]]</f>
        <v>2.680000000000291</v>
      </c>
      <c r="Q63" s="33"/>
      <c r="R63" s="33">
        <f>표4[[#This Row],[입출금]]+표4[[#This Row],[현금수입]]-표4[[#This Row],[현금지출]]</f>
        <v>0</v>
      </c>
      <c r="S63" s="102">
        <f>SUM($R$2:R63)</f>
        <v>-1.2505552149377763E-12</v>
      </c>
    </row>
    <row r="64" spans="1:19" x14ac:dyDescent="0.3">
      <c r="A64" s="69">
        <v>45204</v>
      </c>
      <c r="B64" s="24" t="s">
        <v>90</v>
      </c>
      <c r="C64" s="1" t="str">
        <f>VLOOKUP(표4[[#This Row],[종목코드]],표3[],2,FALSE)</f>
        <v>한투외화RP</v>
      </c>
      <c r="D64" s="9" t="str">
        <f>VLOOKUP(표4[[#This Row],[종목코드]],표3[],4,FALSE)</f>
        <v>한국투자증권 직접투자계좌 외화RP</v>
      </c>
      <c r="E64" s="78"/>
      <c r="F64" s="58">
        <v>5078.5600000000004</v>
      </c>
      <c r="G64" s="58">
        <v>5078.5600000000004</v>
      </c>
      <c r="H64" s="58">
        <f>표4[[#This Row],[현금지출]]-표4[[#This Row],[매입액]]</f>
        <v>0</v>
      </c>
      <c r="I64" s="84"/>
      <c r="J64" s="58">
        <v>5078.17</v>
      </c>
      <c r="K64" s="57">
        <v>5078.62</v>
      </c>
      <c r="L64" s="57"/>
      <c r="M64" s="58">
        <v>5078.5600000000004</v>
      </c>
      <c r="N64" s="57">
        <f>표4[[#This Row],[매도액]]-표4[[#This Row],[매도원금]]</f>
        <v>0.4499999999998181</v>
      </c>
      <c r="O64" s="57">
        <f>표4[[#This Row],[매도액]]+표4[[#This Row],[이자배당액]]-표4[[#This Row],[현금수입]]</f>
        <v>5.9999999999490683E-2</v>
      </c>
      <c r="P64" s="59">
        <f>표4[[#This Row],[매매수익]]+표4[[#This Row],[이자배당액]]-표4[[#This Row],[매도비용]]-표4[[#This Row],[매입비용]]</f>
        <v>0.39000000000032742</v>
      </c>
      <c r="Q64" s="33"/>
      <c r="R64" s="33">
        <f>표4[[#This Row],[입출금]]+표4[[#This Row],[현금수입]]-표4[[#This Row],[현금지출]]</f>
        <v>0</v>
      </c>
      <c r="S64" s="102">
        <f>SUM($R$2:R64)</f>
        <v>-1.2505552149377763E-12</v>
      </c>
    </row>
    <row r="65" spans="1:19" x14ac:dyDescent="0.3">
      <c r="A65" s="69">
        <v>45205</v>
      </c>
      <c r="B65" s="24" t="s">
        <v>90</v>
      </c>
      <c r="C65" s="1" t="str">
        <f>VLOOKUP(표4[[#This Row],[종목코드]],표3[],2,FALSE)</f>
        <v>한투외화RP</v>
      </c>
      <c r="D65" s="9" t="str">
        <f>VLOOKUP(표4[[#This Row],[종목코드]],표3[],4,FALSE)</f>
        <v>한국투자증권 직접투자계좌 외화RP</v>
      </c>
      <c r="E65" s="78"/>
      <c r="F65" s="58">
        <v>5078.95</v>
      </c>
      <c r="G65" s="58">
        <v>5078.95</v>
      </c>
      <c r="H65" s="58">
        <f>표4[[#This Row],[현금지출]]-표4[[#This Row],[매입액]]</f>
        <v>0</v>
      </c>
      <c r="I65" s="84"/>
      <c r="J65" s="58">
        <v>5078.5600000000004</v>
      </c>
      <c r="K65" s="57">
        <v>5079.01</v>
      </c>
      <c r="L65" s="57"/>
      <c r="M65" s="58">
        <v>5078.95</v>
      </c>
      <c r="N65" s="57">
        <f>표4[[#This Row],[매도액]]-표4[[#This Row],[매도원금]]</f>
        <v>0.4499999999998181</v>
      </c>
      <c r="O65" s="57">
        <f>표4[[#This Row],[매도액]]+표4[[#This Row],[이자배당액]]-표4[[#This Row],[현금수입]]</f>
        <v>6.0000000000400178E-2</v>
      </c>
      <c r="P65" s="59">
        <f>표4[[#This Row],[매매수익]]+표4[[#This Row],[이자배당액]]-표4[[#This Row],[매도비용]]-표4[[#This Row],[매입비용]]</f>
        <v>0.38999999999941792</v>
      </c>
      <c r="Q65" s="33"/>
      <c r="R65" s="33">
        <f>표4[[#This Row],[입출금]]+표4[[#This Row],[현금수입]]-표4[[#This Row],[현금지출]]</f>
        <v>0</v>
      </c>
      <c r="S65" s="102">
        <f>SUM($R$2:R65)</f>
        <v>-1.2505552149377763E-12</v>
      </c>
    </row>
    <row r="66" spans="1:19" x14ac:dyDescent="0.3">
      <c r="A66" s="69">
        <v>45209</v>
      </c>
      <c r="B66" s="24" t="s">
        <v>90</v>
      </c>
      <c r="C66" s="1" t="str">
        <f>VLOOKUP(표4[[#This Row],[종목코드]],표3[],2,FALSE)</f>
        <v>한투외화RP</v>
      </c>
      <c r="D66" s="9" t="str">
        <f>VLOOKUP(표4[[#This Row],[종목코드]],표3[],4,FALSE)</f>
        <v>한국투자증권 직접투자계좌 외화RP</v>
      </c>
      <c r="E66" s="78"/>
      <c r="F66" s="58">
        <v>5080.47</v>
      </c>
      <c r="G66" s="58">
        <v>5080.47</v>
      </c>
      <c r="H66" s="58">
        <f>표4[[#This Row],[현금지출]]-표4[[#This Row],[매입액]]</f>
        <v>0</v>
      </c>
      <c r="I66" s="84"/>
      <c r="J66" s="58">
        <v>5078.95</v>
      </c>
      <c r="K66" s="57">
        <v>5080.75</v>
      </c>
      <c r="L66" s="57"/>
      <c r="M66" s="58">
        <v>5080.47</v>
      </c>
      <c r="N66" s="57">
        <f>표4[[#This Row],[매도액]]-표4[[#This Row],[매도원금]]</f>
        <v>1.8000000000001819</v>
      </c>
      <c r="O66" s="57">
        <f>표4[[#This Row],[매도액]]+표4[[#This Row],[이자배당액]]-표4[[#This Row],[현금수입]]</f>
        <v>0.27999999999974534</v>
      </c>
      <c r="P66" s="59">
        <f>표4[[#This Row],[매매수익]]+표4[[#This Row],[이자배당액]]-표4[[#This Row],[매도비용]]-표4[[#This Row],[매입비용]]</f>
        <v>1.5200000000004366</v>
      </c>
      <c r="Q66" s="33"/>
      <c r="R66" s="33">
        <f>표4[[#This Row],[입출금]]+표4[[#This Row],[현금수입]]-표4[[#This Row],[현금지출]]</f>
        <v>0</v>
      </c>
      <c r="S66" s="102">
        <f>SUM($R$2:R66)</f>
        <v>-1.2505552149377763E-12</v>
      </c>
    </row>
    <row r="67" spans="1:19" x14ac:dyDescent="0.3">
      <c r="A67" s="69">
        <v>45210</v>
      </c>
      <c r="B67" s="24" t="s">
        <v>90</v>
      </c>
      <c r="C67" s="1" t="str">
        <f>VLOOKUP(표4[[#This Row],[종목코드]],표3[],2,FALSE)</f>
        <v>한투외화RP</v>
      </c>
      <c r="D67" s="9" t="str">
        <f>VLOOKUP(표4[[#This Row],[종목코드]],표3[],4,FALSE)</f>
        <v>한국투자증권 직접투자계좌 외화RP</v>
      </c>
      <c r="E67" s="78"/>
      <c r="F67" s="58">
        <v>5080.87</v>
      </c>
      <c r="G67" s="58">
        <v>5080.87</v>
      </c>
      <c r="H67" s="58">
        <f>표4[[#This Row],[현금지출]]-표4[[#This Row],[매입액]]</f>
        <v>0</v>
      </c>
      <c r="I67" s="84"/>
      <c r="J67" s="58">
        <v>5080.47</v>
      </c>
      <c r="K67" s="57">
        <v>5080.93</v>
      </c>
      <c r="L67" s="57"/>
      <c r="M67" s="58">
        <v>5080.87</v>
      </c>
      <c r="N67" s="57">
        <f>표4[[#This Row],[매도액]]-표4[[#This Row],[매도원금]]</f>
        <v>0.46000000000003638</v>
      </c>
      <c r="O67" s="57">
        <f>표4[[#This Row],[매도액]]+표4[[#This Row],[이자배당액]]-표4[[#This Row],[현금수입]]</f>
        <v>6.0000000000400178E-2</v>
      </c>
      <c r="P67" s="59">
        <f>표4[[#This Row],[매매수익]]+표4[[#This Row],[이자배당액]]-표4[[#This Row],[매도비용]]-표4[[#This Row],[매입비용]]</f>
        <v>0.3999999999996362</v>
      </c>
      <c r="Q67" s="33"/>
      <c r="R67" s="33">
        <f>표4[[#This Row],[입출금]]+표4[[#This Row],[현금수입]]-표4[[#This Row],[현금지출]]</f>
        <v>0</v>
      </c>
      <c r="S67" s="102">
        <f>SUM($R$2:R67)</f>
        <v>-1.2505552149377763E-12</v>
      </c>
    </row>
    <row r="68" spans="1:19" x14ac:dyDescent="0.3">
      <c r="A68" s="69">
        <v>45211</v>
      </c>
      <c r="B68" s="24" t="s">
        <v>90</v>
      </c>
      <c r="C68" s="1" t="str">
        <f>VLOOKUP(표4[[#This Row],[종목코드]],표3[],2,FALSE)</f>
        <v>한투외화RP</v>
      </c>
      <c r="D68" s="9" t="str">
        <f>VLOOKUP(표4[[#This Row],[종목코드]],표3[],4,FALSE)</f>
        <v>한국투자증권 직접투자계좌 외화RP</v>
      </c>
      <c r="E68" s="78"/>
      <c r="F68" s="57">
        <v>5081.26</v>
      </c>
      <c r="G68" s="57">
        <v>5081.26</v>
      </c>
      <c r="H68" s="58">
        <f>표4[[#This Row],[현금지출]]-표4[[#This Row],[매입액]]</f>
        <v>0</v>
      </c>
      <c r="I68" s="84"/>
      <c r="J68" s="58">
        <v>5080.87</v>
      </c>
      <c r="K68" s="57">
        <v>5081.32</v>
      </c>
      <c r="L68" s="57"/>
      <c r="M68" s="57">
        <v>5081.26</v>
      </c>
      <c r="N68" s="57">
        <f>표4[[#This Row],[매도액]]-표4[[#This Row],[매도원금]]</f>
        <v>0.4499999999998181</v>
      </c>
      <c r="O68" s="57">
        <f>표4[[#This Row],[매도액]]+표4[[#This Row],[이자배당액]]-표4[[#This Row],[현금수입]]</f>
        <v>5.9999999999490683E-2</v>
      </c>
      <c r="P68" s="59">
        <f>표4[[#This Row],[매매수익]]+표4[[#This Row],[이자배당액]]-표4[[#This Row],[매도비용]]-표4[[#This Row],[매입비용]]</f>
        <v>0.39000000000032742</v>
      </c>
      <c r="Q68" s="33"/>
      <c r="R68" s="33">
        <f>표4[[#This Row],[입출금]]+표4[[#This Row],[현금수입]]-표4[[#This Row],[현금지출]]</f>
        <v>0</v>
      </c>
      <c r="S68" s="102">
        <f>SUM($R$2:R68)</f>
        <v>-1.2505552149377763E-12</v>
      </c>
    </row>
    <row r="69" spans="1:19" x14ac:dyDescent="0.3">
      <c r="A69" s="69">
        <v>45212</v>
      </c>
      <c r="B69" s="24" t="s">
        <v>90</v>
      </c>
      <c r="C69" s="1" t="str">
        <f>VLOOKUP(표4[[#This Row],[종목코드]],표3[],2,FALSE)</f>
        <v>한투외화RP</v>
      </c>
      <c r="D69" s="9" t="str">
        <f>VLOOKUP(표4[[#This Row],[종목코드]],표3[],4,FALSE)</f>
        <v>한국투자증권 직접투자계좌 외화RP</v>
      </c>
      <c r="E69" s="78"/>
      <c r="F69" s="57">
        <v>5081.6400000000003</v>
      </c>
      <c r="G69" s="57">
        <v>5081.6400000000003</v>
      </c>
      <c r="H69" s="58">
        <f>표4[[#This Row],[현금지출]]-표4[[#This Row],[매입액]]</f>
        <v>0</v>
      </c>
      <c r="I69" s="84"/>
      <c r="J69" s="57">
        <v>5081.26</v>
      </c>
      <c r="K69" s="57">
        <v>5081.71</v>
      </c>
      <c r="L69" s="57"/>
      <c r="M69" s="57">
        <v>5081.6400000000003</v>
      </c>
      <c r="N69" s="57">
        <f>표4[[#This Row],[매도액]]-표4[[#This Row],[매도원금]]</f>
        <v>0.4499999999998181</v>
      </c>
      <c r="O69" s="57">
        <f>표4[[#This Row],[매도액]]+표4[[#This Row],[이자배당액]]-표4[[#This Row],[현금수입]]</f>
        <v>6.9999999999708962E-2</v>
      </c>
      <c r="P69" s="59">
        <f>표4[[#This Row],[매매수익]]+표4[[#This Row],[이자배당액]]-표4[[#This Row],[매도비용]]-표4[[#This Row],[매입비용]]</f>
        <v>0.38000000000010914</v>
      </c>
      <c r="Q69" s="33"/>
      <c r="R69" s="33">
        <f>표4[[#This Row],[입출금]]+표4[[#This Row],[현금수입]]-표4[[#This Row],[현금지출]]</f>
        <v>0</v>
      </c>
      <c r="S69" s="102">
        <f>SUM($R$2:R69)</f>
        <v>-1.2505552149377763E-12</v>
      </c>
    </row>
    <row r="70" spans="1:19" x14ac:dyDescent="0.3">
      <c r="A70" s="69">
        <v>45215</v>
      </c>
      <c r="B70" s="24" t="s">
        <v>90</v>
      </c>
      <c r="C70" s="1" t="str">
        <f>VLOOKUP(표4[[#This Row],[종목코드]],표3[],2,FALSE)</f>
        <v>한투외화RP</v>
      </c>
      <c r="D70" s="9" t="str">
        <f>VLOOKUP(표4[[#This Row],[종목코드]],표3[],4,FALSE)</f>
        <v>한국투자증권 직접투자계좌 외화RP</v>
      </c>
      <c r="E70" s="78"/>
      <c r="F70" s="57">
        <v>5082.78</v>
      </c>
      <c r="G70" s="57">
        <v>5082.78</v>
      </c>
      <c r="H70" s="58">
        <f>표4[[#This Row],[현금지출]]-표4[[#This Row],[매입액]]</f>
        <v>0</v>
      </c>
      <c r="I70" s="84"/>
      <c r="J70" s="57">
        <v>5081.6400000000003</v>
      </c>
      <c r="K70" s="57">
        <v>5082.99</v>
      </c>
      <c r="L70" s="57"/>
      <c r="M70" s="57">
        <v>5082.78</v>
      </c>
      <c r="N70" s="57">
        <f>표4[[#This Row],[매도액]]-표4[[#This Row],[매도원금]]</f>
        <v>1.3499999999994543</v>
      </c>
      <c r="O70" s="57">
        <f>표4[[#This Row],[매도액]]+표4[[#This Row],[이자배당액]]-표4[[#This Row],[현금수입]]</f>
        <v>0.21000000000003638</v>
      </c>
      <c r="P70" s="59">
        <f>표4[[#This Row],[매매수익]]+표4[[#This Row],[이자배당액]]-표4[[#This Row],[매도비용]]-표4[[#This Row],[매입비용]]</f>
        <v>1.1399999999994179</v>
      </c>
      <c r="Q70" s="33"/>
      <c r="R70" s="33">
        <f>표4[[#This Row],[입출금]]+표4[[#This Row],[현금수입]]-표4[[#This Row],[현금지출]]</f>
        <v>0</v>
      </c>
      <c r="S70" s="102">
        <f>SUM($R$2:R70)</f>
        <v>-1.2505552149377763E-12</v>
      </c>
    </row>
    <row r="71" spans="1:19" x14ac:dyDescent="0.3">
      <c r="A71" s="69">
        <v>45216</v>
      </c>
      <c r="B71" s="24" t="s">
        <v>90</v>
      </c>
      <c r="C71" s="1" t="str">
        <f>VLOOKUP(표4[[#This Row],[종목코드]],표3[],2,FALSE)</f>
        <v>한투외화RP</v>
      </c>
      <c r="D71" s="9" t="str">
        <f>VLOOKUP(표4[[#This Row],[종목코드]],표3[],4,FALSE)</f>
        <v>한국투자증권 직접투자계좌 외화RP</v>
      </c>
      <c r="E71" s="78"/>
      <c r="F71" s="57"/>
      <c r="G71" s="58"/>
      <c r="H71" s="58">
        <f>표4[[#This Row],[현금지출]]-표4[[#This Row],[매입액]]</f>
        <v>0</v>
      </c>
      <c r="I71" s="84">
        <v>1</v>
      </c>
      <c r="J71" s="57">
        <v>5082.78</v>
      </c>
      <c r="K71" s="57">
        <v>5083.22</v>
      </c>
      <c r="L71" s="57"/>
      <c r="M71" s="57">
        <v>5083.17</v>
      </c>
      <c r="N71" s="57">
        <f>표4[[#This Row],[매도액]]-표4[[#This Row],[매도원금]]</f>
        <v>0.44000000000050932</v>
      </c>
      <c r="O71" s="57">
        <f>표4[[#This Row],[매도액]]+표4[[#This Row],[이자배당액]]-표4[[#This Row],[현금수입]]</f>
        <v>5.0000000000181899E-2</v>
      </c>
      <c r="P71" s="59">
        <f>표4[[#This Row],[매매수익]]+표4[[#This Row],[이자배당액]]-표4[[#This Row],[매도비용]]-표4[[#This Row],[매입비용]]</f>
        <v>0.39000000000032742</v>
      </c>
      <c r="Q71" s="33"/>
      <c r="R71" s="33">
        <f>표4[[#This Row],[입출금]]+표4[[#This Row],[현금수입]]-표4[[#This Row],[현금지출]]</f>
        <v>5083.17</v>
      </c>
      <c r="S71" s="102">
        <f>SUM($R$2:R71)</f>
        <v>5083.1699999999992</v>
      </c>
    </row>
    <row r="72" spans="1:19" x14ac:dyDescent="0.3">
      <c r="A72" s="69">
        <v>45216</v>
      </c>
      <c r="B72" s="24" t="s">
        <v>166</v>
      </c>
      <c r="C72" s="1" t="str">
        <f>VLOOKUP(표4[[#This Row],[종목코드]],표3[],2,FALSE)</f>
        <v>(약정)한투외화발행어음</v>
      </c>
      <c r="D72" s="9" t="str">
        <f>VLOOKUP(표4[[#This Row],[종목코드]],표3[],4,FALSE)</f>
        <v>한국투자증권 직접투자계좌 외화발행어음(약정)</v>
      </c>
      <c r="E72" s="78"/>
      <c r="F72" s="57">
        <v>3000</v>
      </c>
      <c r="G72" s="58">
        <v>3000</v>
      </c>
      <c r="H72" s="58">
        <f>표4[[#This Row],[현금지출]]-표4[[#This Row],[매입액]]</f>
        <v>0</v>
      </c>
      <c r="I72" s="84"/>
      <c r="J72" s="57"/>
      <c r="K72" s="57"/>
      <c r="L72" s="57"/>
      <c r="M72" s="57"/>
      <c r="N72" s="57">
        <f>표4[[#This Row],[매도액]]-표4[[#This Row],[매도원금]]</f>
        <v>0</v>
      </c>
      <c r="O72" s="57">
        <f>표4[[#This Row],[매도액]]+표4[[#This Row],[이자배당액]]-표4[[#This Row],[현금수입]]</f>
        <v>0</v>
      </c>
      <c r="P72" s="59">
        <f>표4[[#This Row],[매매수익]]+표4[[#This Row],[이자배당액]]-표4[[#This Row],[매도비용]]-표4[[#This Row],[매입비용]]</f>
        <v>0</v>
      </c>
      <c r="Q72" s="33"/>
      <c r="R72" s="33">
        <f>표4[[#This Row],[입출금]]+표4[[#This Row],[현금수입]]-표4[[#This Row],[현금지출]]</f>
        <v>-3000</v>
      </c>
      <c r="S72" s="102">
        <f>SUM($R$2:R72)</f>
        <v>2083.1699999999992</v>
      </c>
    </row>
    <row r="73" spans="1:19" x14ac:dyDescent="0.3">
      <c r="A73" s="69">
        <v>45219</v>
      </c>
      <c r="B73" s="87" t="s">
        <v>152</v>
      </c>
      <c r="C73" s="1" t="str">
        <f>VLOOKUP(표4[[#This Row],[종목코드]],표3[],2,FALSE)</f>
        <v>한투외화채권</v>
      </c>
      <c r="D73" s="9" t="str">
        <f>VLOOKUP(표4[[#This Row],[종목코드]],표3[],4,FALSE)</f>
        <v>미국채 0.125 12/15/23</v>
      </c>
      <c r="E73" s="78">
        <v>1</v>
      </c>
      <c r="F73" s="57">
        <v>1986.58</v>
      </c>
      <c r="G73" s="58">
        <v>1986.58</v>
      </c>
      <c r="H73" s="58">
        <f>표4[[#This Row],[현금지출]]-표4[[#This Row],[매입액]]</f>
        <v>0</v>
      </c>
      <c r="I73" s="84"/>
      <c r="J73" s="57"/>
      <c r="K73" s="57"/>
      <c r="L73" s="57"/>
      <c r="M73" s="57"/>
      <c r="N73" s="57">
        <f>표4[[#This Row],[매도액]]-표4[[#This Row],[매도원금]]</f>
        <v>0</v>
      </c>
      <c r="O73" s="57">
        <f>표4[[#This Row],[매도액]]+표4[[#This Row],[이자배당액]]-표4[[#This Row],[현금수입]]</f>
        <v>0</v>
      </c>
      <c r="P73" s="59">
        <f>표4[[#This Row],[매매수익]]+표4[[#This Row],[이자배당액]]-표4[[#This Row],[매도비용]]-표4[[#This Row],[매입비용]]</f>
        <v>0</v>
      </c>
      <c r="Q73" s="33"/>
      <c r="R73" s="33">
        <f>표4[[#This Row],[입출금]]+표4[[#This Row],[현금수입]]-표4[[#This Row],[현금지출]]</f>
        <v>-1986.58</v>
      </c>
      <c r="S73" s="102">
        <f>SUM($R$2:R73)</f>
        <v>96.589999999999236</v>
      </c>
    </row>
    <row r="74" spans="1:19" x14ac:dyDescent="0.3">
      <c r="A74" s="69">
        <v>45224</v>
      </c>
      <c r="B74" s="24" t="s">
        <v>166</v>
      </c>
      <c r="C74" s="1" t="str">
        <f>VLOOKUP(표4[[#This Row],[종목코드]],표3[],2,FALSE)</f>
        <v>(약정)한투외화발행어음</v>
      </c>
      <c r="D74" s="9" t="str">
        <f>VLOOKUP(표4[[#This Row],[종목코드]],표3[],4,FALSE)</f>
        <v>한국투자증권 직접투자계좌 외화발행어음(약정)</v>
      </c>
      <c r="E74" s="78"/>
      <c r="F74" s="57"/>
      <c r="G74" s="58"/>
      <c r="H74" s="58">
        <f>표4[[#This Row],[현금지출]]-표4[[#This Row],[매입액]]</f>
        <v>0</v>
      </c>
      <c r="I74" s="84"/>
      <c r="J74" s="57">
        <v>1000</v>
      </c>
      <c r="K74" s="57">
        <v>1008.27</v>
      </c>
      <c r="L74" s="57"/>
      <c r="M74" s="57">
        <v>1007.01</v>
      </c>
      <c r="N74" s="57">
        <f>표4[[#This Row],[매도액]]-표4[[#This Row],[매도원금]]</f>
        <v>8.2699999999999818</v>
      </c>
      <c r="O74" s="57">
        <f>표4[[#This Row],[매도액]]+표4[[#This Row],[이자배당액]]-표4[[#This Row],[현금수입]]</f>
        <v>1.2599999999999909</v>
      </c>
      <c r="P74" s="59">
        <f>표4[[#This Row],[매매수익]]+표4[[#This Row],[이자배당액]]-표4[[#This Row],[매도비용]]-표4[[#This Row],[매입비용]]</f>
        <v>7.0099999999999909</v>
      </c>
      <c r="Q74" s="33"/>
      <c r="R74" s="33">
        <f>표4[[#This Row],[입출금]]+표4[[#This Row],[현금수입]]-표4[[#This Row],[현금지출]]</f>
        <v>1007.01</v>
      </c>
      <c r="S74" s="102">
        <f>SUM($R$2:R74)</f>
        <v>1103.5999999999992</v>
      </c>
    </row>
    <row r="75" spans="1:19" x14ac:dyDescent="0.3">
      <c r="A75" s="69">
        <v>45225</v>
      </c>
      <c r="B75" s="24" t="s">
        <v>89</v>
      </c>
      <c r="C75" s="1" t="str">
        <f>VLOOKUP(표4[[#This Row],[종목코드]],표3[],2,FALSE)</f>
        <v>직접운용달러</v>
      </c>
      <c r="D75" s="9" t="str">
        <f>VLOOKUP(표4[[#This Row],[종목코드]],표3[],4,FALSE)</f>
        <v>한국투자증권 직접투자계좌 달러예수금</v>
      </c>
      <c r="E75" s="78"/>
      <c r="F75" s="57"/>
      <c r="G75" s="58"/>
      <c r="H75" s="58">
        <f>표4[[#This Row],[현금지출]]-표4[[#This Row],[매입액]]</f>
        <v>0</v>
      </c>
      <c r="I75" s="84"/>
      <c r="J75" s="57"/>
      <c r="K75" s="57"/>
      <c r="L75" s="57"/>
      <c r="M75" s="57"/>
      <c r="N75" s="57">
        <f>표4[[#This Row],[매도액]]-표4[[#This Row],[매도원금]]</f>
        <v>0</v>
      </c>
      <c r="O75" s="57">
        <f>표4[[#This Row],[매도액]]+표4[[#This Row],[이자배당액]]-표4[[#This Row],[현금수입]]</f>
        <v>0</v>
      </c>
      <c r="P75" s="59">
        <f>표4[[#This Row],[매매수익]]+표4[[#This Row],[이자배당액]]-표4[[#This Row],[매도비용]]-표4[[#This Row],[매입비용]]</f>
        <v>0</v>
      </c>
      <c r="Q75" s="33">
        <v>-1103.5999999999999</v>
      </c>
      <c r="R75" s="33">
        <f>표4[[#This Row],[입출금]]+표4[[#This Row],[현금수입]]-표4[[#This Row],[현금지출]]</f>
        <v>-1103.5999999999999</v>
      </c>
      <c r="S75" s="102">
        <f>SUM($R$2:R75)</f>
        <v>0</v>
      </c>
    </row>
    <row r="76" spans="1:19" x14ac:dyDescent="0.3">
      <c r="A76" s="29">
        <v>45245</v>
      </c>
      <c r="B76" s="24" t="s">
        <v>89</v>
      </c>
      <c r="C76" s="1" t="str">
        <f>VLOOKUP(표4[[#This Row],[종목코드]],표3[],2,FALSE)</f>
        <v>직접운용달러</v>
      </c>
      <c r="D76" s="9" t="str">
        <f>VLOOKUP(표4[[#This Row],[종목코드]],표3[],4,FALSE)</f>
        <v>한국투자증권 직접투자계좌 달러예수금</v>
      </c>
      <c r="E76" s="78"/>
      <c r="F76" s="30"/>
      <c r="G76" s="31"/>
      <c r="H76" s="31">
        <f>표4[[#This Row],[현금지출]]-표4[[#This Row],[매입액]]</f>
        <v>0</v>
      </c>
      <c r="I76" s="80"/>
      <c r="J76" s="30"/>
      <c r="K76" s="30"/>
      <c r="L76" s="30"/>
      <c r="M76" s="30"/>
      <c r="N76" s="30">
        <f>표4[[#This Row],[매도액]]-표4[[#This Row],[매도원금]]</f>
        <v>0</v>
      </c>
      <c r="O76" s="30">
        <f>표4[[#This Row],[매도액]]+표4[[#This Row],[이자배당액]]-표4[[#This Row],[현금수입]]</f>
        <v>0</v>
      </c>
      <c r="P76" s="32">
        <f>표4[[#This Row],[매매수익]]+표4[[#This Row],[이자배당액]]-표4[[#This Row],[매도비용]]-표4[[#This Row],[매입비용]]</f>
        <v>0</v>
      </c>
      <c r="Q76" s="33">
        <v>3835.86</v>
      </c>
      <c r="R76" s="33">
        <f>표4[[#This Row],[입출금]]+표4[[#This Row],[현금수입]]-표4[[#This Row],[현금지출]]</f>
        <v>3835.86</v>
      </c>
      <c r="S76" s="102">
        <f>SUM($R$2:R76)</f>
        <v>3835.8599999999997</v>
      </c>
    </row>
    <row r="77" spans="1:19" x14ac:dyDescent="0.3">
      <c r="A77" s="29">
        <v>45245</v>
      </c>
      <c r="B77" s="24" t="s">
        <v>167</v>
      </c>
      <c r="C77" s="1" t="str">
        <f>VLOOKUP(표4[[#This Row],[종목코드]],표3[],2,FALSE)</f>
        <v>(수시)한투외화발행어음</v>
      </c>
      <c r="D77" s="9" t="str">
        <f>VLOOKUP(표4[[#This Row],[종목코드]],표3[],4,FALSE)</f>
        <v>한국투자증권 직접투자계좌 외화발행어음(수시)</v>
      </c>
      <c r="E77" s="78">
        <v>1</v>
      </c>
      <c r="F77" s="30">
        <v>3835.86</v>
      </c>
      <c r="G77" s="30">
        <v>3835.86</v>
      </c>
      <c r="H77" s="31">
        <f>표4[[#This Row],[현금지출]]-표4[[#This Row],[매입액]]</f>
        <v>0</v>
      </c>
      <c r="I77" s="80"/>
      <c r="J77" s="30"/>
      <c r="K77" s="30"/>
      <c r="L77" s="30"/>
      <c r="M77" s="30"/>
      <c r="N77" s="30">
        <f>표4[[#This Row],[매도액]]-표4[[#This Row],[매도원금]]</f>
        <v>0</v>
      </c>
      <c r="O77" s="30">
        <f>표4[[#This Row],[매도액]]+표4[[#This Row],[이자배당액]]-표4[[#This Row],[현금수입]]</f>
        <v>0</v>
      </c>
      <c r="P77" s="32">
        <f>표4[[#This Row],[매매수익]]+표4[[#This Row],[이자배당액]]-표4[[#This Row],[매도비용]]-표4[[#This Row],[매입비용]]</f>
        <v>0</v>
      </c>
      <c r="Q77" s="33"/>
      <c r="R77" s="33">
        <f>표4[[#This Row],[입출금]]+표4[[#This Row],[현금수입]]-표4[[#This Row],[현금지출]]</f>
        <v>-3835.86</v>
      </c>
      <c r="S77" s="102">
        <f>SUM($R$2:R77)</f>
        <v>0</v>
      </c>
    </row>
    <row r="78" spans="1:19" x14ac:dyDescent="0.3">
      <c r="A78" s="29">
        <v>45250</v>
      </c>
      <c r="B78" s="61" t="s">
        <v>90</v>
      </c>
      <c r="C78" s="1" t="str">
        <f>VLOOKUP(표4[[#This Row],[종목코드]],표3[],2,FALSE)</f>
        <v>한투외화RP</v>
      </c>
      <c r="D78" s="9" t="str">
        <f>VLOOKUP(표4[[#This Row],[종목코드]],표3[],4,FALSE)</f>
        <v>한국투자증권 직접투자계좌 외화RP</v>
      </c>
      <c r="E78" s="78">
        <v>1</v>
      </c>
      <c r="F78" s="30">
        <v>3858.6</v>
      </c>
      <c r="G78" s="30">
        <v>3858.6</v>
      </c>
      <c r="H78" s="31">
        <f>표4[[#This Row],[현금지출]]-표4[[#This Row],[매입액]]</f>
        <v>0</v>
      </c>
      <c r="I78" s="80"/>
      <c r="J78" s="30"/>
      <c r="K78" s="30"/>
      <c r="L78" s="30"/>
      <c r="M78" s="30"/>
      <c r="N78" s="30">
        <f>표4[[#This Row],[매도액]]-표4[[#This Row],[매도원금]]</f>
        <v>0</v>
      </c>
      <c r="O78" s="30">
        <f>표4[[#This Row],[매도액]]+표4[[#This Row],[이자배당액]]-표4[[#This Row],[현금수입]]</f>
        <v>0</v>
      </c>
      <c r="P78" s="32">
        <f>표4[[#This Row],[매매수익]]+표4[[#This Row],[이자배당액]]-표4[[#This Row],[매도비용]]-표4[[#This Row],[매입비용]]</f>
        <v>0</v>
      </c>
      <c r="Q78" s="33">
        <v>3858.6</v>
      </c>
      <c r="R78" s="33">
        <f>표4[[#This Row],[입출금]]+표4[[#This Row],[현금수입]]-표4[[#This Row],[현금지출]]</f>
        <v>0</v>
      </c>
      <c r="S78" s="102">
        <f>SUM($R$2:R78)</f>
        <v>-4.5474735088646412E-13</v>
      </c>
    </row>
    <row r="79" spans="1:19" x14ac:dyDescent="0.3">
      <c r="A79" s="29">
        <v>45251</v>
      </c>
      <c r="B79" s="61" t="s">
        <v>90</v>
      </c>
      <c r="C79" s="1" t="str">
        <f>VLOOKUP(표4[[#This Row],[종목코드]],표3[],2,FALSE)</f>
        <v>한투외화RP</v>
      </c>
      <c r="D79" s="9" t="str">
        <f>VLOOKUP(표4[[#This Row],[종목코드]],표3[],4,FALSE)</f>
        <v>한국투자증권 직접투자계좌 외화RP</v>
      </c>
      <c r="E79" s="78"/>
      <c r="F79" s="30">
        <v>1858.89</v>
      </c>
      <c r="G79" s="31">
        <v>1858.89</v>
      </c>
      <c r="H79" s="31">
        <f>표4[[#This Row],[현금지출]]-표4[[#This Row],[매입액]]</f>
        <v>0</v>
      </c>
      <c r="I79" s="80"/>
      <c r="J79" s="30">
        <v>3858.6</v>
      </c>
      <c r="K79" s="30">
        <v>3858.94</v>
      </c>
      <c r="L79" s="30"/>
      <c r="M79" s="30">
        <v>3858.89</v>
      </c>
      <c r="N79" s="30">
        <f>표4[[#This Row],[매도액]]-표4[[#This Row],[매도원금]]</f>
        <v>0.34000000000014552</v>
      </c>
      <c r="O79" s="30">
        <f>표4[[#This Row],[매도액]]+표4[[#This Row],[이자배당액]]-표4[[#This Row],[현금수입]]</f>
        <v>5.0000000000181899E-2</v>
      </c>
      <c r="P79" s="32">
        <f>표4[[#This Row],[매매수익]]+표4[[#This Row],[이자배당액]]-표4[[#This Row],[매도비용]]-표4[[#This Row],[매입비용]]</f>
        <v>0.28999999999996362</v>
      </c>
      <c r="Q79" s="33"/>
      <c r="R79" s="33">
        <f>표4[[#This Row],[입출금]]+표4[[#This Row],[현금수입]]-표4[[#This Row],[현금지출]]</f>
        <v>1999.9999999999998</v>
      </c>
      <c r="S79" s="102">
        <f>SUM($R$2:R79)</f>
        <v>1999.9999999999993</v>
      </c>
    </row>
    <row r="80" spans="1:19" x14ac:dyDescent="0.3">
      <c r="A80" s="29">
        <v>45251</v>
      </c>
      <c r="B80" s="24" t="s">
        <v>167</v>
      </c>
      <c r="C80" s="1" t="str">
        <f>VLOOKUP(표4[[#This Row],[종목코드]],표3[],2,FALSE)</f>
        <v>(수시)한투외화발행어음</v>
      </c>
      <c r="D80" s="9" t="str">
        <f>VLOOKUP(표4[[#This Row],[종목코드]],표3[],4,FALSE)</f>
        <v>한국투자증권 직접투자계좌 외화발행어음(수시)</v>
      </c>
      <c r="E80" s="78"/>
      <c r="F80" s="30">
        <v>2000</v>
      </c>
      <c r="G80" s="31">
        <v>2000</v>
      </c>
      <c r="H80" s="31">
        <f>표4[[#This Row],[현금지출]]-표4[[#This Row],[매입액]]</f>
        <v>0</v>
      </c>
      <c r="I80" s="80"/>
      <c r="J80" s="30"/>
      <c r="K80" s="30"/>
      <c r="L80" s="30"/>
      <c r="M80" s="30"/>
      <c r="N80" s="30">
        <f>표4[[#This Row],[매도액]]-표4[[#This Row],[매도원금]]</f>
        <v>0</v>
      </c>
      <c r="O80" s="30">
        <f>표4[[#This Row],[매도액]]+표4[[#This Row],[이자배당액]]-표4[[#This Row],[현금수입]]</f>
        <v>0</v>
      </c>
      <c r="P80" s="32">
        <f>표4[[#This Row],[매매수익]]+표4[[#This Row],[이자배당액]]-표4[[#This Row],[매도비용]]-표4[[#This Row],[매입비용]]</f>
        <v>0</v>
      </c>
      <c r="Q80" s="33"/>
      <c r="R80" s="33">
        <f>표4[[#This Row],[입출금]]+표4[[#This Row],[현금수입]]-표4[[#This Row],[현금지출]]</f>
        <v>-2000</v>
      </c>
      <c r="S80" s="102">
        <f>SUM($R$2:R80)</f>
        <v>0</v>
      </c>
    </row>
    <row r="81" spans="1:19" x14ac:dyDescent="0.3">
      <c r="A81" s="29">
        <v>45252</v>
      </c>
      <c r="B81" s="61" t="s">
        <v>90</v>
      </c>
      <c r="C81" s="1" t="str">
        <f>VLOOKUP(표4[[#This Row],[종목코드]],표3[],2,FALSE)</f>
        <v>한투외화RP</v>
      </c>
      <c r="D81" s="9" t="str">
        <f>VLOOKUP(표4[[#This Row],[종목코드]],표3[],4,FALSE)</f>
        <v>한국투자증권 직접투자계좌 외화RP</v>
      </c>
      <c r="E81" s="78"/>
      <c r="F81" s="30">
        <v>1859.03</v>
      </c>
      <c r="G81" s="31">
        <v>1859.03</v>
      </c>
      <c r="H81" s="31">
        <f>표4[[#This Row],[현금지출]]-표4[[#This Row],[매입액]]</f>
        <v>0</v>
      </c>
      <c r="I81" s="80"/>
      <c r="J81" s="30">
        <v>1858.89</v>
      </c>
      <c r="K81" s="30">
        <v>1859.05</v>
      </c>
      <c r="L81" s="30"/>
      <c r="M81" s="30">
        <v>1859.03</v>
      </c>
      <c r="N81" s="30">
        <f>표4[[#This Row],[매도액]]-표4[[#This Row],[매도원금]]</f>
        <v>0.15999999999985448</v>
      </c>
      <c r="O81" s="30">
        <f>표4[[#This Row],[매도액]]+표4[[#This Row],[이자배당액]]-표4[[#This Row],[현금수입]]</f>
        <v>1.999999999998181E-2</v>
      </c>
      <c r="P81" s="32">
        <f>표4[[#This Row],[매매수익]]+표4[[#This Row],[이자배당액]]-표4[[#This Row],[매도비용]]-표4[[#This Row],[매입비용]]</f>
        <v>0.13999999999987267</v>
      </c>
      <c r="Q81" s="33"/>
      <c r="R81" s="33">
        <f>표4[[#This Row],[입출금]]+표4[[#This Row],[현금수입]]-표4[[#This Row],[현금지출]]</f>
        <v>0</v>
      </c>
      <c r="S81" s="102">
        <f>SUM($R$2:R81)</f>
        <v>-6.8212102632969618E-13</v>
      </c>
    </row>
    <row r="82" spans="1:19" x14ac:dyDescent="0.3">
      <c r="A82" s="29">
        <v>45253</v>
      </c>
      <c r="B82" s="61" t="s">
        <v>90</v>
      </c>
      <c r="C82" s="1" t="str">
        <f>VLOOKUP(표4[[#This Row],[종목코드]],표3[],2,FALSE)</f>
        <v>한투외화RP</v>
      </c>
      <c r="D82" s="9" t="str">
        <f>VLOOKUP(표4[[#This Row],[종목코드]],표3[],4,FALSE)</f>
        <v>한국투자증권 직접투자계좌 외화RP</v>
      </c>
      <c r="E82" s="78"/>
      <c r="F82" s="30">
        <v>1859.17</v>
      </c>
      <c r="G82" s="31">
        <v>1859.17</v>
      </c>
      <c r="H82" s="31">
        <f>표4[[#This Row],[현금지출]]-표4[[#This Row],[매입액]]</f>
        <v>0</v>
      </c>
      <c r="I82" s="80"/>
      <c r="J82" s="30">
        <v>1859.03</v>
      </c>
      <c r="K82" s="30">
        <v>1859.19</v>
      </c>
      <c r="L82" s="30"/>
      <c r="M82" s="30">
        <v>1859.17</v>
      </c>
      <c r="N82" s="30">
        <f>표4[[#This Row],[매도액]]-표4[[#This Row],[매도원금]]</f>
        <v>0.16000000000008185</v>
      </c>
      <c r="O82" s="30">
        <f>표4[[#This Row],[매도액]]+표4[[#This Row],[이자배당액]]-표4[[#This Row],[현금수입]]</f>
        <v>1.999999999998181E-2</v>
      </c>
      <c r="P82" s="32">
        <f>표4[[#This Row],[매매수익]]+표4[[#This Row],[이자배당액]]-표4[[#This Row],[매도비용]]-표4[[#This Row],[매입비용]]</f>
        <v>0.14000000000010004</v>
      </c>
      <c r="Q82" s="33"/>
      <c r="R82" s="33">
        <f>표4[[#This Row],[입출금]]+표4[[#This Row],[현금수입]]-표4[[#This Row],[현금지출]]</f>
        <v>0</v>
      </c>
      <c r="S82" s="102">
        <f>SUM($R$2:R82)</f>
        <v>-6.8212102632969618E-13</v>
      </c>
    </row>
    <row r="83" spans="1:19" x14ac:dyDescent="0.3">
      <c r="A83" s="23">
        <v>45254</v>
      </c>
      <c r="B83" s="24" t="s">
        <v>166</v>
      </c>
      <c r="C83" s="1" t="str">
        <f>VLOOKUP(표4[[#This Row],[종목코드]],표3[],2,FALSE)</f>
        <v>(약정)한투외화발행어음</v>
      </c>
      <c r="D83" s="9" t="str">
        <f>VLOOKUP(표4[[#This Row],[종목코드]],표3[],4,FALSE)</f>
        <v>한국투자증권 직접투자계좌 외화발행어음(약정)</v>
      </c>
      <c r="E83" s="78"/>
      <c r="F83" s="25"/>
      <c r="G83" s="26"/>
      <c r="H83" s="26">
        <f>표4[[#This Row],[현금지출]]-표4[[#This Row],[매입액]]</f>
        <v>0</v>
      </c>
      <c r="I83" s="80"/>
      <c r="J83" s="25">
        <v>1000</v>
      </c>
      <c r="K83" s="25">
        <v>1012.46</v>
      </c>
      <c r="L83" s="25"/>
      <c r="M83" s="25">
        <v>1010.56</v>
      </c>
      <c r="N83" s="25">
        <f>표4[[#This Row],[매도액]]-표4[[#This Row],[매도원금]]</f>
        <v>12.460000000000036</v>
      </c>
      <c r="O83" s="25">
        <f>표4[[#This Row],[매도액]]+표4[[#This Row],[이자배당액]]-표4[[#This Row],[현금수입]]</f>
        <v>1.9000000000000909</v>
      </c>
      <c r="P83" s="27">
        <f>표4[[#This Row],[매매수익]]+표4[[#This Row],[이자배당액]]-표4[[#This Row],[매도비용]]-표4[[#This Row],[매입비용]]</f>
        <v>10.559999999999945</v>
      </c>
      <c r="Q83" s="33"/>
      <c r="R83" s="33">
        <f>표4[[#This Row],[입출금]]+표4[[#This Row],[현금수입]]-표4[[#This Row],[현금지출]]</f>
        <v>1010.56</v>
      </c>
      <c r="S83" s="102">
        <f>SUM($R$2:R83)</f>
        <v>1010.5599999999993</v>
      </c>
    </row>
    <row r="84" spans="1:19" x14ac:dyDescent="0.3">
      <c r="A84" s="29">
        <v>45254</v>
      </c>
      <c r="B84" s="61" t="s">
        <v>90</v>
      </c>
      <c r="C84" s="1" t="str">
        <f>VLOOKUP(표4[[#This Row],[종목코드]],표3[],2,FALSE)</f>
        <v>한투외화RP</v>
      </c>
      <c r="D84" s="9" t="str">
        <f>VLOOKUP(표4[[#This Row],[종목코드]],표3[],4,FALSE)</f>
        <v>한국투자증권 직접투자계좌 외화RP</v>
      </c>
      <c r="E84" s="78"/>
      <c r="F84" s="30">
        <v>2869.87</v>
      </c>
      <c r="G84" s="31">
        <v>2869.87</v>
      </c>
      <c r="H84" s="31">
        <f>표4[[#This Row],[현금지출]]-표4[[#This Row],[매입액]]</f>
        <v>0</v>
      </c>
      <c r="I84" s="80"/>
      <c r="J84" s="30">
        <v>1859.17</v>
      </c>
      <c r="K84" s="30">
        <v>1859.33</v>
      </c>
      <c r="L84" s="30"/>
      <c r="M84" s="30">
        <v>1859.31</v>
      </c>
      <c r="N84" s="30">
        <f>표4[[#This Row],[매도액]]-표4[[#This Row],[매도원금]]</f>
        <v>0.15999999999985448</v>
      </c>
      <c r="O84" s="30">
        <f>표4[[#This Row],[매도액]]+표4[[#This Row],[이자배당액]]-표4[[#This Row],[현금수입]]</f>
        <v>1.999999999998181E-2</v>
      </c>
      <c r="P84" s="32">
        <f>표4[[#This Row],[매매수익]]+표4[[#This Row],[이자배당액]]-표4[[#This Row],[매도비용]]-표4[[#This Row],[매입비용]]</f>
        <v>0.13999999999987267</v>
      </c>
      <c r="Q84" s="33"/>
      <c r="R84" s="33">
        <f>표4[[#This Row],[입출금]]+표4[[#This Row],[현금수입]]-표4[[#This Row],[현금지출]]</f>
        <v>-1010.56</v>
      </c>
      <c r="S84" s="102">
        <f>SUM($R$2:R84)</f>
        <v>0</v>
      </c>
    </row>
    <row r="85" spans="1:19" x14ac:dyDescent="0.3">
      <c r="A85" s="29">
        <v>45257</v>
      </c>
      <c r="B85" s="61" t="s">
        <v>90</v>
      </c>
      <c r="C85" s="1" t="str">
        <f>VLOOKUP(표4[[#This Row],[종목코드]],표3[],2,FALSE)</f>
        <v>한투외화RP</v>
      </c>
      <c r="D85" s="9" t="str">
        <f>VLOOKUP(표4[[#This Row],[종목코드]],표3[],4,FALSE)</f>
        <v>한국투자증권 직접투자계좌 외화RP</v>
      </c>
      <c r="E85" s="78"/>
      <c r="F85" s="30">
        <v>2870.52</v>
      </c>
      <c r="G85" s="30">
        <v>2870.52</v>
      </c>
      <c r="H85" s="31">
        <f>표4[[#This Row],[현금지출]]-표4[[#This Row],[매입액]]</f>
        <v>0</v>
      </c>
      <c r="I85" s="80"/>
      <c r="J85" s="30">
        <v>2869.87</v>
      </c>
      <c r="K85" s="30">
        <v>2870.63</v>
      </c>
      <c r="L85" s="30"/>
      <c r="M85" s="30">
        <v>2870.52</v>
      </c>
      <c r="N85" s="30">
        <f>표4[[#This Row],[매도액]]-표4[[#This Row],[매도원금]]</f>
        <v>0.76000000000021828</v>
      </c>
      <c r="O85" s="30">
        <f>표4[[#This Row],[매도액]]+표4[[#This Row],[이자배당액]]-표4[[#This Row],[현금수입]]</f>
        <v>0.11000000000012733</v>
      </c>
      <c r="P85" s="32">
        <f>표4[[#This Row],[매매수익]]+표4[[#This Row],[이자배당액]]-표4[[#This Row],[매도비용]]-표4[[#This Row],[매입비용]]</f>
        <v>0.65000000000009095</v>
      </c>
      <c r="Q85" s="33"/>
      <c r="R85" s="33">
        <f>표4[[#This Row],[입출금]]+표4[[#This Row],[현금수입]]-표4[[#This Row],[현금지출]]</f>
        <v>0</v>
      </c>
      <c r="S85" s="102">
        <f>SUM($R$2:R85)</f>
        <v>-6.8212102632969618E-13</v>
      </c>
    </row>
    <row r="86" spans="1:19" x14ac:dyDescent="0.3">
      <c r="A86" s="29">
        <v>45258</v>
      </c>
      <c r="B86" s="61" t="s">
        <v>90</v>
      </c>
      <c r="C86" s="1" t="str">
        <f>VLOOKUP(표4[[#This Row],[종목코드]],표3[],2,FALSE)</f>
        <v>한투외화RP</v>
      </c>
      <c r="D86" s="9" t="str">
        <f>VLOOKUP(표4[[#This Row],[종목코드]],표3[],4,FALSE)</f>
        <v>한국투자증권 직접투자계좌 외화RP</v>
      </c>
      <c r="E86" s="78"/>
      <c r="F86" s="30">
        <v>2870.73</v>
      </c>
      <c r="G86" s="30">
        <v>2870.73</v>
      </c>
      <c r="H86" s="31">
        <f>표4[[#This Row],[현금지출]]-표4[[#This Row],[매입액]]</f>
        <v>0</v>
      </c>
      <c r="I86" s="80"/>
      <c r="J86" s="30">
        <v>2870.52</v>
      </c>
      <c r="K86" s="30">
        <v>2870.77</v>
      </c>
      <c r="L86" s="30"/>
      <c r="M86" s="30">
        <v>2870.73</v>
      </c>
      <c r="N86" s="30">
        <f>표4[[#This Row],[매도액]]-표4[[#This Row],[매도원금]]</f>
        <v>0.25</v>
      </c>
      <c r="O86" s="30">
        <f>표4[[#This Row],[매도액]]+표4[[#This Row],[이자배당액]]-표4[[#This Row],[현금수입]]</f>
        <v>3.999999999996362E-2</v>
      </c>
      <c r="P86" s="32">
        <f>표4[[#This Row],[매매수익]]+표4[[#This Row],[이자배당액]]-표4[[#This Row],[매도비용]]-표4[[#This Row],[매입비용]]</f>
        <v>0.21000000000003638</v>
      </c>
      <c r="Q86" s="33"/>
      <c r="R86" s="33">
        <f>표4[[#This Row],[입출금]]+표4[[#This Row],[현금수입]]-표4[[#This Row],[현금지출]]</f>
        <v>0</v>
      </c>
      <c r="S86" s="102">
        <f>SUM($R$2:R86)</f>
        <v>-6.8212102632969618E-13</v>
      </c>
    </row>
    <row r="87" spans="1:19" x14ac:dyDescent="0.3">
      <c r="A87" s="29">
        <v>45259</v>
      </c>
      <c r="B87" s="61" t="s">
        <v>90</v>
      </c>
      <c r="C87" s="1" t="str">
        <f>VLOOKUP(표4[[#This Row],[종목코드]],표3[],2,FALSE)</f>
        <v>한투외화RP</v>
      </c>
      <c r="D87" s="9" t="str">
        <f>VLOOKUP(표4[[#This Row],[종목코드]],표3[],4,FALSE)</f>
        <v>한국투자증권 직접투자계좌 외화RP</v>
      </c>
      <c r="E87" s="78"/>
      <c r="F87" s="30">
        <v>2870.94</v>
      </c>
      <c r="G87" s="30">
        <v>2870.94</v>
      </c>
      <c r="H87" s="31">
        <f>표4[[#This Row],[현금지출]]-표4[[#This Row],[매입액]]</f>
        <v>0</v>
      </c>
      <c r="I87" s="80"/>
      <c r="J87" s="30">
        <v>2870.73</v>
      </c>
      <c r="K87" s="30">
        <v>2870.98</v>
      </c>
      <c r="L87" s="30"/>
      <c r="M87" s="30">
        <v>2870.94</v>
      </c>
      <c r="N87" s="30">
        <f>표4[[#This Row],[매도액]]-표4[[#This Row],[매도원금]]</f>
        <v>0.25</v>
      </c>
      <c r="O87" s="30">
        <f>표4[[#This Row],[매도액]]+표4[[#This Row],[이자배당액]]-표4[[#This Row],[현금수입]]</f>
        <v>3.999999999996362E-2</v>
      </c>
      <c r="P87" s="32">
        <f>표4[[#This Row],[매매수익]]+표4[[#This Row],[이자배당액]]-표4[[#This Row],[매도비용]]-표4[[#This Row],[매입비용]]</f>
        <v>0.21000000000003638</v>
      </c>
      <c r="Q87" s="33"/>
      <c r="R87" s="33">
        <f>표4[[#This Row],[입출금]]+표4[[#This Row],[현금수입]]-표4[[#This Row],[현금지출]]</f>
        <v>0</v>
      </c>
      <c r="S87" s="102">
        <f>SUM($R$2:R87)</f>
        <v>-6.8212102632969618E-13</v>
      </c>
    </row>
    <row r="88" spans="1:19" x14ac:dyDescent="0.3">
      <c r="A88" s="29">
        <v>45260</v>
      </c>
      <c r="B88" s="61" t="s">
        <v>90</v>
      </c>
      <c r="C88" s="1" t="str">
        <f>VLOOKUP(표4[[#This Row],[종목코드]],표3[],2,FALSE)</f>
        <v>한투외화RP</v>
      </c>
      <c r="D88" s="9" t="str">
        <f>VLOOKUP(표4[[#This Row],[종목코드]],표3[],4,FALSE)</f>
        <v>한국투자증권 직접투자계좌 외화RP</v>
      </c>
      <c r="E88" s="78"/>
      <c r="F88" s="30"/>
      <c r="G88" s="30"/>
      <c r="H88" s="31">
        <f>표4[[#This Row],[현금지출]]-표4[[#This Row],[매입액]]</f>
        <v>0</v>
      </c>
      <c r="I88" s="80"/>
      <c r="J88" s="30">
        <v>2870.94</v>
      </c>
      <c r="K88" s="30">
        <v>2871.19</v>
      </c>
      <c r="L88" s="30"/>
      <c r="M88" s="30">
        <v>2871.15</v>
      </c>
      <c r="N88" s="30">
        <f>표4[[#This Row],[매도액]]-표4[[#This Row],[매도원금]]</f>
        <v>0.25</v>
      </c>
      <c r="O88" s="30">
        <f>표4[[#This Row],[매도액]]+표4[[#This Row],[이자배당액]]-표4[[#This Row],[현금수입]]</f>
        <v>3.999999999996362E-2</v>
      </c>
      <c r="P88" s="32">
        <f>표4[[#This Row],[매매수익]]+표4[[#This Row],[이자배당액]]-표4[[#This Row],[매도비용]]-표4[[#This Row],[매입비용]]</f>
        <v>0.21000000000003638</v>
      </c>
      <c r="Q88" s="33"/>
      <c r="R88" s="33">
        <f>표4[[#This Row],[입출금]]+표4[[#This Row],[현금수입]]-표4[[#This Row],[현금지출]]</f>
        <v>2871.15</v>
      </c>
      <c r="S88" s="102">
        <f>SUM($R$2:R88)</f>
        <v>2871.1499999999996</v>
      </c>
    </row>
    <row r="89" spans="1:19" x14ac:dyDescent="0.3">
      <c r="A89" s="113">
        <v>45265</v>
      </c>
      <c r="B89" s="111" t="s">
        <v>213</v>
      </c>
      <c r="C89" s="1" t="str">
        <f>VLOOKUP(표4[[#This Row],[종목코드]],표3[],2,FALSE)</f>
        <v>금2</v>
      </c>
      <c r="D89" s="9" t="str">
        <f>VLOOKUP(표4[[#This Row],[종목코드]],표3[],4,FALSE)</f>
        <v>SPDR GOLD TRUST SHARES NPV</v>
      </c>
      <c r="E89" s="78">
        <v>15</v>
      </c>
      <c r="F89" s="114">
        <v>2837.55</v>
      </c>
      <c r="G89" s="115">
        <v>2844.64</v>
      </c>
      <c r="H89" s="115">
        <f>표4[[#This Row],[현금지출]]-표4[[#This Row],[매입액]]</f>
        <v>7.0899999999996908</v>
      </c>
      <c r="I89" s="112"/>
      <c r="J89" s="114"/>
      <c r="K89" s="114"/>
      <c r="L89" s="114"/>
      <c r="M89" s="114"/>
      <c r="N89" s="114">
        <f>표4[[#This Row],[매도액]]-표4[[#This Row],[매도원금]]</f>
        <v>0</v>
      </c>
      <c r="O89" s="114">
        <f>표4[[#This Row],[매도액]]+표4[[#This Row],[이자배당액]]-표4[[#This Row],[현금수입]]</f>
        <v>0</v>
      </c>
      <c r="P89" s="116">
        <f>표4[[#This Row],[매매수익]]+표4[[#This Row],[이자배당액]]-표4[[#This Row],[매도비용]]-표4[[#This Row],[매입비용]]</f>
        <v>-7.0899999999996908</v>
      </c>
      <c r="Q89" s="33"/>
      <c r="R89" s="33">
        <f>표4[[#This Row],[입출금]]+표4[[#This Row],[현금수입]]-표4[[#This Row],[현금지출]]</f>
        <v>-2844.64</v>
      </c>
      <c r="S89" s="102">
        <f>SUM($R$2:R89)</f>
        <v>26.509999999999764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M2" activePane="bottomRight" state="frozen"/>
      <selection activeCell="A46" sqref="A46"/>
      <selection pane="topRight" activeCell="O1" sqref="O1"/>
      <selection pane="bottomLeft" activeCell="A2" sqref="A2"/>
      <selection pane="bottomRight" activeCell="N25" sqref="N2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4" t="s">
        <v>0</v>
      </c>
      <c r="B1" s="14" t="s">
        <v>78</v>
      </c>
      <c r="C1" s="14" t="s">
        <v>1</v>
      </c>
      <c r="D1" s="15" t="s">
        <v>27</v>
      </c>
      <c r="E1" s="77" t="s">
        <v>133</v>
      </c>
      <c r="F1" s="16" t="s">
        <v>57</v>
      </c>
      <c r="G1" s="16" t="s">
        <v>56</v>
      </c>
      <c r="H1" s="16" t="s">
        <v>28</v>
      </c>
      <c r="I1" s="76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6" t="s">
        <v>61</v>
      </c>
      <c r="O1" s="16" t="s">
        <v>60</v>
      </c>
      <c r="P1" s="16" t="s">
        <v>29</v>
      </c>
      <c r="Q1" s="17" t="s">
        <v>66</v>
      </c>
      <c r="R1" s="17" t="s">
        <v>62</v>
      </c>
      <c r="S1" s="18" t="s">
        <v>63</v>
      </c>
    </row>
    <row r="2" spans="1:19" x14ac:dyDescent="0.3">
      <c r="A2" s="23">
        <v>45259</v>
      </c>
      <c r="B2" s="5" t="s">
        <v>194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F2" s="25"/>
      <c r="G2" s="26"/>
      <c r="H2" s="26">
        <f>표4_10[[#This Row],[현금지출]]-표4_10[[#This Row],[매입액]]</f>
        <v>0</v>
      </c>
      <c r="I2" s="79"/>
      <c r="J2" s="25"/>
      <c r="K2" s="25"/>
      <c r="L2" s="25"/>
      <c r="M2" s="25"/>
      <c r="N2" s="25">
        <f>표4_10[[#This Row],[매도액]]-표4_10[[#This Row],[매도원금]]</f>
        <v>0</v>
      </c>
      <c r="O2" s="25">
        <f>표4_10[[#This Row],[매도액]]+표4_10[[#This Row],[이자배당액]]-표4_10[[#This Row],[현금수입]]</f>
        <v>0</v>
      </c>
      <c r="P2" s="27">
        <f>표4_10[[#This Row],[매매수익]]+표4_10[[#This Row],[이자배당액]]-표4_10[[#This Row],[매도비용]]-표4_10[[#This Row],[매입비용]]</f>
        <v>0</v>
      </c>
      <c r="Q2" s="28">
        <v>363570</v>
      </c>
      <c r="R2" s="28">
        <f>표4_10[[#This Row],[입출금]]+표4_10[[#This Row],[현금수입]]-표4_10[[#This Row],[현금지출]]</f>
        <v>363570</v>
      </c>
      <c r="S2" s="28">
        <f>SUM($R$2:R2)</f>
        <v>363570</v>
      </c>
    </row>
    <row r="3" spans="1:19" x14ac:dyDescent="0.3">
      <c r="A3" s="29">
        <v>45261</v>
      </c>
      <c r="B3" s="60" t="s">
        <v>238</v>
      </c>
      <c r="C3" s="1" t="str">
        <f>VLOOKUP(표4_10[[#This Row],[종목코드]],표3[],2,FALSE)</f>
        <v>일본리츠</v>
      </c>
      <c r="D3" s="105" t="str">
        <f>VLOOKUP(표4_10[[#This Row],[종목코드]],표3[],4,FALSE)</f>
        <v>ISHARES JAPAN REIT ETF</v>
      </c>
      <c r="E3" s="78">
        <v>1</v>
      </c>
      <c r="F3" s="30">
        <v>359653</v>
      </c>
      <c r="G3" s="31">
        <v>360659</v>
      </c>
      <c r="H3" s="31">
        <f>표4_10[[#This Row],[현금지출]]-표4_10[[#This Row],[매입액]]</f>
        <v>1006</v>
      </c>
      <c r="I3" s="80"/>
      <c r="J3" s="30"/>
      <c r="K3" s="30"/>
      <c r="L3" s="30"/>
      <c r="M3" s="30"/>
      <c r="N3" s="30">
        <f>표4_10[[#This Row],[매도액]]-표4_10[[#This Row],[매도원금]]</f>
        <v>0</v>
      </c>
      <c r="O3" s="30">
        <f>표4_10[[#This Row],[매도액]]+표4_10[[#This Row],[이자배당액]]-표4_10[[#This Row],[현금수입]]</f>
        <v>0</v>
      </c>
      <c r="P3" s="32">
        <f>표4_10[[#This Row],[매매수익]]+표4_10[[#This Row],[이자배당액]]-표4_10[[#This Row],[매도비용]]-표4_10[[#This Row],[매입비용]]</f>
        <v>-1006</v>
      </c>
      <c r="Q3" s="33"/>
      <c r="R3" s="33">
        <f>표4_10[[#This Row],[입출금]]+표4_10[[#This Row],[현금수입]]-표4_10[[#This Row],[현금지출]]</f>
        <v>-360659</v>
      </c>
      <c r="S3" s="28">
        <f>SUM($R$2:R3)</f>
        <v>2911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C1" zoomScale="85" zoomScaleNormal="85" workbookViewId="0">
      <selection activeCell="C9" sqref="C9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72" customWidth="1"/>
    <col min="6" max="7" width="10.5" style="7" customWidth="1"/>
    <col min="8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64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87" t="s">
        <v>78</v>
      </c>
      <c r="C1" s="1" t="s">
        <v>1</v>
      </c>
      <c r="D1" s="9" t="s">
        <v>27</v>
      </c>
      <c r="E1" s="90" t="s">
        <v>133</v>
      </c>
      <c r="F1" s="16" t="s">
        <v>57</v>
      </c>
      <c r="G1" s="16" t="s">
        <v>75</v>
      </c>
      <c r="H1" s="16" t="s">
        <v>28</v>
      </c>
      <c r="I1" s="65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70" t="s">
        <v>74</v>
      </c>
      <c r="R1" s="20" t="s">
        <v>62</v>
      </c>
      <c r="S1" s="21" t="s">
        <v>63</v>
      </c>
      <c r="T1" s="16" t="s">
        <v>199</v>
      </c>
    </row>
    <row r="2" spans="1:20" x14ac:dyDescent="0.3">
      <c r="A2" s="3">
        <v>45078</v>
      </c>
      <c r="B2" s="87" t="s">
        <v>83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75">
        <v>1</v>
      </c>
      <c r="F2" s="7">
        <v>5000000</v>
      </c>
      <c r="G2" s="7">
        <v>5000000</v>
      </c>
      <c r="H2" s="8">
        <f>CMA_한투1837[[#This Row],[현금지출]]-CMA_한투1837[[#This Row],[매입액]]</f>
        <v>0</v>
      </c>
      <c r="I2" s="8"/>
      <c r="K2" s="7">
        <v>0</v>
      </c>
      <c r="M2" s="7"/>
      <c r="N2" s="8">
        <f>CMA_한투1837[[#This Row],[매도액]]-CMA_한투1837[[#This Row],[매도원금]]</f>
        <v>0</v>
      </c>
      <c r="O2" s="8">
        <f>CMA_한투1837[[#This Row],[매도액]]+CMA_한투1837[[#This Row],[이자배당액]]-CMA_한투1837[[#This Row],[현금수입]]</f>
        <v>0</v>
      </c>
      <c r="P2" s="8">
        <f>CMA_한투1837[[#This Row],[매매수익]]+CMA_한투1837[[#This Row],[이자배당액]]-CMA_한투1837[[#This Row],[매도비용]]-CMA_한투1837[[#This Row],[매입비용]]</f>
        <v>0</v>
      </c>
      <c r="Q2" s="71">
        <v>5000000</v>
      </c>
      <c r="R2" s="8">
        <f>CMA_한투1837[[#This Row],[입출금]]+CMA_한투1837[[#This Row],[현금수입]]-CMA_한투1837[[#This Row],[현금지출]]</f>
        <v>0</v>
      </c>
      <c r="S2" s="8">
        <f>SUM($R$2:R2)</f>
        <v>0</v>
      </c>
      <c r="T2" s="106">
        <v>-3777.6</v>
      </c>
    </row>
    <row r="3" spans="1:20" x14ac:dyDescent="0.3">
      <c r="A3" s="3">
        <v>45097</v>
      </c>
      <c r="B3" s="87" t="s">
        <v>83</v>
      </c>
      <c r="C3" s="1" t="str">
        <f>VLOOKUP(CMA_한투1837[[#This Row],[종목코드]],표3[],2,FALSE)</f>
        <v>달러자산</v>
      </c>
      <c r="D3" s="9" t="str">
        <f>VLOOKUP(CMA_한투1837[[#This Row],[종목코드]],표3[],4,FALSE)</f>
        <v>달러자산 원화평가</v>
      </c>
      <c r="E3" s="75"/>
      <c r="F3" s="71">
        <v>999973</v>
      </c>
      <c r="G3" s="71">
        <v>999973</v>
      </c>
      <c r="H3" s="8">
        <f>CMA_한투1837[[#This Row],[현금지출]]-CMA_한투1837[[#This Row],[매입액]]</f>
        <v>0</v>
      </c>
      <c r="I3" s="8"/>
      <c r="K3" s="7">
        <v>0</v>
      </c>
      <c r="M3" s="7"/>
      <c r="N3" s="8">
        <f>CMA_한투1837[[#This Row],[매도액]]-CMA_한투1837[[#This Row],[매도원금]]</f>
        <v>0</v>
      </c>
      <c r="O3" s="8">
        <f>CMA_한투1837[[#This Row],[매도액]]+CMA_한투1837[[#This Row],[이자배당액]]-CMA_한투1837[[#This Row],[현금수입]]</f>
        <v>0</v>
      </c>
      <c r="P3" s="8">
        <f>CMA_한투1837[[#This Row],[매매수익]]+CMA_한투1837[[#This Row],[이자배당액]]-CMA_한투1837[[#This Row],[매도비용]]-CMA_한투1837[[#This Row],[매입비용]]</f>
        <v>0</v>
      </c>
      <c r="Q3" s="71">
        <v>999973</v>
      </c>
      <c r="R3" s="8">
        <f>CMA_한투1837[[#This Row],[입출금]]+CMA_한투1837[[#This Row],[현금수입]]-CMA_한투1837[[#This Row],[현금지출]]</f>
        <v>0</v>
      </c>
      <c r="S3" s="8">
        <f>SUM($R$2:R3)</f>
        <v>0</v>
      </c>
      <c r="T3" s="107">
        <v>-778.82</v>
      </c>
    </row>
    <row r="4" spans="1:20" x14ac:dyDescent="0.3">
      <c r="A4" s="3">
        <v>45120</v>
      </c>
      <c r="B4" s="87" t="s">
        <v>83</v>
      </c>
      <c r="C4" s="1" t="str">
        <f>VLOOKUP(CMA_한투1837[[#This Row],[종목코드]],표3[],2,FALSE)</f>
        <v>달러자산</v>
      </c>
      <c r="D4" s="9" t="str">
        <f>VLOOKUP(CMA_한투1837[[#This Row],[종목코드]],표3[],4,FALSE)</f>
        <v>달러자산 원화평가</v>
      </c>
      <c r="E4" s="75"/>
      <c r="F4" s="71">
        <v>5000026</v>
      </c>
      <c r="G4" s="71">
        <v>5000026</v>
      </c>
      <c r="H4" s="8">
        <f>CMA_한투1837[[#This Row],[현금지출]]-CMA_한투1837[[#This Row],[매입액]]</f>
        <v>0</v>
      </c>
      <c r="I4" s="8"/>
      <c r="K4" s="7">
        <v>0</v>
      </c>
      <c r="M4" s="7"/>
      <c r="N4" s="8">
        <f>CMA_한투1837[[#This Row],[매도액]]-CMA_한투1837[[#This Row],[매도원금]]</f>
        <v>0</v>
      </c>
      <c r="O4" s="8">
        <f>CMA_한투1837[[#This Row],[매도액]]+CMA_한투1837[[#This Row],[이자배당액]]-CMA_한투1837[[#This Row],[현금수입]]</f>
        <v>0</v>
      </c>
      <c r="P4" s="8">
        <f>CMA_한투1837[[#This Row],[매매수익]]+CMA_한투1837[[#This Row],[이자배당액]]-CMA_한투1837[[#This Row],[매도비용]]-CMA_한투1837[[#This Row],[매입비용]]</f>
        <v>0</v>
      </c>
      <c r="Q4" s="71">
        <v>5000026</v>
      </c>
      <c r="R4" s="8">
        <f>CMA_한투1837[[#This Row],[입출금]]+CMA_한투1837[[#This Row],[현금수입]]-CMA_한투1837[[#This Row],[현금지출]]</f>
        <v>0</v>
      </c>
      <c r="S4" s="8">
        <f>SUM($R$2:R4)</f>
        <v>0</v>
      </c>
      <c r="T4" s="107">
        <v>-3897.41</v>
      </c>
    </row>
    <row r="5" spans="1:20" x14ac:dyDescent="0.3">
      <c r="A5" s="3">
        <v>45124</v>
      </c>
      <c r="B5" s="87" t="s">
        <v>83</v>
      </c>
      <c r="C5" s="1" t="str">
        <f>VLOOKUP(CMA_한투1837[[#This Row],[종목코드]],표3[],2,FALSE)</f>
        <v>달러자산</v>
      </c>
      <c r="D5" s="9" t="str">
        <f>VLOOKUP(CMA_한투1837[[#This Row],[종목코드]],표3[],4,FALSE)</f>
        <v>달러자산 원화평가</v>
      </c>
      <c r="E5" s="75"/>
      <c r="F5" s="71">
        <v>2999990</v>
      </c>
      <c r="G5" s="71">
        <v>2999990</v>
      </c>
      <c r="H5" s="8">
        <f>CMA_한투1837[[#This Row],[현금지출]]-CMA_한투1837[[#This Row],[매입액]]</f>
        <v>0</v>
      </c>
      <c r="I5" s="8"/>
      <c r="K5" s="7">
        <v>0</v>
      </c>
      <c r="M5" s="7"/>
      <c r="N5" s="8">
        <f>CMA_한투1837[[#This Row],[매도액]]-CMA_한투1837[[#This Row],[매도원금]]</f>
        <v>0</v>
      </c>
      <c r="O5" s="8">
        <f>CMA_한투1837[[#This Row],[매도액]]+CMA_한투1837[[#This Row],[이자배당액]]-CMA_한투1837[[#This Row],[현금수입]]</f>
        <v>0</v>
      </c>
      <c r="P5" s="8">
        <f>CMA_한투1837[[#This Row],[매매수익]]+CMA_한투1837[[#This Row],[이자배당액]]-CMA_한투1837[[#This Row],[매도비용]]-CMA_한투1837[[#This Row],[매입비용]]</f>
        <v>0</v>
      </c>
      <c r="Q5" s="71">
        <v>2999990</v>
      </c>
      <c r="R5" s="8">
        <f>CMA_한투1837[[#This Row],[입출금]]+CMA_한투1837[[#This Row],[현금수입]]-CMA_한투1837[[#This Row],[현금지출]]</f>
        <v>0</v>
      </c>
      <c r="S5" s="7">
        <f>SUM($R$2:R9)</f>
        <v>0</v>
      </c>
      <c r="T5" s="107">
        <v>-2358.65</v>
      </c>
    </row>
    <row r="6" spans="1:20" x14ac:dyDescent="0.3">
      <c r="A6" s="3">
        <v>45225</v>
      </c>
      <c r="B6" s="87" t="s">
        <v>83</v>
      </c>
      <c r="C6" s="1" t="str">
        <f>VLOOKUP(CMA_한투1837[[#This Row],[종목코드]],표3[],2,FALSE)</f>
        <v>달러자산</v>
      </c>
      <c r="D6" s="9" t="str">
        <f>VLOOKUP(CMA_한투1837[[#This Row],[종목코드]],표3[],4,FALSE)</f>
        <v>달러자산 원화평가</v>
      </c>
      <c r="E6" s="75"/>
      <c r="F6" s="52"/>
      <c r="G6" s="52"/>
      <c r="H6" s="53">
        <f>CMA_한투1837[[#This Row],[현금지출]]-CMA_한투1837[[#This Row],[매입액]]</f>
        <v>0</v>
      </c>
      <c r="I6" s="8"/>
      <c r="J6" s="52">
        <v>1428941</v>
      </c>
      <c r="K6" s="7">
        <v>1489440</v>
      </c>
      <c r="L6" s="52"/>
      <c r="M6" s="52">
        <v>1489440</v>
      </c>
      <c r="N6" s="53">
        <f>CMA_한투1837[[#This Row],[매도액]]-CMA_한투1837[[#This Row],[매도원금]]</f>
        <v>60499</v>
      </c>
      <c r="O6" s="53">
        <f>CMA_한투1837[[#This Row],[매도액]]+CMA_한투1837[[#This Row],[이자배당액]]-CMA_한투1837[[#This Row],[현금수입]]</f>
        <v>0</v>
      </c>
      <c r="P6" s="53">
        <f>CMA_한투1837[[#This Row],[매매수익]]+CMA_한투1837[[#This Row],[이자배당액]]-CMA_한투1837[[#This Row],[매도비용]]-CMA_한투1837[[#This Row],[매입비용]]</f>
        <v>60499</v>
      </c>
      <c r="Q6" s="68">
        <v>-1489440</v>
      </c>
      <c r="R6" s="53">
        <f>CMA_한투1837[[#This Row],[입출금]]+CMA_한투1837[[#This Row],[현금수입]]-CMA_한투1837[[#This Row],[현금지출]]</f>
        <v>0</v>
      </c>
      <c r="S6" s="7">
        <f>SUM($R$2:R9)</f>
        <v>0</v>
      </c>
      <c r="T6" s="108">
        <v>1103.5999999999999</v>
      </c>
    </row>
    <row r="7" spans="1:20" x14ac:dyDescent="0.3">
      <c r="A7" s="3">
        <v>45245</v>
      </c>
      <c r="B7" s="87" t="s">
        <v>83</v>
      </c>
      <c r="C7" s="1" t="str">
        <f>VLOOKUP(CMA_한투1837[[#This Row],[종목코드]],표3[],2,FALSE)</f>
        <v>달러자산</v>
      </c>
      <c r="D7" s="9" t="str">
        <f>VLOOKUP(CMA_한투1837[[#This Row],[종목코드]],표3[],4,FALSE)</f>
        <v>달러자산 원화평가</v>
      </c>
      <c r="F7" s="52">
        <v>5001149</v>
      </c>
      <c r="G7" s="52">
        <v>5001149</v>
      </c>
      <c r="H7" s="53"/>
      <c r="I7" s="8"/>
      <c r="J7" s="52"/>
      <c r="K7" s="52"/>
      <c r="L7" s="52"/>
      <c r="M7" s="52"/>
      <c r="N7" s="53"/>
      <c r="O7" s="53"/>
      <c r="P7" s="53"/>
      <c r="Q7" s="52">
        <v>5000005</v>
      </c>
      <c r="R7" s="53"/>
      <c r="S7" s="53"/>
      <c r="T7" s="108">
        <v>-3835.86</v>
      </c>
    </row>
    <row r="8" spans="1:20" x14ac:dyDescent="0.3">
      <c r="A8" s="3">
        <v>45250</v>
      </c>
      <c r="B8" s="87" t="s">
        <v>83</v>
      </c>
      <c r="C8" s="1" t="str">
        <f>VLOOKUP(CMA_한투1837[[#This Row],[종목코드]],표3[],2,FALSE)</f>
        <v>달러자산</v>
      </c>
      <c r="D8" s="9" t="str">
        <f>VLOOKUP(CMA_한투1837[[#This Row],[종목코드]],표3[],4,FALSE)</f>
        <v>달러자산 원화평가</v>
      </c>
      <c r="F8" s="7">
        <v>5000012</v>
      </c>
      <c r="G8" s="7">
        <v>5000012</v>
      </c>
      <c r="H8" s="8">
        <f>CMA_한투1837[[#This Row],[현금지출]]-CMA_한투1837[[#This Row],[매입액]]</f>
        <v>0</v>
      </c>
      <c r="I8" s="8"/>
      <c r="K8" s="7">
        <f>CMA_한투1837[[#This Row],[이자배당액]]-CMA_한투1837[[#This Row],[현금수입]]-CMA_한투1837[[#This Row],[매도원금]]</f>
        <v>0</v>
      </c>
      <c r="M8" s="7"/>
      <c r="N8" s="8">
        <f>CMA_한투1837[[#This Row],[매도액]]-CMA_한투1837[[#This Row],[매도원금]]</f>
        <v>0</v>
      </c>
      <c r="O8" s="8">
        <f>CMA_한투1837[[#This Row],[매도액]]+CMA_한투1837[[#This Row],[이자배당액]]-CMA_한투1837[[#This Row],[현금수입]]</f>
        <v>0</v>
      </c>
      <c r="P8" s="8">
        <f>CMA_한투1837[[#This Row],[매매수익]]+CMA_한투1837[[#This Row],[이자배당액]]-CMA_한투1837[[#This Row],[매도비용]]-CMA_한투1837[[#This Row],[매입비용]]</f>
        <v>0</v>
      </c>
      <c r="Q8" s="7">
        <v>5000012</v>
      </c>
      <c r="R8" s="8">
        <f>CMA_한투1837[[#This Row],[입출금]]+CMA_한투1837[[#This Row],[현금수입]]-CMA_한투1837[[#This Row],[현금지출]]</f>
        <v>0</v>
      </c>
      <c r="S8" s="7">
        <f>SUM($R$2:R9)</f>
        <v>0</v>
      </c>
      <c r="T8" s="109">
        <v>-3858.6</v>
      </c>
    </row>
    <row r="9" spans="1:20" s="10" customFormat="1" x14ac:dyDescent="0.3">
      <c r="A9" s="103">
        <v>45259</v>
      </c>
      <c r="B9" s="87" t="s">
        <v>189</v>
      </c>
      <c r="C9" s="1" t="str">
        <f>VLOOKUP(CMA_한투1837[[#This Row],[종목코드]],표3[],2,FALSE)</f>
        <v>엔화자산</v>
      </c>
      <c r="D9" s="104" t="str">
        <f>VLOOKUP(CMA_한투1837[[#This Row],[종목코드]],표3[],4,FALSE)</f>
        <v>엔화자산 원화평가</v>
      </c>
      <c r="E9" s="72"/>
      <c r="F9" s="74">
        <v>3199997</v>
      </c>
      <c r="G9" s="74">
        <v>3199997</v>
      </c>
      <c r="H9" s="13">
        <f>CMA_한투1837[[#This Row],[현금지출]]-CMA_한투1837[[#This Row],[매입액]]</f>
        <v>0</v>
      </c>
      <c r="I9" s="13"/>
      <c r="J9" s="11"/>
      <c r="K9" s="11">
        <f>CMA_한투1837[[#This Row],[이자배당액]]-CMA_한투1837[[#This Row],[현금수입]]-CMA_한투1837[[#This Row],[매도원금]]</f>
        <v>0</v>
      </c>
      <c r="L9" s="11"/>
      <c r="M9" s="11"/>
      <c r="N9" s="13">
        <f>CMA_한투1837[[#This Row],[매도액]]-CMA_한투1837[[#This Row],[매도원금]]</f>
        <v>0</v>
      </c>
      <c r="O9" s="13">
        <f>CMA_한투1837[[#This Row],[매도액]]+CMA_한투1837[[#This Row],[이자배당액]]-CMA_한투1837[[#This Row],[현금수입]]</f>
        <v>0</v>
      </c>
      <c r="P9" s="13">
        <f>CMA_한투1837[[#This Row],[매매수익]]+CMA_한투1837[[#This Row],[이자배당액]]-CMA_한투1837[[#This Row],[매도비용]]-CMA_한투1837[[#This Row],[매입비용]]</f>
        <v>0</v>
      </c>
      <c r="Q9" s="74">
        <v>3199997</v>
      </c>
      <c r="R9" s="13">
        <f>CMA_한투1837[[#This Row],[입출금]]+CMA_한투1837[[#This Row],[현금수입]]-CMA_한투1837[[#This Row],[현금지출]]</f>
        <v>0</v>
      </c>
      <c r="S9" s="13">
        <f>SUM($R$2:R9)</f>
        <v>0</v>
      </c>
      <c r="T9" s="110">
        <v>-363570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25" workbookViewId="0">
      <selection activeCell="B3" sqref="B3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63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89" t="s">
        <v>133</v>
      </c>
      <c r="F1" s="16" t="s">
        <v>57</v>
      </c>
      <c r="G1" s="16" t="s">
        <v>56</v>
      </c>
      <c r="H1" s="16" t="s">
        <v>28</v>
      </c>
      <c r="I1" s="16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19" x14ac:dyDescent="0.3">
      <c r="A2" s="3">
        <v>44927</v>
      </c>
      <c r="B2" s="87" t="s">
        <v>81</v>
      </c>
      <c r="C2" s="1" t="str">
        <f>VLOOKUP(CMA_한투1838[[#This Row],[종목코드]],표3[],2,FALSE)</f>
        <v>나무원화발행어음</v>
      </c>
      <c r="D2" s="9" t="str">
        <f>VLOOKUP(CMA_한투1838[[#This Row],[종목코드]],표3[],4,FALSE)</f>
        <v>나무증권 발행어음</v>
      </c>
      <c r="E2" s="75">
        <v>1</v>
      </c>
      <c r="F2" s="7">
        <v>10000000</v>
      </c>
      <c r="G2" s="8">
        <v>10000000</v>
      </c>
      <c r="H2" s="8">
        <f>CMA_한투1838[[#This Row],[현금지출]]-CMA_한투1838[[#This Row],[매입액]]</f>
        <v>0</v>
      </c>
      <c r="I2" s="8"/>
      <c r="K2" s="7"/>
      <c r="M2" s="7">
        <v>0</v>
      </c>
      <c r="N2" s="8">
        <f>CMA_한투1838[[#This Row],[매도액]]-CMA_한투1838[[#This Row],[매도원금]]</f>
        <v>0</v>
      </c>
      <c r="O2" s="8">
        <f>CMA_한투1838[[#This Row],[매도액]]+CMA_한투1838[[#This Row],[이자배당액]]-CMA_한투1838[[#This Row],[현금수입]]</f>
        <v>0</v>
      </c>
      <c r="P2" s="8">
        <f>CMA_한투1838[[#This Row],[매매수익]]+CMA_한투1838[[#This Row],[이자배당액]]-CMA_한투1838[[#This Row],[매도비용]]-CMA_한투1838[[#This Row],[매입비용]]</f>
        <v>0</v>
      </c>
      <c r="Q2" s="8">
        <v>10000000</v>
      </c>
      <c r="R2" s="8">
        <f>CMA_한투1838[[#This Row],[입출금]]+CMA_한투1838[[#This Row],[현금수입]]-CMA_한투1838[[#This Row],[현금지출]]</f>
        <v>0</v>
      </c>
      <c r="S2" s="8">
        <f>SUM($R$2:R2)</f>
        <v>0</v>
      </c>
    </row>
    <row r="3" spans="1:19" x14ac:dyDescent="0.3">
      <c r="A3" s="3">
        <v>44927</v>
      </c>
      <c r="B3" s="87" t="s">
        <v>82</v>
      </c>
      <c r="C3" s="1" t="str">
        <f>VLOOKUP(CMA_한투1838[[#This Row],[종목코드]],표3[],2,FALSE)</f>
        <v>나무CMA</v>
      </c>
      <c r="D3" s="9" t="str">
        <f>VLOOKUP(CMA_한투1838[[#This Row],[종목코드]],표3[],4,FALSE)</f>
        <v>나무증권 CMA</v>
      </c>
      <c r="E3" s="75">
        <v>1</v>
      </c>
      <c r="F3" s="7">
        <f>3539896-53946</f>
        <v>3485950</v>
      </c>
      <c r="G3" s="8">
        <f>3539896-53946</f>
        <v>3485950</v>
      </c>
      <c r="H3" s="8">
        <f>CMA_한투1838[[#This Row],[현금지출]]-CMA_한투1838[[#This Row],[매입액]]</f>
        <v>0</v>
      </c>
      <c r="I3" s="8"/>
      <c r="K3" s="7"/>
      <c r="M3" s="7"/>
      <c r="N3" s="8">
        <f>CMA_한투1838[[#This Row],[매도액]]-CMA_한투1838[[#This Row],[매도원금]]</f>
        <v>0</v>
      </c>
      <c r="O3" s="8">
        <f>CMA_한투1838[[#This Row],[매도액]]+CMA_한투1838[[#This Row],[이자배당액]]-CMA_한투1838[[#This Row],[현금수입]]</f>
        <v>0</v>
      </c>
      <c r="P3" s="8">
        <f>CMA_한투1838[[#This Row],[매매수익]]+CMA_한투1838[[#This Row],[이자배당액]]-CMA_한투1838[[#This Row],[매도비용]]-CMA_한투1838[[#This Row],[매입비용]]</f>
        <v>0</v>
      </c>
      <c r="Q3" s="8">
        <f>3539896-53946</f>
        <v>3485950</v>
      </c>
      <c r="R3" s="8">
        <f>CMA_한투1838[[#This Row],[입출금]]+CMA_한투1838[[#This Row],[현금수입]]-CMA_한투1838[[#This Row],[현금지출]]</f>
        <v>0</v>
      </c>
      <c r="S3" s="8">
        <f>SUM($R$2:R3)</f>
        <v>0</v>
      </c>
    </row>
    <row r="4" spans="1:19" x14ac:dyDescent="0.3">
      <c r="A4" s="3">
        <v>44932</v>
      </c>
      <c r="B4" s="87" t="s">
        <v>82</v>
      </c>
      <c r="C4" s="1" t="str">
        <f>VLOOKUP(CMA_한투1838[[#This Row],[종목코드]],표3[],2,FALSE)</f>
        <v>나무CMA</v>
      </c>
      <c r="D4" s="9" t="str">
        <f>VLOOKUP(CMA_한투1838[[#This Row],[종목코드]],표3[],4,FALSE)</f>
        <v>나무증권 CMA</v>
      </c>
      <c r="E4" s="75"/>
      <c r="F4" s="7">
        <v>99417</v>
      </c>
      <c r="G4" s="8">
        <v>99417</v>
      </c>
      <c r="H4" s="8">
        <f>CMA_한투1838[[#This Row],[현금지출]]-CMA_한투1838[[#This Row],[매입액]]</f>
        <v>0</v>
      </c>
      <c r="I4" s="8"/>
      <c r="J4" s="7">
        <v>99226</v>
      </c>
      <c r="K4" s="7">
        <v>99447</v>
      </c>
      <c r="M4" s="7">
        <v>99417</v>
      </c>
      <c r="N4" s="8">
        <f>CMA_한투1838[[#This Row],[매도액]]-CMA_한투1838[[#This Row],[매도원금]]</f>
        <v>221</v>
      </c>
      <c r="O4" s="8">
        <f>CMA_한투1838[[#This Row],[매도액]]+CMA_한투1838[[#This Row],[이자배당액]]-CMA_한투1838[[#This Row],[현금수입]]</f>
        <v>30</v>
      </c>
      <c r="P4" s="8">
        <f>CMA_한투1838[[#This Row],[매매수익]]+CMA_한투1838[[#This Row],[이자배당액]]-CMA_한투1838[[#This Row],[매도비용]]-CMA_한투1838[[#This Row],[매입비용]]</f>
        <v>191</v>
      </c>
      <c r="Q4" s="8"/>
      <c r="R4" s="8">
        <f>CMA_한투1838[[#This Row],[입출금]]+CMA_한투1838[[#This Row],[현금수입]]-CMA_한투1838[[#This Row],[현금지출]]</f>
        <v>0</v>
      </c>
      <c r="S4" s="8">
        <f>SUM($R$2:R4)</f>
        <v>0</v>
      </c>
    </row>
    <row r="5" spans="1:19" x14ac:dyDescent="0.3">
      <c r="A5" s="3">
        <v>44939</v>
      </c>
      <c r="B5" s="87" t="s">
        <v>82</v>
      </c>
      <c r="C5" s="1" t="str">
        <f>VLOOKUP(CMA_한투1838[[#This Row],[종목코드]],표3[],2,FALSE)</f>
        <v>나무CMA</v>
      </c>
      <c r="D5" s="9" t="str">
        <f>VLOOKUP(CMA_한투1838[[#This Row],[종목코드]],표3[],4,FALSE)</f>
        <v>나무증권 CMA</v>
      </c>
      <c r="E5" s="75"/>
      <c r="F5" s="7">
        <v>3372221</v>
      </c>
      <c r="G5" s="8">
        <v>3372221</v>
      </c>
      <c r="H5" s="8">
        <f>CMA_한투1838[[#This Row],[현금지출]]-CMA_한투1838[[#This Row],[매입액]]</f>
        <v>0</v>
      </c>
      <c r="I5" s="8"/>
      <c r="J5" s="7">
        <v>3366060</v>
      </c>
      <c r="K5" s="7">
        <v>3373291</v>
      </c>
      <c r="M5" s="7">
        <v>3372181</v>
      </c>
      <c r="N5" s="8">
        <f>CMA_한투1838[[#This Row],[매도액]]-CMA_한투1838[[#This Row],[매도원금]]</f>
        <v>7231</v>
      </c>
      <c r="O5" s="8">
        <f>CMA_한투1838[[#This Row],[매도액]]+CMA_한투1838[[#This Row],[이자배당액]]-CMA_한투1838[[#This Row],[현금수입]]</f>
        <v>1110</v>
      </c>
      <c r="P5" s="8">
        <f>CMA_한투1838[[#This Row],[매매수익]]+CMA_한투1838[[#This Row],[이자배당액]]-CMA_한투1838[[#This Row],[매도비용]]-CMA_한투1838[[#This Row],[매입비용]]</f>
        <v>6121</v>
      </c>
      <c r="Q5" s="8">
        <v>40</v>
      </c>
      <c r="R5" s="8">
        <f>CMA_한투1838[[#This Row],[입출금]]+CMA_한투1838[[#This Row],[현금수입]]-CMA_한투1838[[#This Row],[현금지출]]</f>
        <v>0</v>
      </c>
      <c r="S5" s="8">
        <f>SUM($R$2:R5)</f>
        <v>0</v>
      </c>
    </row>
    <row r="6" spans="1:19" x14ac:dyDescent="0.3">
      <c r="A6" s="3">
        <v>44942</v>
      </c>
      <c r="B6" s="87" t="s">
        <v>82</v>
      </c>
      <c r="C6" s="1" t="str">
        <f>VLOOKUP(CMA_한투1838[[#This Row],[종목코드]],표3[],2,FALSE)</f>
        <v>나무CMA</v>
      </c>
      <c r="D6" s="9" t="str">
        <f>VLOOKUP(CMA_한투1838[[#This Row],[종목코드]],표3[],4,FALSE)</f>
        <v>나무증권 CMA</v>
      </c>
      <c r="E6" s="75"/>
      <c r="G6" s="8">
        <v>0</v>
      </c>
      <c r="H6" s="8">
        <f>CMA_한투1838[[#This Row],[현금지출]]-CMA_한투1838[[#This Row],[매입액]]</f>
        <v>0</v>
      </c>
      <c r="I6" s="8"/>
      <c r="J6" s="7">
        <f>58847+15763+99417+2825220</f>
        <v>2999247</v>
      </c>
      <c r="K6" s="7">
        <v>3000110</v>
      </c>
      <c r="M6" s="7">
        <f>58946+15789+99484+2825781</f>
        <v>3000000</v>
      </c>
      <c r="N6" s="8">
        <f>CMA_한투1838[[#This Row],[매도액]]-CMA_한투1838[[#This Row],[매도원금]]</f>
        <v>863</v>
      </c>
      <c r="O6" s="8">
        <f>CMA_한투1838[[#This Row],[매도액]]+CMA_한투1838[[#This Row],[이자배당액]]-CMA_한투1838[[#This Row],[현금수입]]</f>
        <v>110</v>
      </c>
      <c r="P6" s="8">
        <f>CMA_한투1838[[#This Row],[매매수익]]+CMA_한투1838[[#This Row],[이자배당액]]-CMA_한투1838[[#This Row],[매도비용]]-CMA_한투1838[[#This Row],[매입비용]]</f>
        <v>753</v>
      </c>
      <c r="Q6" s="8">
        <v>-3000000</v>
      </c>
      <c r="R6" s="8">
        <f>CMA_한투1838[[#This Row],[입출금]]+CMA_한투1838[[#This Row],[현금수입]]-CMA_한투1838[[#This Row],[현금지출]]</f>
        <v>0</v>
      </c>
      <c r="S6" s="8">
        <f>SUM($R$2:R6)</f>
        <v>0</v>
      </c>
    </row>
    <row r="7" spans="1:19" x14ac:dyDescent="0.3">
      <c r="A7" s="3">
        <v>44945</v>
      </c>
      <c r="B7" s="87" t="s">
        <v>82</v>
      </c>
      <c r="C7" s="1" t="str">
        <f>VLOOKUP(CMA_한투1838[[#This Row],[종목코드]],표3[],2,FALSE)</f>
        <v>나무CMA</v>
      </c>
      <c r="D7" s="9" t="str">
        <f>VLOOKUP(CMA_한투1838[[#This Row],[종목코드]],표3[],4,FALSE)</f>
        <v>나무증권 CMA</v>
      </c>
      <c r="E7" s="75"/>
      <c r="G7" s="8">
        <v>0</v>
      </c>
      <c r="H7" s="8">
        <f>CMA_한투1838[[#This Row],[현금지출]]-CMA_한투1838[[#This Row],[매입액]]</f>
        <v>0</v>
      </c>
      <c r="I7" s="8"/>
      <c r="J7" s="7">
        <v>1999</v>
      </c>
      <c r="K7" s="7">
        <v>2000</v>
      </c>
      <c r="M7" s="7">
        <v>820</v>
      </c>
      <c r="N7" s="8">
        <f>CMA_한투1838[[#This Row],[매도액]]-CMA_한투1838[[#This Row],[매도원금]]</f>
        <v>1</v>
      </c>
      <c r="O7" s="8">
        <f>CMA_한투1838[[#This Row],[매도액]]+CMA_한투1838[[#This Row],[이자배당액]]-CMA_한투1838[[#This Row],[현금수입]]</f>
        <v>1180</v>
      </c>
      <c r="P7" s="8">
        <f>CMA_한투1838[[#This Row],[매매수익]]+CMA_한투1838[[#This Row],[이자배당액]]-CMA_한투1838[[#This Row],[매도비용]]-CMA_한투1838[[#This Row],[매입비용]]</f>
        <v>-1179</v>
      </c>
      <c r="Q7" s="8">
        <v>-820</v>
      </c>
      <c r="R7" s="8">
        <f>CMA_한투1838[[#This Row],[입출금]]+CMA_한투1838[[#This Row],[현금수입]]-CMA_한투1838[[#This Row],[현금지출]]</f>
        <v>0</v>
      </c>
      <c r="S7" s="8">
        <f>SUM($R$2:R7)</f>
        <v>0</v>
      </c>
    </row>
    <row r="8" spans="1:19" x14ac:dyDescent="0.3">
      <c r="A8" s="3">
        <v>44951</v>
      </c>
      <c r="B8" s="87" t="s">
        <v>82</v>
      </c>
      <c r="C8" s="1" t="str">
        <f>VLOOKUP(CMA_한투1838[[#This Row],[종목코드]],표3[],2,FALSE)</f>
        <v>나무CMA</v>
      </c>
      <c r="D8" s="9" t="str">
        <f>VLOOKUP(CMA_한투1838[[#This Row],[종목코드]],표3[],4,FALSE)</f>
        <v>나무증권 CMA</v>
      </c>
      <c r="E8" s="75"/>
      <c r="F8" s="7">
        <v>1016584</v>
      </c>
      <c r="G8" s="8">
        <v>1016584</v>
      </c>
      <c r="H8" s="8">
        <f>CMA_한투1838[[#This Row],[현금지출]]-CMA_한투1838[[#This Row],[매입액]]</f>
        <v>0</v>
      </c>
      <c r="I8" s="8"/>
      <c r="K8" s="7"/>
      <c r="L8" s="7">
        <v>18623</v>
      </c>
      <c r="M8" s="7">
        <v>15763</v>
      </c>
      <c r="N8" s="8">
        <f>CMA_한투1838[[#This Row],[매도액]]-CMA_한투1838[[#This Row],[매도원금]]</f>
        <v>0</v>
      </c>
      <c r="O8" s="8">
        <f>CMA_한투1838[[#This Row],[매도액]]+CMA_한투1838[[#This Row],[이자배당액]]-CMA_한투1838[[#This Row],[현금수입]]</f>
        <v>2860</v>
      </c>
      <c r="P8" s="8">
        <f>CMA_한투1838[[#This Row],[매매수익]]+CMA_한투1838[[#This Row],[이자배당액]]-CMA_한투1838[[#This Row],[매도비용]]-CMA_한투1838[[#This Row],[매입비용]]</f>
        <v>15763</v>
      </c>
      <c r="Q8" s="8">
        <v>1000821</v>
      </c>
      <c r="R8" s="8">
        <f>CMA_한투1838[[#This Row],[입출금]]+CMA_한투1838[[#This Row],[현금수입]]-CMA_한투1838[[#This Row],[현금지출]]</f>
        <v>0</v>
      </c>
      <c r="S8" s="8">
        <f>SUM($R$2:R8)</f>
        <v>0</v>
      </c>
    </row>
    <row r="9" spans="1:19" x14ac:dyDescent="0.3">
      <c r="A9" s="3">
        <v>44953</v>
      </c>
      <c r="B9" s="87" t="s">
        <v>82</v>
      </c>
      <c r="C9" s="1" t="str">
        <f>VLOOKUP(CMA_한투1838[[#This Row],[종목코드]],표3[],2,FALSE)</f>
        <v>나무CMA</v>
      </c>
      <c r="D9" s="9" t="str">
        <f>VLOOKUP(CMA_한투1838[[#This Row],[종목코드]],표3[],4,FALSE)</f>
        <v>나무증권 CMA</v>
      </c>
      <c r="E9" s="75"/>
      <c r="F9" s="7">
        <v>365308</v>
      </c>
      <c r="G9" s="8">
        <v>365308</v>
      </c>
      <c r="H9" s="8">
        <f>CMA_한투1838[[#This Row],[현금지출]]-CMA_한투1838[[#This Row],[매입액]]</f>
        <v>0</v>
      </c>
      <c r="I9" s="8"/>
      <c r="K9" s="7"/>
      <c r="M9" s="7">
        <v>0</v>
      </c>
      <c r="N9" s="8">
        <f>CMA_한투1838[[#This Row],[매도액]]-CMA_한투1838[[#This Row],[매도원금]]</f>
        <v>0</v>
      </c>
      <c r="O9" s="8">
        <f>CMA_한투1838[[#This Row],[매도액]]+CMA_한투1838[[#This Row],[이자배당액]]-CMA_한투1838[[#This Row],[현금수입]]</f>
        <v>0</v>
      </c>
      <c r="P9" s="8">
        <f>CMA_한투1838[[#This Row],[매매수익]]+CMA_한투1838[[#This Row],[이자배당액]]-CMA_한투1838[[#This Row],[매도비용]]-CMA_한투1838[[#This Row],[매입비용]]</f>
        <v>0</v>
      </c>
      <c r="Q9" s="8">
        <v>365308</v>
      </c>
      <c r="R9" s="8">
        <f>CMA_한투1838[[#This Row],[입출금]]+CMA_한투1838[[#This Row],[현금수입]]-CMA_한투1838[[#This Row],[현금지출]]</f>
        <v>0</v>
      </c>
      <c r="S9" s="8">
        <f>SUM($R$2:R9)</f>
        <v>0</v>
      </c>
    </row>
    <row r="10" spans="1:19" x14ac:dyDescent="0.3">
      <c r="A10" s="3">
        <v>44957</v>
      </c>
      <c r="B10" s="87" t="s">
        <v>82</v>
      </c>
      <c r="C10" s="1" t="str">
        <f>VLOOKUP(CMA_한투1838[[#This Row],[종목코드]],표3[],2,FALSE)</f>
        <v>나무CMA</v>
      </c>
      <c r="D10" s="9" t="str">
        <f>VLOOKUP(CMA_한투1838[[#This Row],[종목코드]],표3[],4,FALSE)</f>
        <v>나무증권 CMA</v>
      </c>
      <c r="E10" s="75"/>
      <c r="G10" s="8">
        <v>0</v>
      </c>
      <c r="H10" s="8">
        <f>CMA_한투1838[[#This Row],[현금지출]]-CMA_한투1838[[#This Row],[매입액]]</f>
        <v>0</v>
      </c>
      <c r="I10" s="8"/>
      <c r="J10" s="7">
        <f>545002+528439</f>
        <v>1073441</v>
      </c>
      <c r="K10" s="7">
        <v>1074464</v>
      </c>
      <c r="M10" s="7">
        <f>545645+528679</f>
        <v>1074324</v>
      </c>
      <c r="N10" s="8">
        <f>CMA_한투1838[[#This Row],[매도액]]-CMA_한투1838[[#This Row],[매도원금]]</f>
        <v>1023</v>
      </c>
      <c r="O10" s="8">
        <f>CMA_한투1838[[#This Row],[매도액]]+CMA_한투1838[[#This Row],[이자배당액]]-CMA_한투1838[[#This Row],[현금수입]]</f>
        <v>140</v>
      </c>
      <c r="P10" s="8">
        <f>CMA_한투1838[[#This Row],[매매수익]]+CMA_한투1838[[#This Row],[이자배당액]]-CMA_한투1838[[#This Row],[매도비용]]-CMA_한투1838[[#This Row],[매입비용]]</f>
        <v>883</v>
      </c>
      <c r="Q10" s="8">
        <v>-1074324</v>
      </c>
      <c r="R10" s="8">
        <f>CMA_한투1838[[#This Row],[입출금]]+CMA_한투1838[[#This Row],[현금수입]]-CMA_한투1838[[#This Row],[현금지출]]</f>
        <v>0</v>
      </c>
      <c r="S10" s="8">
        <f>SUM($R$2:R10)</f>
        <v>0</v>
      </c>
    </row>
    <row r="11" spans="1:19" x14ac:dyDescent="0.3">
      <c r="A11" s="3">
        <v>44981</v>
      </c>
      <c r="B11" s="87" t="s">
        <v>82</v>
      </c>
      <c r="C11" s="1" t="str">
        <f>VLOOKUP(CMA_한투1838[[#This Row],[종목코드]],표3[],2,FALSE)</f>
        <v>나무CMA</v>
      </c>
      <c r="D11" s="9" t="str">
        <f>VLOOKUP(CMA_한투1838[[#This Row],[종목코드]],표3[],4,FALSE)</f>
        <v>나무증권 CMA</v>
      </c>
      <c r="E11" s="75"/>
      <c r="F11" s="7">
        <v>801193</v>
      </c>
      <c r="G11" s="8">
        <v>801193</v>
      </c>
      <c r="H11" s="8">
        <f>CMA_한투1838[[#This Row],[현금지출]]-CMA_한투1838[[#This Row],[매입액]]</f>
        <v>0</v>
      </c>
      <c r="I11" s="8"/>
      <c r="J11" s="7">
        <f>434199+365308</f>
        <v>799507</v>
      </c>
      <c r="K11" s="7">
        <v>801483</v>
      </c>
      <c r="M11" s="7">
        <f>435146+366047</f>
        <v>801193</v>
      </c>
      <c r="N11" s="8">
        <f>CMA_한투1838[[#This Row],[매도액]]-CMA_한투1838[[#This Row],[매도원금]]</f>
        <v>1976</v>
      </c>
      <c r="O11" s="8">
        <f>CMA_한투1838[[#This Row],[매도액]]+CMA_한투1838[[#This Row],[이자배당액]]-CMA_한투1838[[#This Row],[현금수입]]</f>
        <v>290</v>
      </c>
      <c r="P11" s="8">
        <f>CMA_한투1838[[#This Row],[매매수익]]+CMA_한투1838[[#This Row],[이자배당액]]-CMA_한투1838[[#This Row],[매도비용]]-CMA_한투1838[[#This Row],[매입비용]]</f>
        <v>1686</v>
      </c>
      <c r="Q11" s="8"/>
      <c r="R11" s="8">
        <f>CMA_한투1838[[#This Row],[입출금]]+CMA_한투1838[[#This Row],[현금수입]]-CMA_한투1838[[#This Row],[현금지출]]</f>
        <v>0</v>
      </c>
      <c r="S11" s="8">
        <f>SUM($R$2:R11)</f>
        <v>0</v>
      </c>
    </row>
    <row r="12" spans="1:19" x14ac:dyDescent="0.3">
      <c r="A12" s="3">
        <v>45009</v>
      </c>
      <c r="B12" s="87" t="s">
        <v>82</v>
      </c>
      <c r="C12" s="1" t="str">
        <f>VLOOKUP(CMA_한투1838[[#This Row],[종목코드]],표3[],2,FALSE)</f>
        <v>나무CMA</v>
      </c>
      <c r="D12" s="9" t="str">
        <f>VLOOKUP(CMA_한투1838[[#This Row],[종목코드]],표3[],4,FALSE)</f>
        <v>나무증권 CMA</v>
      </c>
      <c r="E12" s="75"/>
      <c r="F12" s="7">
        <v>810716</v>
      </c>
      <c r="G12" s="8">
        <v>810716</v>
      </c>
      <c r="H12" s="8">
        <f>CMA_한투1838[[#This Row],[현금지출]]-CMA_한투1838[[#This Row],[매입액]]</f>
        <v>0</v>
      </c>
      <c r="I12" s="8"/>
      <c r="J12" s="7">
        <v>801193</v>
      </c>
      <c r="K12" s="7">
        <v>810996</v>
      </c>
      <c r="M12" s="7">
        <f>802819+7897</f>
        <v>810716</v>
      </c>
      <c r="N12" s="8">
        <f>CMA_한투1838[[#This Row],[매도액]]-CMA_한투1838[[#This Row],[매도원금]]</f>
        <v>9803</v>
      </c>
      <c r="O12" s="8">
        <f>CMA_한투1838[[#This Row],[매도액]]+CMA_한투1838[[#This Row],[이자배당액]]-CMA_한투1838[[#This Row],[현금수입]]</f>
        <v>280</v>
      </c>
      <c r="P12" s="8">
        <f>CMA_한투1838[[#This Row],[매매수익]]+CMA_한투1838[[#This Row],[이자배당액]]-CMA_한투1838[[#This Row],[매도비용]]-CMA_한투1838[[#This Row],[매입비용]]</f>
        <v>9523</v>
      </c>
      <c r="Q12" s="8"/>
      <c r="R12" s="8">
        <f>CMA_한투1838[[#This Row],[입출금]]+CMA_한투1838[[#This Row],[현금수입]]-CMA_한투1838[[#This Row],[현금지출]]</f>
        <v>0</v>
      </c>
      <c r="S12" s="8">
        <f>SUM($R$2:R12)</f>
        <v>0</v>
      </c>
    </row>
    <row r="13" spans="1:19" x14ac:dyDescent="0.3">
      <c r="A13" s="3">
        <v>45014</v>
      </c>
      <c r="B13" s="87" t="s">
        <v>82</v>
      </c>
      <c r="C13" s="1" t="str">
        <f>VLOOKUP(CMA_한투1838[[#This Row],[종목코드]],표3[],2,FALSE)</f>
        <v>나무CMA</v>
      </c>
      <c r="D13" s="9" t="str">
        <f>VLOOKUP(CMA_한투1838[[#This Row],[종목코드]],표3[],4,FALSE)</f>
        <v>나무증권 CMA</v>
      </c>
      <c r="E13" s="75"/>
      <c r="F13" s="7">
        <v>2000000</v>
      </c>
      <c r="G13" s="8">
        <v>2000000</v>
      </c>
      <c r="H13" s="8">
        <f>CMA_한투1838[[#This Row],[현금지출]]-CMA_한투1838[[#This Row],[매입액]]</f>
        <v>0</v>
      </c>
      <c r="I13" s="8"/>
      <c r="K13" s="7"/>
      <c r="M13" s="7">
        <v>0</v>
      </c>
      <c r="N13" s="8">
        <f>CMA_한투1838[[#This Row],[매도액]]-CMA_한투1838[[#This Row],[매도원금]]</f>
        <v>0</v>
      </c>
      <c r="O13" s="8">
        <f>CMA_한투1838[[#This Row],[매도액]]+CMA_한투1838[[#This Row],[이자배당액]]-CMA_한투1838[[#This Row],[현금수입]]</f>
        <v>0</v>
      </c>
      <c r="P13" s="8">
        <f>CMA_한투1838[[#This Row],[매매수익]]+CMA_한투1838[[#This Row],[이자배당액]]-CMA_한투1838[[#This Row],[매도비용]]-CMA_한투1838[[#This Row],[매입비용]]</f>
        <v>0</v>
      </c>
      <c r="Q13" s="8">
        <v>2000000</v>
      </c>
      <c r="R13" s="8">
        <f>CMA_한투1838[[#This Row],[입출금]]+CMA_한투1838[[#This Row],[현금수입]]-CMA_한투1838[[#This Row],[현금지출]]</f>
        <v>0</v>
      </c>
      <c r="S13" s="8">
        <f>SUM($R$2:R13)</f>
        <v>0</v>
      </c>
    </row>
    <row r="14" spans="1:19" x14ac:dyDescent="0.3">
      <c r="A14" s="3">
        <v>45026</v>
      </c>
      <c r="B14" s="87" t="s">
        <v>86</v>
      </c>
      <c r="C14" s="1" t="str">
        <f>VLOOKUP(CMA_한투1838[[#This Row],[종목코드]],표3[],2,FALSE)</f>
        <v>전년도주식</v>
      </c>
      <c r="D14" s="9" t="str">
        <f>VLOOKUP(CMA_한투1838[[#This Row],[종목코드]],표3[],4,FALSE)</f>
        <v>전년도 투자주식 배당기록 계정</v>
      </c>
      <c r="E14" s="75">
        <v>1</v>
      </c>
      <c r="F14" s="34"/>
      <c r="G14" s="35"/>
      <c r="H14" s="35">
        <f>CMA_한투1838[[#This Row],[현금지출]]-CMA_한투1838[[#This Row],[매입액]]</f>
        <v>0</v>
      </c>
      <c r="I14" s="35"/>
      <c r="J14" s="34"/>
      <c r="K14" s="34"/>
      <c r="L14" s="34">
        <v>59200</v>
      </c>
      <c r="M14" s="34">
        <v>50100</v>
      </c>
      <c r="N14" s="35">
        <f>CMA_한투1838[[#This Row],[매도액]]-CMA_한투1838[[#This Row],[매도원금]]</f>
        <v>0</v>
      </c>
      <c r="O14" s="35">
        <f>CMA_한투1838[[#This Row],[매도액]]+CMA_한투1838[[#This Row],[이자배당액]]-CMA_한투1838[[#This Row],[현금수입]]</f>
        <v>9100</v>
      </c>
      <c r="P14" s="35">
        <f>CMA_한투1838[[#This Row],[매매수익]]+CMA_한투1838[[#This Row],[이자배당액]]-CMA_한투1838[[#This Row],[매도비용]]-CMA_한투1838[[#This Row],[매입비용]]</f>
        <v>50100</v>
      </c>
      <c r="Q14" s="35"/>
      <c r="R14" s="35">
        <f>CMA_한투1838[[#This Row],[입출금]]+CMA_한투1838[[#This Row],[현금수입]]-CMA_한투1838[[#This Row],[현금지출]]</f>
        <v>50100</v>
      </c>
      <c r="S14" s="8">
        <f>SUM($R$2:R14)</f>
        <v>50100</v>
      </c>
    </row>
    <row r="15" spans="1:19" x14ac:dyDescent="0.3">
      <c r="A15" s="3">
        <v>45026</v>
      </c>
      <c r="B15" s="87" t="s">
        <v>82</v>
      </c>
      <c r="C15" s="1" t="str">
        <f>VLOOKUP(CMA_한투1838[[#This Row],[종목코드]],표3[],2,FALSE)</f>
        <v>나무CMA</v>
      </c>
      <c r="D15" s="9" t="str">
        <f>VLOOKUP(CMA_한투1838[[#This Row],[종목코드]],표3[],4,FALSE)</f>
        <v>나무증권 CMA</v>
      </c>
      <c r="E15" s="75"/>
      <c r="F15" s="7">
        <v>50102</v>
      </c>
      <c r="G15" s="8">
        <v>50102</v>
      </c>
      <c r="H15" s="8">
        <f>CMA_한투1838[[#This Row],[현금지출]]-CMA_한투1838[[#This Row],[매입액]]</f>
        <v>0</v>
      </c>
      <c r="I15" s="8"/>
      <c r="K15" s="7"/>
      <c r="M15" s="7">
        <v>0</v>
      </c>
      <c r="N15" s="8">
        <f>CMA_한투1838[[#This Row],[매도액]]-CMA_한투1838[[#This Row],[매도원금]]</f>
        <v>0</v>
      </c>
      <c r="O15" s="8">
        <f>CMA_한투1838[[#This Row],[매도액]]+CMA_한투1838[[#This Row],[이자배당액]]-CMA_한투1838[[#This Row],[현금수입]]</f>
        <v>0</v>
      </c>
      <c r="P15" s="8">
        <f>CMA_한투1838[[#This Row],[매매수익]]+CMA_한투1838[[#This Row],[이자배당액]]-CMA_한투1838[[#This Row],[매도비용]]-CMA_한투1838[[#This Row],[매입비용]]</f>
        <v>0</v>
      </c>
      <c r="Q15" s="8">
        <v>2</v>
      </c>
      <c r="R15" s="8">
        <f>CMA_한투1838[[#This Row],[입출금]]+CMA_한투1838[[#This Row],[현금수입]]-CMA_한투1838[[#This Row],[현금지출]]</f>
        <v>-50100</v>
      </c>
      <c r="S15" s="8">
        <f>SUM($R$2:R15)</f>
        <v>0</v>
      </c>
    </row>
    <row r="16" spans="1:19" x14ac:dyDescent="0.3">
      <c r="A16" s="3">
        <v>45030</v>
      </c>
      <c r="B16" s="87" t="s">
        <v>86</v>
      </c>
      <c r="C16" s="1" t="str">
        <f>VLOOKUP(CMA_한투1838[[#This Row],[종목코드]],표3[],2,FALSE)</f>
        <v>전년도주식</v>
      </c>
      <c r="D16" s="9" t="str">
        <f>VLOOKUP(CMA_한투1838[[#This Row],[종목코드]],표3[],4,FALSE)</f>
        <v>전년도 투자주식 배당기록 계정</v>
      </c>
      <c r="E16" s="75"/>
      <c r="F16" s="34"/>
      <c r="G16" s="35"/>
      <c r="H16" s="35">
        <f>CMA_한투1838[[#This Row],[현금지출]]-CMA_한투1838[[#This Row],[매입액]]</f>
        <v>0</v>
      </c>
      <c r="I16" s="35"/>
      <c r="J16" s="34"/>
      <c r="K16" s="34"/>
      <c r="L16" s="34">
        <f>23842+25300</f>
        <v>49142</v>
      </c>
      <c r="M16" s="34">
        <f>20182+21410</f>
        <v>41592</v>
      </c>
      <c r="N16" s="35">
        <f>CMA_한투1838[[#This Row],[매도액]]-CMA_한투1838[[#This Row],[매도원금]]</f>
        <v>0</v>
      </c>
      <c r="O16" s="35">
        <f>CMA_한투1838[[#This Row],[매도액]]+CMA_한투1838[[#This Row],[이자배당액]]-CMA_한투1838[[#This Row],[현금수입]]</f>
        <v>7550</v>
      </c>
      <c r="P16" s="35">
        <f>CMA_한투1838[[#This Row],[매매수익]]+CMA_한투1838[[#This Row],[이자배당액]]-CMA_한투1838[[#This Row],[매도비용]]-CMA_한투1838[[#This Row],[매입비용]]</f>
        <v>41592</v>
      </c>
      <c r="Q16" s="35"/>
      <c r="R16" s="35">
        <f>CMA_한투1838[[#This Row],[입출금]]+CMA_한투1838[[#This Row],[현금수입]]-CMA_한투1838[[#This Row],[현금지출]]</f>
        <v>41592</v>
      </c>
      <c r="S16" s="8">
        <f>SUM($R$2:R16)</f>
        <v>41592</v>
      </c>
    </row>
    <row r="17" spans="1:19" x14ac:dyDescent="0.3">
      <c r="A17" s="3">
        <v>45030</v>
      </c>
      <c r="B17" s="87" t="s">
        <v>82</v>
      </c>
      <c r="C17" s="1" t="str">
        <f>VLOOKUP(CMA_한투1838[[#This Row],[종목코드]],표3[],2,FALSE)</f>
        <v>나무CMA</v>
      </c>
      <c r="D17" s="9" t="str">
        <f>VLOOKUP(CMA_한투1838[[#This Row],[종목코드]],표3[],4,FALSE)</f>
        <v>나무증권 CMA</v>
      </c>
      <c r="E17" s="75"/>
      <c r="F17" s="7">
        <v>41592</v>
      </c>
      <c r="G17" s="8">
        <v>41592</v>
      </c>
      <c r="H17" s="8">
        <f>CMA_한투1838[[#This Row],[현금지출]]-CMA_한투1838[[#This Row],[매입액]]</f>
        <v>0</v>
      </c>
      <c r="I17" s="8"/>
      <c r="K17" s="7"/>
      <c r="M17" s="7">
        <v>0</v>
      </c>
      <c r="N17" s="8">
        <f>CMA_한투1838[[#This Row],[매도액]]-CMA_한투1838[[#This Row],[매도원금]]</f>
        <v>0</v>
      </c>
      <c r="O17" s="8">
        <f>CMA_한투1838[[#This Row],[매도액]]+CMA_한투1838[[#This Row],[이자배당액]]-CMA_한투1838[[#This Row],[현금수입]]</f>
        <v>0</v>
      </c>
      <c r="P17" s="8">
        <f>CMA_한투1838[[#This Row],[매매수익]]+CMA_한투1838[[#This Row],[이자배당액]]-CMA_한투1838[[#This Row],[매도비용]]-CMA_한투1838[[#This Row],[매입비용]]</f>
        <v>0</v>
      </c>
      <c r="Q17" s="8"/>
      <c r="R17" s="8">
        <f>CMA_한투1838[[#This Row],[입출금]]+CMA_한투1838[[#This Row],[현금수입]]-CMA_한투1838[[#This Row],[현금지출]]</f>
        <v>-41592</v>
      </c>
      <c r="S17" s="8">
        <f>SUM($R$2:R17)</f>
        <v>0</v>
      </c>
    </row>
    <row r="18" spans="1:19" x14ac:dyDescent="0.3">
      <c r="A18" s="3">
        <v>45034</v>
      </c>
      <c r="B18" s="87" t="s">
        <v>86</v>
      </c>
      <c r="C18" s="1" t="str">
        <f>VLOOKUP(CMA_한투1838[[#This Row],[종목코드]],표3[],2,FALSE)</f>
        <v>전년도주식</v>
      </c>
      <c r="D18" s="9" t="str">
        <f>VLOOKUP(CMA_한투1838[[#This Row],[종목코드]],표3[],4,FALSE)</f>
        <v>전년도 투자주식 배당기록 계정</v>
      </c>
      <c r="E18" s="75"/>
      <c r="F18" s="34"/>
      <c r="G18" s="35"/>
      <c r="H18" s="35">
        <f>CMA_한투1838[[#This Row],[현금지출]]-CMA_한투1838[[#This Row],[매입액]]</f>
        <v>0</v>
      </c>
      <c r="I18" s="35"/>
      <c r="J18" s="34"/>
      <c r="K18" s="34"/>
      <c r="L18" s="34">
        <f>28000+23400</f>
        <v>51400</v>
      </c>
      <c r="M18" s="34">
        <f>23690+19810</f>
        <v>43500</v>
      </c>
      <c r="N18" s="35">
        <f>CMA_한투1838[[#This Row],[매도액]]-CMA_한투1838[[#This Row],[매도원금]]</f>
        <v>0</v>
      </c>
      <c r="O18" s="35">
        <f>CMA_한투1838[[#This Row],[매도액]]+CMA_한투1838[[#This Row],[이자배당액]]-CMA_한투1838[[#This Row],[현금수입]]</f>
        <v>7900</v>
      </c>
      <c r="P18" s="35">
        <f>CMA_한투1838[[#This Row],[매매수익]]+CMA_한투1838[[#This Row],[이자배당액]]-CMA_한투1838[[#This Row],[매도비용]]-CMA_한투1838[[#This Row],[매입비용]]</f>
        <v>43500</v>
      </c>
      <c r="Q18" s="35"/>
      <c r="R18" s="35">
        <f>CMA_한투1838[[#This Row],[입출금]]+CMA_한투1838[[#This Row],[현금수입]]-CMA_한투1838[[#This Row],[현금지출]]</f>
        <v>43500</v>
      </c>
      <c r="S18" s="8">
        <f>SUM($R$2:R18)</f>
        <v>43500</v>
      </c>
    </row>
    <row r="19" spans="1:19" x14ac:dyDescent="0.3">
      <c r="A19" s="3">
        <v>45034</v>
      </c>
      <c r="B19" s="87" t="s">
        <v>82</v>
      </c>
      <c r="C19" s="1" t="str">
        <f>VLOOKUP(CMA_한투1838[[#This Row],[종목코드]],표3[],2,FALSE)</f>
        <v>나무CMA</v>
      </c>
      <c r="D19" s="9" t="str">
        <f>VLOOKUP(CMA_한투1838[[#This Row],[종목코드]],표3[],4,FALSE)</f>
        <v>나무증권 CMA</v>
      </c>
      <c r="E19" s="75"/>
      <c r="F19" s="7">
        <v>43500</v>
      </c>
      <c r="G19" s="8">
        <v>43500</v>
      </c>
      <c r="H19" s="8">
        <f>CMA_한투1838[[#This Row],[현금지출]]-CMA_한투1838[[#This Row],[매입액]]</f>
        <v>0</v>
      </c>
      <c r="I19" s="8"/>
      <c r="K19" s="7"/>
      <c r="M19" s="7">
        <v>0</v>
      </c>
      <c r="N19" s="8">
        <f>CMA_한투1838[[#This Row],[매도액]]-CMA_한투1838[[#This Row],[매도원금]]</f>
        <v>0</v>
      </c>
      <c r="O19" s="8">
        <f>CMA_한투1838[[#This Row],[매도액]]+CMA_한투1838[[#This Row],[이자배당액]]-CMA_한투1838[[#This Row],[현금수입]]</f>
        <v>0</v>
      </c>
      <c r="P19" s="8">
        <f>CMA_한투1838[[#This Row],[매매수익]]+CMA_한투1838[[#This Row],[이자배당액]]-CMA_한투1838[[#This Row],[매도비용]]-CMA_한투1838[[#This Row],[매입비용]]</f>
        <v>0</v>
      </c>
      <c r="Q19" s="8"/>
      <c r="R19" s="8">
        <f>CMA_한투1838[[#This Row],[입출금]]+CMA_한투1838[[#This Row],[현금수입]]-CMA_한투1838[[#This Row],[현금지출]]</f>
        <v>-43500</v>
      </c>
      <c r="S19" s="8">
        <f>SUM($R$2:R19)</f>
        <v>0</v>
      </c>
    </row>
    <row r="20" spans="1:19" x14ac:dyDescent="0.3">
      <c r="A20" s="3">
        <v>45035</v>
      </c>
      <c r="B20" s="87" t="s">
        <v>86</v>
      </c>
      <c r="C20" s="1" t="str">
        <f>VLOOKUP(CMA_한투1838[[#This Row],[종목코드]],표3[],2,FALSE)</f>
        <v>전년도주식</v>
      </c>
      <c r="D20" s="9" t="str">
        <f>VLOOKUP(CMA_한투1838[[#This Row],[종목코드]],표3[],4,FALSE)</f>
        <v>전년도 투자주식 배당기록 계정</v>
      </c>
      <c r="E20" s="75"/>
      <c r="F20" s="34"/>
      <c r="G20" s="35"/>
      <c r="H20" s="35">
        <f>CMA_한투1838[[#This Row],[현금지출]]-CMA_한투1838[[#This Row],[매입액]]</f>
        <v>0</v>
      </c>
      <c r="I20" s="35"/>
      <c r="J20" s="34"/>
      <c r="K20" s="34"/>
      <c r="L20" s="34">
        <v>28800</v>
      </c>
      <c r="M20" s="34">
        <v>24370</v>
      </c>
      <c r="N20" s="35">
        <f>CMA_한투1838[[#This Row],[매도액]]-CMA_한투1838[[#This Row],[매도원금]]</f>
        <v>0</v>
      </c>
      <c r="O20" s="35">
        <f>CMA_한투1838[[#This Row],[매도액]]+CMA_한투1838[[#This Row],[이자배당액]]-CMA_한투1838[[#This Row],[현금수입]]</f>
        <v>4430</v>
      </c>
      <c r="P20" s="35">
        <f>CMA_한투1838[[#This Row],[매매수익]]+CMA_한투1838[[#This Row],[이자배당액]]-CMA_한투1838[[#This Row],[매도비용]]-CMA_한투1838[[#This Row],[매입비용]]</f>
        <v>24370</v>
      </c>
      <c r="Q20" s="35"/>
      <c r="R20" s="35">
        <f>CMA_한투1838[[#This Row],[입출금]]+CMA_한투1838[[#This Row],[현금수입]]-CMA_한투1838[[#This Row],[현금지출]]</f>
        <v>24370</v>
      </c>
      <c r="S20" s="8">
        <f>SUM($R$2:R20)</f>
        <v>24370</v>
      </c>
    </row>
    <row r="21" spans="1:19" x14ac:dyDescent="0.3">
      <c r="A21" s="3">
        <v>45035</v>
      </c>
      <c r="B21" s="87" t="s">
        <v>82</v>
      </c>
      <c r="C21" s="1" t="str">
        <f>VLOOKUP(CMA_한투1838[[#This Row],[종목코드]],표3[],2,FALSE)</f>
        <v>나무CMA</v>
      </c>
      <c r="D21" s="9" t="str">
        <f>VLOOKUP(CMA_한투1838[[#This Row],[종목코드]],표3[],4,FALSE)</f>
        <v>나무증권 CMA</v>
      </c>
      <c r="E21" s="75"/>
      <c r="F21" s="7">
        <v>24370</v>
      </c>
      <c r="G21" s="8">
        <v>24370</v>
      </c>
      <c r="H21" s="8">
        <f>CMA_한투1838[[#This Row],[현금지출]]-CMA_한투1838[[#This Row],[매입액]]</f>
        <v>0</v>
      </c>
      <c r="I21" s="8"/>
      <c r="K21" s="7"/>
      <c r="M21" s="7">
        <v>0</v>
      </c>
      <c r="N21" s="8">
        <f>CMA_한투1838[[#This Row],[매도액]]-CMA_한투1838[[#This Row],[매도원금]]</f>
        <v>0</v>
      </c>
      <c r="O21" s="8">
        <f>CMA_한투1838[[#This Row],[매도액]]+CMA_한투1838[[#This Row],[이자배당액]]-CMA_한투1838[[#This Row],[현금수입]]</f>
        <v>0</v>
      </c>
      <c r="P21" s="8">
        <f>CMA_한투1838[[#This Row],[매매수익]]+CMA_한투1838[[#This Row],[이자배당액]]-CMA_한투1838[[#This Row],[매도비용]]-CMA_한투1838[[#This Row],[매입비용]]</f>
        <v>0</v>
      </c>
      <c r="Q21" s="8"/>
      <c r="R21" s="8">
        <f>CMA_한투1838[[#This Row],[입출금]]+CMA_한투1838[[#This Row],[현금수입]]-CMA_한투1838[[#This Row],[현금지출]]</f>
        <v>-24370</v>
      </c>
      <c r="S21" s="8">
        <f>SUM($R$2:R21)</f>
        <v>0</v>
      </c>
    </row>
    <row r="22" spans="1:19" x14ac:dyDescent="0.3">
      <c r="A22" s="3">
        <v>45037</v>
      </c>
      <c r="B22" s="87" t="s">
        <v>86</v>
      </c>
      <c r="C22" s="1" t="str">
        <f>VLOOKUP(CMA_한투1838[[#This Row],[종목코드]],표3[],2,FALSE)</f>
        <v>전년도주식</v>
      </c>
      <c r="D22" s="9" t="str">
        <f>VLOOKUP(CMA_한투1838[[#This Row],[종목코드]],표3[],4,FALSE)</f>
        <v>전년도 투자주식 배당기록 계정</v>
      </c>
      <c r="E22" s="75"/>
      <c r="F22" s="34"/>
      <c r="G22" s="35"/>
      <c r="H22" s="35">
        <f>CMA_한투1838[[#This Row],[현금지출]]-CMA_한투1838[[#This Row],[매입액]]</f>
        <v>0</v>
      </c>
      <c r="I22" s="35">
        <v>1</v>
      </c>
      <c r="J22" s="34"/>
      <c r="K22" s="34"/>
      <c r="L22" s="34">
        <f>4000+119640+38280+30800</f>
        <v>192720</v>
      </c>
      <c r="M22" s="34">
        <f>4000+119640+32400+26060</f>
        <v>182100</v>
      </c>
      <c r="N22" s="35">
        <f>CMA_한투1838[[#This Row],[매도액]]-CMA_한투1838[[#This Row],[매도원금]]</f>
        <v>0</v>
      </c>
      <c r="O22" s="35">
        <f>CMA_한투1838[[#This Row],[매도액]]+CMA_한투1838[[#This Row],[이자배당액]]-CMA_한투1838[[#This Row],[현금수입]]</f>
        <v>10620</v>
      </c>
      <c r="P22" s="35">
        <f>CMA_한투1838[[#This Row],[매매수익]]+CMA_한투1838[[#This Row],[이자배당액]]-CMA_한투1838[[#This Row],[매도비용]]-CMA_한투1838[[#This Row],[매입비용]]</f>
        <v>182100</v>
      </c>
      <c r="Q22" s="35"/>
      <c r="R22" s="35">
        <f>CMA_한투1838[[#This Row],[입출금]]+CMA_한투1838[[#This Row],[현금수입]]-CMA_한투1838[[#This Row],[현금지출]]</f>
        <v>182100</v>
      </c>
      <c r="S22" s="8">
        <f>SUM($R$2:R22)</f>
        <v>182100</v>
      </c>
    </row>
    <row r="23" spans="1:19" x14ac:dyDescent="0.3">
      <c r="A23" s="3">
        <v>45037</v>
      </c>
      <c r="B23" s="87" t="s">
        <v>82</v>
      </c>
      <c r="C23" s="1" t="str">
        <f>VLOOKUP(CMA_한투1838[[#This Row],[종목코드]],표3[],2,FALSE)</f>
        <v>나무CMA</v>
      </c>
      <c r="D23" s="9" t="str">
        <f>VLOOKUP(CMA_한투1838[[#This Row],[종목코드]],표3[],4,FALSE)</f>
        <v>나무증권 CMA</v>
      </c>
      <c r="E23" s="75"/>
      <c r="F23" s="7">
        <v>994193</v>
      </c>
      <c r="G23" s="8">
        <v>994193</v>
      </c>
      <c r="H23" s="8">
        <f>CMA_한투1838[[#This Row],[현금지출]]-CMA_한투1838[[#This Row],[매입액]]</f>
        <v>0</v>
      </c>
      <c r="I23" s="8"/>
      <c r="J23" s="7">
        <v>810716</v>
      </c>
      <c r="K23" s="7">
        <v>812333</v>
      </c>
      <c r="M23" s="7">
        <v>812093</v>
      </c>
      <c r="N23" s="8">
        <f>CMA_한투1838[[#This Row],[매도액]]-CMA_한투1838[[#This Row],[매도원금]]</f>
        <v>1617</v>
      </c>
      <c r="O23" s="8">
        <f>CMA_한투1838[[#This Row],[매도액]]+CMA_한투1838[[#This Row],[이자배당액]]-CMA_한투1838[[#This Row],[현금수입]]</f>
        <v>240</v>
      </c>
      <c r="P23" s="8">
        <f>CMA_한투1838[[#This Row],[매매수익]]+CMA_한투1838[[#This Row],[이자배당액]]-CMA_한투1838[[#This Row],[매도비용]]-CMA_한투1838[[#This Row],[매입비용]]</f>
        <v>1377</v>
      </c>
      <c r="Q23" s="8"/>
      <c r="R23" s="8">
        <f>CMA_한투1838[[#This Row],[입출금]]+CMA_한투1838[[#This Row],[현금수입]]-CMA_한투1838[[#This Row],[현금지출]]</f>
        <v>-182100</v>
      </c>
      <c r="S23" s="8">
        <f>SUM($R$2:R23)</f>
        <v>0</v>
      </c>
    </row>
    <row r="24" spans="1:19" x14ac:dyDescent="0.3">
      <c r="A24" s="3">
        <v>45044</v>
      </c>
      <c r="B24" s="87" t="s">
        <v>82</v>
      </c>
      <c r="C24" s="1" t="str">
        <f>VLOOKUP(CMA_한투1838[[#This Row],[종목코드]],표3[],2,FALSE)</f>
        <v>나무CMA</v>
      </c>
      <c r="D24" s="9" t="str">
        <f>VLOOKUP(CMA_한투1838[[#This Row],[종목코드]],표3[],4,FALSE)</f>
        <v>나무증권 CMA</v>
      </c>
      <c r="E24" s="75"/>
      <c r="F24" s="7">
        <v>2003634</v>
      </c>
      <c r="G24" s="8">
        <v>2003634</v>
      </c>
      <c r="H24" s="8">
        <f>CMA_한투1838[[#This Row],[현금지출]]-CMA_한투1838[[#This Row],[매입액]]</f>
        <v>0</v>
      </c>
      <c r="I24" s="8"/>
      <c r="J24" s="7">
        <v>2000000</v>
      </c>
      <c r="K24" s="7">
        <v>2004274</v>
      </c>
      <c r="M24" s="7">
        <v>2003634</v>
      </c>
      <c r="N24" s="8">
        <f>CMA_한투1838[[#This Row],[매도액]]-CMA_한투1838[[#This Row],[매도원금]]</f>
        <v>4274</v>
      </c>
      <c r="O24" s="8">
        <f>CMA_한투1838[[#This Row],[매도액]]+CMA_한투1838[[#This Row],[이자배당액]]-CMA_한투1838[[#This Row],[현금수입]]</f>
        <v>640</v>
      </c>
      <c r="P24" s="8">
        <f>CMA_한투1838[[#This Row],[매매수익]]+CMA_한투1838[[#This Row],[이자배당액]]-CMA_한투1838[[#This Row],[매도비용]]-CMA_한투1838[[#This Row],[매입비용]]</f>
        <v>3634</v>
      </c>
      <c r="Q24" s="8"/>
      <c r="R24" s="8">
        <f>CMA_한투1838[[#This Row],[입출금]]+CMA_한투1838[[#This Row],[현금수입]]-CMA_한투1838[[#This Row],[현금지출]]</f>
        <v>0</v>
      </c>
      <c r="S24" s="8">
        <f>SUM($R$2:R24)</f>
        <v>0</v>
      </c>
    </row>
    <row r="25" spans="1:19" x14ac:dyDescent="0.3">
      <c r="A25" s="3">
        <v>45048</v>
      </c>
      <c r="B25" s="87" t="s">
        <v>82</v>
      </c>
      <c r="C25" s="1" t="str">
        <f>VLOOKUP(CMA_한투1838[[#This Row],[종목코드]],표3[],2,FALSE)</f>
        <v>나무CMA</v>
      </c>
      <c r="D25" s="9" t="str">
        <f>VLOOKUP(CMA_한투1838[[#This Row],[종목코드]],표3[],4,FALSE)</f>
        <v>나무증권 CMA</v>
      </c>
      <c r="E25" s="75"/>
      <c r="F25" s="7">
        <v>10232674</v>
      </c>
      <c r="G25" s="8">
        <v>10232674</v>
      </c>
      <c r="H25" s="8">
        <f>CMA_한투1838[[#This Row],[현금지출]]-CMA_한투1838[[#This Row],[매입액]]</f>
        <v>0</v>
      </c>
      <c r="I25" s="8"/>
      <c r="K25" s="7"/>
      <c r="M25" s="7">
        <v>0</v>
      </c>
      <c r="N25" s="8">
        <f>CMA_한투1838[[#This Row],[매도액]]-CMA_한투1838[[#This Row],[매도원금]]</f>
        <v>0</v>
      </c>
      <c r="O25" s="8">
        <f>CMA_한투1838[[#This Row],[매도액]]+CMA_한투1838[[#This Row],[이자배당액]]-CMA_한투1838[[#This Row],[현금수입]]</f>
        <v>0</v>
      </c>
      <c r="P25" s="8">
        <f>CMA_한투1838[[#This Row],[매매수익]]+CMA_한투1838[[#This Row],[이자배당액]]-CMA_한투1838[[#This Row],[매도비용]]-CMA_한투1838[[#This Row],[매입비용]]</f>
        <v>0</v>
      </c>
      <c r="Q25" s="8">
        <v>10232674</v>
      </c>
      <c r="R25" s="8">
        <f>CMA_한투1838[[#This Row],[입출금]]+CMA_한투1838[[#This Row],[현금수입]]-CMA_한투1838[[#This Row],[현금지출]]</f>
        <v>0</v>
      </c>
      <c r="S25" s="8">
        <f>SUM($R$2:R25)</f>
        <v>0</v>
      </c>
    </row>
    <row r="26" spans="1:19" x14ac:dyDescent="0.3">
      <c r="A26" s="3">
        <v>45056</v>
      </c>
      <c r="B26" s="87" t="s">
        <v>82</v>
      </c>
      <c r="C26" s="1" t="str">
        <f>VLOOKUP(CMA_한투1838[[#This Row],[종목코드]],표3[],2,FALSE)</f>
        <v>나무CMA</v>
      </c>
      <c r="D26" s="9" t="str">
        <f>VLOOKUP(CMA_한투1838[[#This Row],[종목코드]],표3[],4,FALSE)</f>
        <v>나무증권 CMA</v>
      </c>
      <c r="E26" s="75"/>
      <c r="F26" s="7">
        <v>50200</v>
      </c>
      <c r="G26" s="8">
        <v>50200</v>
      </c>
      <c r="H26" s="8">
        <f>CMA_한투1838[[#This Row],[현금지출]]-CMA_한투1838[[#This Row],[매입액]]</f>
        <v>0</v>
      </c>
      <c r="I26" s="8"/>
      <c r="J26" s="7">
        <v>50102</v>
      </c>
      <c r="K26" s="7">
        <v>50210</v>
      </c>
      <c r="M26" s="7">
        <v>50200</v>
      </c>
      <c r="N26" s="8">
        <f>CMA_한투1838[[#This Row],[매도액]]-CMA_한투1838[[#This Row],[매도원금]]</f>
        <v>108</v>
      </c>
      <c r="O26" s="8">
        <f>CMA_한투1838[[#This Row],[매도액]]+CMA_한투1838[[#This Row],[이자배당액]]-CMA_한투1838[[#This Row],[현금수입]]</f>
        <v>10</v>
      </c>
      <c r="P26" s="8">
        <f>CMA_한투1838[[#This Row],[매매수익]]+CMA_한투1838[[#This Row],[이자배당액]]-CMA_한투1838[[#This Row],[매도비용]]-CMA_한투1838[[#This Row],[매입비용]]</f>
        <v>98</v>
      </c>
      <c r="Q26" s="8"/>
      <c r="R26" s="8">
        <f>CMA_한투1838[[#This Row],[입출금]]+CMA_한투1838[[#This Row],[현금수입]]-CMA_한투1838[[#This Row],[현금지출]]</f>
        <v>0</v>
      </c>
      <c r="S26" s="8">
        <f>SUM($R$2:R26)</f>
        <v>0</v>
      </c>
    </row>
    <row r="27" spans="1:19" x14ac:dyDescent="0.3">
      <c r="A27" s="3">
        <v>45058</v>
      </c>
      <c r="B27" s="87" t="s">
        <v>82</v>
      </c>
      <c r="C27" s="1" t="str">
        <f>VLOOKUP(CMA_한투1838[[#This Row],[종목코드]],표3[],2,FALSE)</f>
        <v>나무CMA</v>
      </c>
      <c r="D27" s="9" t="str">
        <f>VLOOKUP(CMA_한투1838[[#This Row],[종목코드]],표3[],4,FALSE)</f>
        <v>나무증권 CMA</v>
      </c>
      <c r="E27" s="75"/>
      <c r="F27" s="7">
        <v>41665</v>
      </c>
      <c r="G27" s="8">
        <v>41665</v>
      </c>
      <c r="H27" s="8">
        <f>CMA_한투1838[[#This Row],[현금지출]]-CMA_한투1838[[#This Row],[매입액]]</f>
        <v>0</v>
      </c>
      <c r="I27" s="8"/>
      <c r="J27" s="7">
        <v>41592</v>
      </c>
      <c r="K27" s="7">
        <v>41675</v>
      </c>
      <c r="M27" s="7">
        <v>41665</v>
      </c>
      <c r="N27" s="8">
        <f>CMA_한투1838[[#This Row],[매도액]]-CMA_한투1838[[#This Row],[매도원금]]</f>
        <v>83</v>
      </c>
      <c r="O27" s="8">
        <f>CMA_한투1838[[#This Row],[매도액]]+CMA_한투1838[[#This Row],[이자배당액]]-CMA_한투1838[[#This Row],[현금수입]]</f>
        <v>10</v>
      </c>
      <c r="P27" s="8">
        <f>CMA_한투1838[[#This Row],[매매수익]]+CMA_한투1838[[#This Row],[이자배당액]]-CMA_한투1838[[#This Row],[매도비용]]-CMA_한투1838[[#This Row],[매입비용]]</f>
        <v>73</v>
      </c>
      <c r="Q27" s="8"/>
      <c r="R27" s="8">
        <f>CMA_한투1838[[#This Row],[입출금]]+CMA_한투1838[[#This Row],[현금수입]]-CMA_한투1838[[#This Row],[현금지출]]</f>
        <v>0</v>
      </c>
      <c r="S27" s="8">
        <f>SUM($R$2:R27)</f>
        <v>0</v>
      </c>
    </row>
    <row r="28" spans="1:19" x14ac:dyDescent="0.3">
      <c r="A28" s="3">
        <v>45064</v>
      </c>
      <c r="B28" s="87" t="s">
        <v>82</v>
      </c>
      <c r="C28" s="1" t="str">
        <f>VLOOKUP(CMA_한투1838[[#This Row],[종목코드]],표3[],2,FALSE)</f>
        <v>나무CMA</v>
      </c>
      <c r="D28" s="9" t="str">
        <f>VLOOKUP(CMA_한투1838[[#This Row],[종목코드]],표3[],4,FALSE)</f>
        <v>나무증권 CMA</v>
      </c>
      <c r="E28" s="75"/>
      <c r="F28" s="7">
        <v>43583</v>
      </c>
      <c r="G28" s="8">
        <v>43583</v>
      </c>
      <c r="H28" s="8">
        <f>CMA_한투1838[[#This Row],[현금지출]]-CMA_한투1838[[#This Row],[매입액]]</f>
        <v>0</v>
      </c>
      <c r="I28" s="8"/>
      <c r="J28" s="7">
        <v>43500</v>
      </c>
      <c r="K28" s="7">
        <v>43593</v>
      </c>
      <c r="M28" s="7">
        <v>43583</v>
      </c>
      <c r="N28" s="8">
        <f>CMA_한투1838[[#This Row],[매도액]]-CMA_한투1838[[#This Row],[매도원금]]</f>
        <v>93</v>
      </c>
      <c r="O28" s="8">
        <f>CMA_한투1838[[#This Row],[매도액]]+CMA_한투1838[[#This Row],[이자배당액]]-CMA_한투1838[[#This Row],[현금수입]]</f>
        <v>10</v>
      </c>
      <c r="P28" s="8">
        <f>CMA_한투1838[[#This Row],[매매수익]]+CMA_한투1838[[#This Row],[이자배당액]]-CMA_한투1838[[#This Row],[매도비용]]-CMA_한투1838[[#This Row],[매입비용]]</f>
        <v>83</v>
      </c>
      <c r="Q28" s="8"/>
      <c r="R28" s="8">
        <f>CMA_한투1838[[#This Row],[입출금]]+CMA_한투1838[[#This Row],[현금수입]]-CMA_한투1838[[#This Row],[현금지출]]</f>
        <v>0</v>
      </c>
      <c r="S28" s="8">
        <f>SUM($R$2:R28)</f>
        <v>0</v>
      </c>
    </row>
    <row r="29" spans="1:19" x14ac:dyDescent="0.3">
      <c r="A29" s="3">
        <v>45065</v>
      </c>
      <c r="B29" s="87" t="s">
        <v>82</v>
      </c>
      <c r="C29" s="1" t="str">
        <f>VLOOKUP(CMA_한투1838[[#This Row],[종목코드]],표3[],2,FALSE)</f>
        <v>나무CMA</v>
      </c>
      <c r="D29" s="9" t="str">
        <f>VLOOKUP(CMA_한투1838[[#This Row],[종목코드]],표3[],4,FALSE)</f>
        <v>나무증권 CMA</v>
      </c>
      <c r="E29" s="75"/>
      <c r="F29" s="7">
        <v>6020310</v>
      </c>
      <c r="G29" s="8">
        <v>6020310</v>
      </c>
      <c r="H29" s="8">
        <f>CMA_한투1838[[#This Row],[현금지출]]-CMA_한투1838[[#This Row],[매입액]]</f>
        <v>0</v>
      </c>
      <c r="I29" s="8"/>
      <c r="J29" s="7">
        <f>994193+24370</f>
        <v>1018563</v>
      </c>
      <c r="K29" s="7">
        <v>1020599</v>
      </c>
      <c r="M29" s="7">
        <f>995886+24423</f>
        <v>1020309</v>
      </c>
      <c r="N29" s="8">
        <f>CMA_한투1838[[#This Row],[매도액]]-CMA_한투1838[[#This Row],[매도원금]]</f>
        <v>2036</v>
      </c>
      <c r="O29" s="8">
        <f>CMA_한투1838[[#This Row],[매도액]]+CMA_한투1838[[#This Row],[이자배당액]]-CMA_한투1838[[#This Row],[현금수입]]</f>
        <v>290</v>
      </c>
      <c r="P29" s="8">
        <f>CMA_한투1838[[#This Row],[매매수익]]+CMA_한투1838[[#This Row],[이자배당액]]-CMA_한투1838[[#This Row],[매도비용]]-CMA_한투1838[[#This Row],[매입비용]]</f>
        <v>1746</v>
      </c>
      <c r="Q29" s="8">
        <v>5000001</v>
      </c>
      <c r="R29" s="8">
        <f>CMA_한투1838[[#This Row],[입출금]]+CMA_한투1838[[#This Row],[현금수입]]-CMA_한투1838[[#This Row],[현금지출]]</f>
        <v>0</v>
      </c>
      <c r="S29" s="8">
        <f>SUM($R$2:R29)</f>
        <v>0</v>
      </c>
    </row>
    <row r="30" spans="1:19" x14ac:dyDescent="0.3">
      <c r="A30" s="3">
        <v>45072</v>
      </c>
      <c r="B30" s="87" t="s">
        <v>82</v>
      </c>
      <c r="C30" s="1" t="str">
        <f>VLOOKUP(CMA_한투1838[[#This Row],[종목코드]],표3[],2,FALSE)</f>
        <v>나무CMA</v>
      </c>
      <c r="D30" s="9" t="str">
        <f>VLOOKUP(CMA_한투1838[[#This Row],[종목코드]],표3[],4,FALSE)</f>
        <v>나무증권 CMA</v>
      </c>
      <c r="E30" s="75"/>
      <c r="F30" s="7">
        <v>2007031</v>
      </c>
      <c r="G30" s="8">
        <v>2007031</v>
      </c>
      <c r="H30" s="8">
        <f>CMA_한투1838[[#This Row],[현금지출]]-CMA_한투1838[[#This Row],[매입액]]</f>
        <v>0</v>
      </c>
      <c r="I30" s="8"/>
      <c r="J30" s="7">
        <v>2003634</v>
      </c>
      <c r="K30" s="7">
        <v>2007631</v>
      </c>
      <c r="M30" s="7">
        <v>2007031</v>
      </c>
      <c r="N30" s="8">
        <f>CMA_한투1838[[#This Row],[매도액]]-CMA_한투1838[[#This Row],[매도원금]]</f>
        <v>3997</v>
      </c>
      <c r="O30" s="8">
        <f>CMA_한투1838[[#This Row],[매도액]]+CMA_한투1838[[#This Row],[이자배당액]]-CMA_한투1838[[#This Row],[현금수입]]</f>
        <v>600</v>
      </c>
      <c r="P30" s="8">
        <f>CMA_한투1838[[#This Row],[매매수익]]+CMA_한투1838[[#This Row],[이자배당액]]-CMA_한투1838[[#This Row],[매도비용]]-CMA_한투1838[[#This Row],[매입비용]]</f>
        <v>3397</v>
      </c>
      <c r="Q30" s="8"/>
      <c r="R30" s="8">
        <f>CMA_한투1838[[#This Row],[입출금]]+CMA_한투1838[[#This Row],[현금수입]]-CMA_한투1838[[#This Row],[현금지출]]</f>
        <v>0</v>
      </c>
      <c r="S30" s="8">
        <f>SUM($R$2:R30)</f>
        <v>0</v>
      </c>
    </row>
    <row r="31" spans="1:19" x14ac:dyDescent="0.3">
      <c r="A31" s="3">
        <v>45078</v>
      </c>
      <c r="B31" s="87" t="s">
        <v>82</v>
      </c>
      <c r="C31" s="1" t="str">
        <f>VLOOKUP(CMA_한투1838[[#This Row],[종목코드]],표3[],2,FALSE)</f>
        <v>나무CMA</v>
      </c>
      <c r="D31" s="9" t="str">
        <f>VLOOKUP(CMA_한투1838[[#This Row],[종목코드]],표3[],4,FALSE)</f>
        <v>나무증권 CMA</v>
      </c>
      <c r="E31" s="75"/>
      <c r="F31" s="7">
        <v>4251182</v>
      </c>
      <c r="G31" s="8">
        <v>4251182</v>
      </c>
      <c r="H31" s="8">
        <f>CMA_한투1838[[#This Row],[현금지출]]-CMA_한투1838[[#This Row],[매입액]]</f>
        <v>0</v>
      </c>
      <c r="I31" s="8"/>
      <c r="J31" s="7">
        <v>10232674</v>
      </c>
      <c r="K31" s="7">
        <v>10254542</v>
      </c>
      <c r="M31" s="7">
        <v>10251182</v>
      </c>
      <c r="N31" s="8">
        <f>CMA_한투1838[[#This Row],[매도액]]-CMA_한투1838[[#This Row],[매도원금]]</f>
        <v>21868</v>
      </c>
      <c r="O31" s="8">
        <f>CMA_한투1838[[#This Row],[매도액]]+CMA_한투1838[[#This Row],[이자배당액]]-CMA_한투1838[[#This Row],[현금수입]]</f>
        <v>3360</v>
      </c>
      <c r="P31" s="8">
        <f>CMA_한투1838[[#This Row],[매매수익]]+CMA_한투1838[[#This Row],[이자배당액]]-CMA_한투1838[[#This Row],[매도비용]]-CMA_한투1838[[#This Row],[매입비용]]</f>
        <v>18508</v>
      </c>
      <c r="Q31" s="8">
        <v>-6000000</v>
      </c>
      <c r="R31" s="8">
        <f>CMA_한투1838[[#This Row],[입출금]]+CMA_한투1838[[#This Row],[현금수입]]-CMA_한투1838[[#This Row],[현금지출]]</f>
        <v>0</v>
      </c>
      <c r="S31" s="8">
        <f>SUM($R$2:R31)</f>
        <v>0</v>
      </c>
    </row>
    <row r="32" spans="1:19" x14ac:dyDescent="0.3">
      <c r="A32" s="3">
        <v>45086</v>
      </c>
      <c r="B32" s="87" t="s">
        <v>82</v>
      </c>
      <c r="C32" s="1" t="str">
        <f>VLOOKUP(CMA_한투1838[[#This Row],[종목코드]],표3[],2,FALSE)</f>
        <v>나무CMA</v>
      </c>
      <c r="D32" s="9" t="str">
        <f>VLOOKUP(CMA_한투1838[[#This Row],[종목코드]],표3[],4,FALSE)</f>
        <v>나무증권 CMA</v>
      </c>
      <c r="E32" s="75"/>
      <c r="F32" s="7">
        <v>92037</v>
      </c>
      <c r="G32" s="8">
        <v>92037</v>
      </c>
      <c r="H32" s="8">
        <f>CMA_한투1838[[#This Row],[현금지출]]-CMA_한투1838[[#This Row],[매입액]]</f>
        <v>0</v>
      </c>
      <c r="I32" s="8"/>
      <c r="J32" s="7">
        <f>50200+41665</f>
        <v>91865</v>
      </c>
      <c r="K32" s="7">
        <v>92057</v>
      </c>
      <c r="M32" s="7">
        <f>50298+41739</f>
        <v>92037</v>
      </c>
      <c r="N32" s="8">
        <f>CMA_한투1838[[#This Row],[매도액]]-CMA_한투1838[[#This Row],[매도원금]]</f>
        <v>192</v>
      </c>
      <c r="O32" s="8">
        <f>CMA_한투1838[[#This Row],[매도액]]+CMA_한투1838[[#This Row],[이자배당액]]-CMA_한투1838[[#This Row],[현금수입]]</f>
        <v>20</v>
      </c>
      <c r="P32" s="8">
        <f>CMA_한투1838[[#This Row],[매매수익]]+CMA_한투1838[[#This Row],[이자배당액]]-CMA_한투1838[[#This Row],[매도비용]]-CMA_한투1838[[#This Row],[매입비용]]</f>
        <v>172</v>
      </c>
      <c r="Q32" s="8"/>
      <c r="R32" s="8">
        <f>CMA_한투1838[[#This Row],[입출금]]+CMA_한투1838[[#This Row],[현금수입]]-CMA_한투1838[[#This Row],[현금지출]]</f>
        <v>0</v>
      </c>
      <c r="S32" s="8">
        <f>SUM($R$2:R32)</f>
        <v>0</v>
      </c>
    </row>
    <row r="33" spans="1:19" x14ac:dyDescent="0.3">
      <c r="A33" s="3">
        <v>45093</v>
      </c>
      <c r="B33" s="87" t="s">
        <v>82</v>
      </c>
      <c r="C33" s="1" t="str">
        <f>VLOOKUP(CMA_한투1838[[#This Row],[종목코드]],표3[],2,FALSE)</f>
        <v>나무CMA</v>
      </c>
      <c r="D33" s="9" t="str">
        <f>VLOOKUP(CMA_한투1838[[#This Row],[종목코드]],표3[],4,FALSE)</f>
        <v>나무증권 CMA</v>
      </c>
      <c r="E33" s="75"/>
      <c r="F33" s="7">
        <v>6074142</v>
      </c>
      <c r="G33" s="8">
        <v>6074142</v>
      </c>
      <c r="H33" s="8">
        <f>CMA_한투1838[[#This Row],[현금지출]]-CMA_한투1838[[#This Row],[매입액]]</f>
        <v>0</v>
      </c>
      <c r="I33" s="8"/>
      <c r="J33" s="7">
        <f>6020310+43583</f>
        <v>6063893</v>
      </c>
      <c r="K33" s="7">
        <v>6075992</v>
      </c>
      <c r="M33" s="7">
        <f>6030478+43664</f>
        <v>6074142</v>
      </c>
      <c r="N33" s="8">
        <f>CMA_한투1838[[#This Row],[매도액]]-CMA_한투1838[[#This Row],[매도원금]]</f>
        <v>12099</v>
      </c>
      <c r="O33" s="8">
        <f>CMA_한투1838[[#This Row],[매도액]]+CMA_한투1838[[#This Row],[이자배당액]]-CMA_한투1838[[#This Row],[현금수입]]</f>
        <v>1850</v>
      </c>
      <c r="P33" s="8">
        <f>CMA_한투1838[[#This Row],[매매수익]]+CMA_한투1838[[#This Row],[이자배당액]]-CMA_한투1838[[#This Row],[매도비용]]-CMA_한투1838[[#This Row],[매입비용]]</f>
        <v>10249</v>
      </c>
      <c r="Q33" s="8"/>
      <c r="R33" s="8">
        <f>CMA_한투1838[[#This Row],[입출금]]+CMA_한투1838[[#This Row],[현금수입]]-CMA_한투1838[[#This Row],[현금지출]]</f>
        <v>0</v>
      </c>
      <c r="S33" s="8">
        <f>SUM($R$2:R33)</f>
        <v>0</v>
      </c>
    </row>
    <row r="34" spans="1:19" x14ac:dyDescent="0.3">
      <c r="A34" s="3">
        <v>45100</v>
      </c>
      <c r="B34" s="87" t="s">
        <v>82</v>
      </c>
      <c r="C34" s="1" t="str">
        <f>VLOOKUP(CMA_한투1838[[#This Row],[종목코드]],표3[],2,FALSE)</f>
        <v>나무CMA</v>
      </c>
      <c r="D34" s="9" t="str">
        <f>VLOOKUP(CMA_한투1838[[#This Row],[종목코드]],표3[],4,FALSE)</f>
        <v>나무증권 CMA</v>
      </c>
      <c r="E34" s="75"/>
      <c r="F34" s="7">
        <v>2010425</v>
      </c>
      <c r="G34" s="8">
        <v>2010425</v>
      </c>
      <c r="H34" s="8">
        <f>CMA_한투1838[[#This Row],[현금지출]]-CMA_한투1838[[#This Row],[매입액]]</f>
        <v>0</v>
      </c>
      <c r="I34" s="8"/>
      <c r="J34" s="7">
        <v>2007031</v>
      </c>
      <c r="K34" s="7">
        <v>2011035</v>
      </c>
      <c r="M34" s="7">
        <v>2010425</v>
      </c>
      <c r="N34" s="8">
        <f>CMA_한투1838[[#This Row],[매도액]]-CMA_한투1838[[#This Row],[매도원금]]</f>
        <v>4004</v>
      </c>
      <c r="O34" s="8">
        <f>CMA_한투1838[[#This Row],[매도액]]+CMA_한투1838[[#This Row],[이자배당액]]-CMA_한투1838[[#This Row],[현금수입]]</f>
        <v>610</v>
      </c>
      <c r="P34" s="8">
        <f>CMA_한투1838[[#This Row],[매매수익]]+CMA_한투1838[[#This Row],[이자배당액]]-CMA_한투1838[[#This Row],[매도비용]]-CMA_한투1838[[#This Row],[매입비용]]</f>
        <v>3394</v>
      </c>
      <c r="Q34" s="8"/>
      <c r="R34" s="8">
        <f>CMA_한투1838[[#This Row],[입출금]]+CMA_한투1838[[#This Row],[현금수입]]-CMA_한투1838[[#This Row],[현금지출]]</f>
        <v>0</v>
      </c>
      <c r="S34" s="8">
        <f>SUM($R$2:R34)</f>
        <v>0</v>
      </c>
    </row>
    <row r="35" spans="1:19" x14ac:dyDescent="0.3">
      <c r="A35" s="3">
        <v>45104</v>
      </c>
      <c r="B35" s="87" t="s">
        <v>82</v>
      </c>
      <c r="C35" s="1" t="str">
        <f>VLOOKUP(CMA_한투1838[[#This Row],[종목코드]],표3[],2,FALSE)</f>
        <v>나무CMA</v>
      </c>
      <c r="D35" s="9" t="str">
        <f>VLOOKUP(CMA_한투1838[[#This Row],[종목코드]],표3[],4,FALSE)</f>
        <v>나무증권 CMA</v>
      </c>
      <c r="E35" s="75"/>
      <c r="G35" s="8"/>
      <c r="H35" s="8">
        <f>CMA_한투1838[[#This Row],[현금지출]]-CMA_한투1838[[#This Row],[매입액]]</f>
        <v>0</v>
      </c>
      <c r="I35" s="8"/>
      <c r="J35" s="7">
        <f>4251182+92037+6074142+1556427</f>
        <v>11973788</v>
      </c>
      <c r="K35" s="7">
        <v>12001910</v>
      </c>
      <c r="M35" s="7">
        <f>4257603+92141+6078019+1556804+15433</f>
        <v>12000000</v>
      </c>
      <c r="N35" s="8">
        <f>CMA_한투1838[[#This Row],[매도액]]-CMA_한투1838[[#This Row],[매도원금]]</f>
        <v>28122</v>
      </c>
      <c r="O35" s="8">
        <f>CMA_한투1838[[#This Row],[매도액]]+CMA_한투1838[[#This Row],[이자배당액]]-CMA_한투1838[[#This Row],[현금수입]]</f>
        <v>1910</v>
      </c>
      <c r="P35" s="8">
        <f>CMA_한투1838[[#This Row],[매매수익]]+CMA_한투1838[[#This Row],[이자배당액]]-CMA_한투1838[[#This Row],[매도비용]]-CMA_한투1838[[#This Row],[매입비용]]</f>
        <v>26212</v>
      </c>
      <c r="Q35" s="8">
        <v>-12000000</v>
      </c>
      <c r="R35" s="8">
        <f>CMA_한투1838[[#This Row],[입출금]]+CMA_한투1838[[#This Row],[현금수입]]-CMA_한투1838[[#This Row],[현금지출]]</f>
        <v>0</v>
      </c>
      <c r="S35" s="8">
        <f>SUM($R$2:R35)</f>
        <v>0</v>
      </c>
    </row>
    <row r="36" spans="1:19" x14ac:dyDescent="0.3">
      <c r="A36" s="3">
        <v>45128</v>
      </c>
      <c r="B36" s="87" t="s">
        <v>82</v>
      </c>
      <c r="C36" s="1" t="str">
        <f>VLOOKUP(CMA_한투1838[[#This Row],[종목코드]],표3[],2,FALSE)</f>
        <v>나무CMA</v>
      </c>
      <c r="D36" s="9" t="str">
        <f>VLOOKUP(CMA_한투1838[[#This Row],[종목코드]],표3[],4,FALSE)</f>
        <v>나무증권 CMA</v>
      </c>
      <c r="E36" s="75"/>
      <c r="F36" s="7">
        <v>454813</v>
      </c>
      <c r="G36" s="7">
        <v>454813</v>
      </c>
      <c r="H36" s="35">
        <f>CMA_한투1838[[#This Row],[현금지출]]-CMA_한투1838[[#This Row],[매입액]]</f>
        <v>0</v>
      </c>
      <c r="I36" s="35"/>
      <c r="J36" s="34">
        <v>453998</v>
      </c>
      <c r="K36" s="34">
        <v>454869</v>
      </c>
      <c r="L36" s="34">
        <v>74</v>
      </c>
      <c r="M36" s="34">
        <f>454739+74</f>
        <v>454813</v>
      </c>
      <c r="N36" s="35">
        <f>CMA_한투1838[[#This Row],[매도액]]-CMA_한투1838[[#This Row],[매도원금]]</f>
        <v>871</v>
      </c>
      <c r="O36" s="35">
        <f>CMA_한투1838[[#This Row],[매도액]]+CMA_한투1838[[#This Row],[이자배당액]]-CMA_한투1838[[#This Row],[현금수입]]</f>
        <v>130</v>
      </c>
      <c r="P36" s="35">
        <f>CMA_한투1838[[#This Row],[매매수익]]+CMA_한투1838[[#This Row],[이자배당액]]-CMA_한투1838[[#This Row],[매도비용]]-CMA_한투1838[[#This Row],[매입비용]]</f>
        <v>815</v>
      </c>
      <c r="Q36" s="35"/>
      <c r="R36" s="35">
        <f>CMA_한투1838[[#This Row],[입출금]]+CMA_한투1838[[#This Row],[현금수입]]-CMA_한투1838[[#This Row],[현금지출]]</f>
        <v>0</v>
      </c>
      <c r="S36" s="8">
        <f>SUM($R$2:R36)</f>
        <v>0</v>
      </c>
    </row>
    <row r="37" spans="1:19" x14ac:dyDescent="0.3">
      <c r="A37" s="3">
        <v>45156</v>
      </c>
      <c r="B37" s="87" t="s">
        <v>82</v>
      </c>
      <c r="C37" s="1" t="str">
        <f>VLOOKUP(CMA_한투1838[[#This Row],[종목코드]],표3[],2,FALSE)</f>
        <v>나무CMA</v>
      </c>
      <c r="D37" s="9" t="str">
        <f>VLOOKUP(CMA_한투1838[[#This Row],[종목코드]],표3[],4,FALSE)</f>
        <v>나무증권 CMA</v>
      </c>
      <c r="E37" s="75"/>
      <c r="F37" s="40">
        <v>455556</v>
      </c>
      <c r="G37" s="41">
        <v>455556</v>
      </c>
      <c r="H37" s="41">
        <f>CMA_한투1838[[#This Row],[현금지출]]-CMA_한투1838[[#This Row],[매입액]]</f>
        <v>0</v>
      </c>
      <c r="I37" s="41"/>
      <c r="J37" s="7">
        <v>454813</v>
      </c>
      <c r="K37" s="40">
        <v>455686</v>
      </c>
      <c r="L37" s="40"/>
      <c r="M37" s="40">
        <v>455556</v>
      </c>
      <c r="N37" s="41">
        <f>CMA_한투1838[[#This Row],[매도액]]-CMA_한투1838[[#This Row],[매도원금]]</f>
        <v>873</v>
      </c>
      <c r="O37" s="41">
        <f>CMA_한투1838[[#This Row],[매도액]]+CMA_한투1838[[#This Row],[이자배당액]]-CMA_한투1838[[#This Row],[현금수입]]</f>
        <v>130</v>
      </c>
      <c r="P37" s="41">
        <f>CMA_한투1838[[#This Row],[매매수익]]+CMA_한투1838[[#This Row],[이자배당액]]-CMA_한투1838[[#This Row],[매도비용]]-CMA_한투1838[[#This Row],[매입비용]]</f>
        <v>743</v>
      </c>
      <c r="Q37" s="41"/>
      <c r="R37" s="41">
        <f>CMA_한투1838[[#This Row],[입출금]]+CMA_한투1838[[#This Row],[현금수입]]-CMA_한투1838[[#This Row],[현금지출]]</f>
        <v>0</v>
      </c>
      <c r="S37" s="8">
        <f>SUM($R$2:R37)</f>
        <v>0</v>
      </c>
    </row>
    <row r="38" spans="1:19" x14ac:dyDescent="0.3">
      <c r="A38" s="3">
        <v>45161</v>
      </c>
      <c r="B38" s="87" t="s">
        <v>81</v>
      </c>
      <c r="C38" s="1" t="str">
        <f>VLOOKUP(CMA_한투1838[[#This Row],[종목코드]],표3[],2,FALSE)</f>
        <v>나무원화발행어음</v>
      </c>
      <c r="D38" s="9" t="str">
        <f>VLOOKUP(CMA_한투1838[[#This Row],[종목코드]],표3[],4,FALSE)</f>
        <v>나무증권 발행어음</v>
      </c>
      <c r="E38" s="75"/>
      <c r="G38" s="8"/>
      <c r="H38" s="8">
        <f>CMA_한투1838[[#This Row],[현금지출]]-CMA_한투1838[[#This Row],[매입액]]</f>
        <v>0</v>
      </c>
      <c r="I38" s="8">
        <v>1</v>
      </c>
      <c r="J38" s="7">
        <v>10000000</v>
      </c>
      <c r="K38" s="7">
        <v>10000000</v>
      </c>
      <c r="L38" s="7">
        <v>415000</v>
      </c>
      <c r="M38" s="7">
        <v>10351090</v>
      </c>
      <c r="N38" s="8">
        <f>CMA_한투1838[[#This Row],[매도액]]-CMA_한투1838[[#This Row],[매도원금]]</f>
        <v>0</v>
      </c>
      <c r="O38" s="8">
        <f>CMA_한투1838[[#This Row],[매도액]]+CMA_한투1838[[#This Row],[이자배당액]]-CMA_한투1838[[#This Row],[현금수입]]</f>
        <v>63910</v>
      </c>
      <c r="P38" s="8">
        <f>CMA_한투1838[[#This Row],[매매수익]]+CMA_한투1838[[#This Row],[이자배당액]]-CMA_한투1838[[#This Row],[매도비용]]-CMA_한투1838[[#This Row],[매입비용]]</f>
        <v>351090</v>
      </c>
      <c r="Q38" s="8">
        <v>0</v>
      </c>
      <c r="R38" s="8">
        <f>CMA_한투1838[[#This Row],[입출금]]+CMA_한투1838[[#This Row],[현금수입]]-CMA_한투1838[[#This Row],[현금지출]]</f>
        <v>10351090</v>
      </c>
      <c r="S38" s="8">
        <f>SUM($R$2:R38)</f>
        <v>10351090</v>
      </c>
    </row>
    <row r="39" spans="1:19" x14ac:dyDescent="0.3">
      <c r="A39" s="3">
        <v>45161</v>
      </c>
      <c r="B39" s="87" t="s">
        <v>82</v>
      </c>
      <c r="C39" s="1" t="str">
        <f>VLOOKUP(CMA_한투1838[[#This Row],[종목코드]],표3[],2,FALSE)</f>
        <v>나무CMA</v>
      </c>
      <c r="D39" s="9" t="str">
        <f>VLOOKUP(CMA_한투1838[[#This Row],[종목코드]],표3[],4,FALSE)</f>
        <v>나무증권 CMA</v>
      </c>
      <c r="E39" s="75"/>
      <c r="F39" s="7">
        <v>10351090</v>
      </c>
      <c r="G39" s="7">
        <v>10351090</v>
      </c>
      <c r="H39" s="8">
        <f>CMA_한투1838[[#This Row],[현금지출]]-CMA_한투1838[[#This Row],[매입액]]</f>
        <v>0</v>
      </c>
      <c r="I39" s="8"/>
      <c r="K39" s="7"/>
      <c r="M39" s="7"/>
      <c r="N39" s="8">
        <f>CMA_한투1838[[#This Row],[매도액]]-CMA_한투1838[[#This Row],[매도원금]]</f>
        <v>0</v>
      </c>
      <c r="O39" s="8">
        <f>CMA_한투1838[[#This Row],[매도액]]+CMA_한투1838[[#This Row],[이자배당액]]-CMA_한투1838[[#This Row],[현금수입]]</f>
        <v>0</v>
      </c>
      <c r="P39" s="8">
        <f>CMA_한투1838[[#This Row],[매매수익]]+CMA_한투1838[[#This Row],[이자배당액]]-CMA_한투1838[[#This Row],[매도비용]]-CMA_한투1838[[#This Row],[매입비용]]</f>
        <v>0</v>
      </c>
      <c r="Q39" s="53">
        <v>10000000</v>
      </c>
      <c r="R39" s="8">
        <f>CMA_한투1838[[#This Row],[입출금]]+CMA_한투1838[[#This Row],[현금수입]]-CMA_한투1838[[#This Row],[현금지출]]</f>
        <v>-351090</v>
      </c>
      <c r="S39" s="8">
        <f>SUM($R$2:R39)</f>
        <v>10000000</v>
      </c>
    </row>
    <row r="40" spans="1:19" x14ac:dyDescent="0.3">
      <c r="A40" s="3">
        <v>45162</v>
      </c>
      <c r="B40" s="87" t="s">
        <v>82</v>
      </c>
      <c r="C40" s="1" t="str">
        <f>VLOOKUP(CMA_한투1838[[#This Row],[종목코드]],표3[],2,FALSE)</f>
        <v>나무CMA</v>
      </c>
      <c r="D40" s="9" t="str">
        <f>VLOOKUP(CMA_한투1838[[#This Row],[종목코드]],표3[],4,FALSE)</f>
        <v>나무증권 CMA</v>
      </c>
      <c r="E40" s="75"/>
      <c r="F40" s="53">
        <v>13048156</v>
      </c>
      <c r="G40" s="53">
        <v>13048156</v>
      </c>
      <c r="H40" s="53">
        <f>CMA_한투1838[[#This Row],[현금지출]]-CMA_한투1838[[#This Row],[매입액]]</f>
        <v>0</v>
      </c>
      <c r="I40" s="53"/>
      <c r="J40" s="52"/>
      <c r="K40" s="52"/>
      <c r="L40" s="52"/>
      <c r="M40" s="52"/>
      <c r="N40" s="53">
        <f>CMA_한투1838[[#This Row],[매도액]]-CMA_한투1838[[#This Row],[매도원금]]</f>
        <v>0</v>
      </c>
      <c r="O40" s="53">
        <f>CMA_한투1838[[#This Row],[매도액]]+CMA_한투1838[[#This Row],[이자배당액]]-CMA_한투1838[[#This Row],[현금수입]]</f>
        <v>0</v>
      </c>
      <c r="P40" s="53">
        <f>CMA_한투1838[[#This Row],[매매수익]]+CMA_한투1838[[#This Row],[이자배당액]]-CMA_한투1838[[#This Row],[매도비용]]-CMA_한투1838[[#This Row],[매입비용]]</f>
        <v>0</v>
      </c>
      <c r="Q40" s="53">
        <v>3048156</v>
      </c>
      <c r="R40" s="53">
        <f>CMA_한투1838[[#This Row],[입출금]]+CMA_한투1838[[#This Row],[현금수입]]-CMA_한투1838[[#This Row],[현금지출]]</f>
        <v>-10000000</v>
      </c>
      <c r="S40" s="8">
        <f>SUM($R$2:R40)</f>
        <v>0</v>
      </c>
    </row>
    <row r="41" spans="1:19" x14ac:dyDescent="0.3">
      <c r="A41" s="3">
        <v>45184</v>
      </c>
      <c r="B41" s="87" t="s">
        <v>82</v>
      </c>
      <c r="C41" s="1" t="str">
        <f>VLOOKUP(CMA_한투1838[[#This Row],[종목코드]],표3[],2,FALSE)</f>
        <v>나무CMA</v>
      </c>
      <c r="D41" s="9" t="str">
        <f>VLOOKUP(CMA_한투1838[[#This Row],[종목코드]],표3[],4,FALSE)</f>
        <v>나무증권 CMA</v>
      </c>
      <c r="E41" s="75"/>
      <c r="F41" s="52">
        <v>456300</v>
      </c>
      <c r="G41" s="52">
        <v>456300</v>
      </c>
      <c r="H41" s="53">
        <f>CMA_한투1838[[#This Row],[현금지출]]-CMA_한투1838[[#This Row],[매입액]]</f>
        <v>0</v>
      </c>
      <c r="I41" s="8"/>
      <c r="J41" s="52">
        <v>455556</v>
      </c>
      <c r="K41" s="52">
        <v>456430</v>
      </c>
      <c r="L41" s="52"/>
      <c r="M41" s="52">
        <v>456300</v>
      </c>
      <c r="N41" s="53">
        <f>CMA_한투1838[[#This Row],[매도액]]-CMA_한투1838[[#This Row],[매도원금]]</f>
        <v>874</v>
      </c>
      <c r="O41" s="53">
        <f>CMA_한투1838[[#This Row],[매도액]]+CMA_한투1838[[#This Row],[이자배당액]]-CMA_한투1838[[#This Row],[현금수입]]</f>
        <v>130</v>
      </c>
      <c r="P41" s="53">
        <f>CMA_한투1838[[#This Row],[매매수익]]+CMA_한투1838[[#This Row],[이자배당액]]-CMA_한투1838[[#This Row],[매도비용]]-CMA_한투1838[[#This Row],[매입비용]]</f>
        <v>744</v>
      </c>
      <c r="Q41" s="53"/>
      <c r="R41" s="53">
        <f>CMA_한투1838[[#This Row],[입출금]]+CMA_한투1838[[#This Row],[현금수입]]-CMA_한투1838[[#This Row],[현금지출]]</f>
        <v>0</v>
      </c>
      <c r="S41" s="8">
        <f>SUM($R$2:R41)</f>
        <v>0</v>
      </c>
    </row>
    <row r="42" spans="1:19" x14ac:dyDescent="0.3">
      <c r="A42" s="3">
        <v>45188</v>
      </c>
      <c r="B42" s="87" t="s">
        <v>82</v>
      </c>
      <c r="C42" s="1" t="str">
        <f>VLOOKUP(CMA_한투1838[[#This Row],[종목코드]],표3[],2,FALSE)</f>
        <v>나무CMA</v>
      </c>
      <c r="D42" s="9" t="str">
        <f>VLOOKUP(CMA_한투1838[[#This Row],[종목코드]],표3[],4,FALSE)</f>
        <v>나무증권 CMA</v>
      </c>
      <c r="E42" s="75"/>
      <c r="F42" s="52"/>
      <c r="G42" s="53"/>
      <c r="H42" s="53">
        <f>CMA_한투1838[[#This Row],[현금지출]]-CMA_한투1838[[#This Row],[매입액]]</f>
        <v>0</v>
      </c>
      <c r="I42" s="8"/>
      <c r="J42" s="52">
        <v>998423</v>
      </c>
      <c r="K42" s="52">
        <v>1000270</v>
      </c>
      <c r="L42" s="52"/>
      <c r="M42" s="52">
        <v>1000000</v>
      </c>
      <c r="N42" s="53">
        <f>CMA_한투1838[[#This Row],[매도액]]-CMA_한투1838[[#This Row],[매도원금]]</f>
        <v>1847</v>
      </c>
      <c r="O42" s="53">
        <f>CMA_한투1838[[#This Row],[매도액]]+CMA_한투1838[[#This Row],[이자배당액]]-CMA_한투1838[[#This Row],[현금수입]]</f>
        <v>270</v>
      </c>
      <c r="P42" s="53">
        <f>CMA_한투1838[[#This Row],[매매수익]]+CMA_한투1838[[#This Row],[이자배당액]]-CMA_한투1838[[#This Row],[매도비용]]-CMA_한투1838[[#This Row],[매입비용]]</f>
        <v>1577</v>
      </c>
      <c r="Q42" s="53">
        <v>-1000000</v>
      </c>
      <c r="R42" s="53">
        <f>CMA_한투1838[[#This Row],[입출금]]+CMA_한투1838[[#This Row],[현금수입]]-CMA_한투1838[[#This Row],[현금지출]]</f>
        <v>0</v>
      </c>
      <c r="S42" s="8">
        <f>SUM($R$2:R42)</f>
        <v>0</v>
      </c>
    </row>
    <row r="43" spans="1:19" x14ac:dyDescent="0.3">
      <c r="A43" s="3">
        <v>45190</v>
      </c>
      <c r="B43" s="87" t="s">
        <v>82</v>
      </c>
      <c r="C43" s="1" t="str">
        <f>VLOOKUP(CMA_한투1838[[#This Row],[종목코드]],표3[],2,FALSE)</f>
        <v>나무CMA</v>
      </c>
      <c r="D43" s="9" t="str">
        <f>VLOOKUP(CMA_한투1838[[#This Row],[종목코드]],표3[],4,FALSE)</f>
        <v>나무증권 CMA</v>
      </c>
      <c r="E43" s="75"/>
      <c r="F43" s="52">
        <v>3500000</v>
      </c>
      <c r="G43" s="52">
        <v>3500000</v>
      </c>
      <c r="H43" s="53">
        <f>CMA_한투1838[[#This Row],[현금지출]]-CMA_한투1838[[#This Row],[매입액]]</f>
        <v>0</v>
      </c>
      <c r="I43" s="8"/>
      <c r="J43" s="52"/>
      <c r="K43" s="52"/>
      <c r="L43" s="52"/>
      <c r="M43" s="52"/>
      <c r="N43" s="53">
        <f>CMA_한투1838[[#This Row],[매도액]]-CMA_한투1838[[#This Row],[매도원금]]</f>
        <v>0</v>
      </c>
      <c r="O43" s="53">
        <f>CMA_한투1838[[#This Row],[매도액]]+CMA_한투1838[[#This Row],[이자배당액]]-CMA_한투1838[[#This Row],[현금수입]]</f>
        <v>0</v>
      </c>
      <c r="P43" s="53">
        <f>CMA_한투1838[[#This Row],[매매수익]]+CMA_한투1838[[#This Row],[이자배당액]]-CMA_한투1838[[#This Row],[매도비용]]-CMA_한투1838[[#This Row],[매입비용]]</f>
        <v>0</v>
      </c>
      <c r="Q43" s="53">
        <v>3500000</v>
      </c>
      <c r="R43" s="53">
        <f>CMA_한투1838[[#This Row],[입출금]]+CMA_한투1838[[#This Row],[현금수입]]-CMA_한투1838[[#This Row],[현금지출]]</f>
        <v>0</v>
      </c>
      <c r="S43" s="8">
        <f>SUM($R$2:R43)</f>
        <v>0</v>
      </c>
    </row>
    <row r="44" spans="1:19" x14ac:dyDescent="0.3">
      <c r="A44" s="3">
        <v>45191</v>
      </c>
      <c r="B44" s="87" t="s">
        <v>82</v>
      </c>
      <c r="C44" s="1" t="str">
        <f>VLOOKUP(CMA_한투1838[[#This Row],[종목코드]],표3[],2,FALSE)</f>
        <v>나무CMA</v>
      </c>
      <c r="D44" s="9" t="str">
        <f>VLOOKUP(CMA_한투1838[[#This Row],[종목코드]],표3[],4,FALSE)</f>
        <v>나무증권 CMA</v>
      </c>
      <c r="E44" s="75"/>
      <c r="F44" s="52">
        <v>22439029</v>
      </c>
      <c r="G44" s="53">
        <v>22439029</v>
      </c>
      <c r="H44" s="53">
        <f>CMA_한투1838[[#This Row],[현금지출]]-CMA_한투1838[[#This Row],[매입액]]</f>
        <v>0</v>
      </c>
      <c r="I44" s="8"/>
      <c r="J44" s="52">
        <f>13048156+9352667</f>
        <v>22400823</v>
      </c>
      <c r="K44" s="52">
        <f>9371885+13074074</f>
        <v>22445959</v>
      </c>
      <c r="L44" s="52"/>
      <c r="M44" s="52">
        <f>9368935+13070094</f>
        <v>22439029</v>
      </c>
      <c r="N44" s="53">
        <f>CMA_한투1838[[#This Row],[매도액]]-CMA_한투1838[[#This Row],[매도원금]]</f>
        <v>45136</v>
      </c>
      <c r="O44" s="53">
        <f>CMA_한투1838[[#This Row],[매도액]]+CMA_한투1838[[#This Row],[이자배당액]]-CMA_한투1838[[#This Row],[현금수입]]</f>
        <v>6930</v>
      </c>
      <c r="P44" s="53">
        <f>CMA_한투1838[[#This Row],[매매수익]]+CMA_한투1838[[#This Row],[이자배당액]]-CMA_한투1838[[#This Row],[매도비용]]-CMA_한투1838[[#This Row],[매입비용]]</f>
        <v>38206</v>
      </c>
      <c r="Q44" s="53"/>
      <c r="R44" s="53">
        <f>CMA_한투1838[[#This Row],[입출금]]+CMA_한투1838[[#This Row],[현금수입]]-CMA_한투1838[[#This Row],[현금지출]]</f>
        <v>0</v>
      </c>
      <c r="S44" s="8">
        <f>SUM($R$2:R44)</f>
        <v>0</v>
      </c>
    </row>
    <row r="45" spans="1:19" x14ac:dyDescent="0.3">
      <c r="A45" s="3">
        <v>45209</v>
      </c>
      <c r="B45" s="87" t="s">
        <v>82</v>
      </c>
      <c r="C45" s="1" t="str">
        <f>VLOOKUP(CMA_한투1838[[#This Row],[종목코드]],표3[],2,FALSE)</f>
        <v>나무CMA</v>
      </c>
      <c r="D45" s="9" t="str">
        <f>VLOOKUP(CMA_한투1838[[#This Row],[종목코드]],표3[],4,FALSE)</f>
        <v>나무증권 CMA</v>
      </c>
      <c r="E45" s="75"/>
      <c r="F45" s="52"/>
      <c r="G45" s="53"/>
      <c r="H45" s="53">
        <f>CMA_한투1838[[#This Row],[현금지출]]-CMA_한투1838[[#This Row],[매입액]]</f>
        <v>0</v>
      </c>
      <c r="I45" s="8"/>
      <c r="J45" s="52"/>
      <c r="K45" s="52"/>
      <c r="L45" s="52">
        <v>82</v>
      </c>
      <c r="M45" s="52">
        <v>72</v>
      </c>
      <c r="N45" s="53">
        <f>CMA_한투1838[[#This Row],[매도액]]-CMA_한투1838[[#This Row],[매도원금]]</f>
        <v>0</v>
      </c>
      <c r="O45" s="53">
        <f>CMA_한투1838[[#This Row],[매도액]]+CMA_한투1838[[#This Row],[이자배당액]]-CMA_한투1838[[#This Row],[현금수입]]</f>
        <v>10</v>
      </c>
      <c r="P45" s="53">
        <f>CMA_한투1838[[#This Row],[매매수익]]+CMA_한투1838[[#This Row],[이자배당액]]-CMA_한투1838[[#This Row],[매도비용]]-CMA_한투1838[[#This Row],[매입비용]]</f>
        <v>72</v>
      </c>
      <c r="Q45" s="53"/>
      <c r="R45" s="53">
        <f>CMA_한투1838[[#This Row],[입출금]]+CMA_한투1838[[#This Row],[현금수입]]-CMA_한투1838[[#This Row],[현금지출]]</f>
        <v>72</v>
      </c>
      <c r="S45" s="8">
        <f>SUM($R$2:R45)</f>
        <v>72</v>
      </c>
    </row>
    <row r="46" spans="1:19" x14ac:dyDescent="0.3">
      <c r="A46" s="3">
        <v>45212</v>
      </c>
      <c r="B46" s="87" t="s">
        <v>82</v>
      </c>
      <c r="C46" s="1" t="str">
        <f>VLOOKUP(CMA_한투1838[[#This Row],[종목코드]],표3[],2,FALSE)</f>
        <v>나무CMA</v>
      </c>
      <c r="D46" s="9" t="str">
        <f>VLOOKUP(CMA_한투1838[[#This Row],[종목코드]],표3[],4,FALSE)</f>
        <v>나무증권 CMA</v>
      </c>
      <c r="E46" s="75"/>
      <c r="F46" s="52">
        <v>457118</v>
      </c>
      <c r="G46" s="53">
        <v>457118</v>
      </c>
      <c r="H46" s="53">
        <f>CMA_한투1838[[#This Row],[현금지출]]-CMA_한투1838[[#This Row],[매입액]]</f>
        <v>0</v>
      </c>
      <c r="I46" s="8"/>
      <c r="J46" s="52">
        <v>456300</v>
      </c>
      <c r="K46" s="52">
        <v>457176</v>
      </c>
      <c r="L46" s="52"/>
      <c r="M46" s="52">
        <v>457046</v>
      </c>
      <c r="N46" s="53">
        <f>CMA_한투1838[[#This Row],[매도액]]-CMA_한투1838[[#This Row],[매도원금]]</f>
        <v>876</v>
      </c>
      <c r="O46" s="53">
        <f>CMA_한투1838[[#This Row],[매도액]]+CMA_한투1838[[#This Row],[이자배당액]]-CMA_한투1838[[#This Row],[현금수입]]</f>
        <v>130</v>
      </c>
      <c r="P46" s="53">
        <f>CMA_한투1838[[#This Row],[매매수익]]+CMA_한투1838[[#This Row],[이자배당액]]-CMA_한투1838[[#This Row],[매도비용]]-CMA_한투1838[[#This Row],[매입비용]]</f>
        <v>746</v>
      </c>
      <c r="Q46" s="53"/>
      <c r="R46" s="53">
        <f>CMA_한투1838[[#This Row],[입출금]]+CMA_한투1838[[#This Row],[현금수입]]-CMA_한투1838[[#This Row],[현금지출]]</f>
        <v>-72</v>
      </c>
      <c r="S46" s="8">
        <f>SUM($R$2:R46)</f>
        <v>0</v>
      </c>
    </row>
    <row r="47" spans="1:19" x14ac:dyDescent="0.3">
      <c r="A47" s="3">
        <v>45216</v>
      </c>
      <c r="B47" s="87" t="s">
        <v>82</v>
      </c>
      <c r="C47" s="1" t="str">
        <f>VLOOKUP(CMA_한투1838[[#This Row],[종목코드]],표3[],2,FALSE)</f>
        <v>나무CMA</v>
      </c>
      <c r="D47" s="9" t="str">
        <f>VLOOKUP(CMA_한투1838[[#This Row],[종목코드]],표3[],4,FALSE)</f>
        <v>나무증권 CMA</v>
      </c>
      <c r="E47" s="75"/>
      <c r="F47" s="52"/>
      <c r="G47" s="53"/>
      <c r="H47" s="53">
        <f>CMA_한투1838[[#This Row],[현금지출]]-CMA_한투1838[[#This Row],[매입액]]</f>
        <v>0</v>
      </c>
      <c r="I47" s="8">
        <v>1</v>
      </c>
      <c r="J47" s="52">
        <f>3500000+22439029+457118</f>
        <v>26396147</v>
      </c>
      <c r="K47" s="52">
        <f>3506233+22477452+457244</f>
        <v>26440929</v>
      </c>
      <c r="L47" s="52"/>
      <c r="M47" s="52">
        <f>3505283+22471552+457234</f>
        <v>26434069</v>
      </c>
      <c r="N47" s="53">
        <f>CMA_한투1838[[#This Row],[매도액]]-CMA_한투1838[[#This Row],[매도원금]]</f>
        <v>44782</v>
      </c>
      <c r="O47" s="53">
        <f>CMA_한투1838[[#This Row],[매도액]]+CMA_한투1838[[#This Row],[이자배당액]]-CMA_한투1838[[#This Row],[현금수입]]</f>
        <v>6860</v>
      </c>
      <c r="P47" s="53">
        <f>CMA_한투1838[[#This Row],[매매수익]]+CMA_한투1838[[#This Row],[이자배당액]]-CMA_한투1838[[#This Row],[매도비용]]-CMA_한투1838[[#This Row],[매입비용]]</f>
        <v>37922</v>
      </c>
      <c r="Q47" s="53">
        <v>-26434069</v>
      </c>
      <c r="R47" s="53">
        <f>CMA_한투1838[[#This Row],[입출금]]+CMA_한투1838[[#This Row],[현금수입]]-CMA_한투1838[[#This Row],[현금지출]]</f>
        <v>0</v>
      </c>
      <c r="S47" s="8">
        <f>SUM($R$2:R47)</f>
        <v>0</v>
      </c>
    </row>
    <row r="48" spans="1:19" x14ac:dyDescent="0.3">
      <c r="A48" s="3">
        <v>45222</v>
      </c>
      <c r="B48" s="87" t="s">
        <v>82</v>
      </c>
      <c r="C48" s="1" t="str">
        <f>VLOOKUP(CMA_한투1838[[#This Row],[종목코드]],표3[],2,FALSE)</f>
        <v>나무CMA</v>
      </c>
      <c r="D48" s="9" t="str">
        <f>VLOOKUP(CMA_한투1838[[#This Row],[종목코드]],표3[],4,FALSE)</f>
        <v>나무증권 CMA</v>
      </c>
      <c r="E48" s="75">
        <v>1</v>
      </c>
      <c r="F48" s="52">
        <v>4000000</v>
      </c>
      <c r="G48" s="53">
        <v>4000000</v>
      </c>
      <c r="H48" s="53">
        <f>CMA_한투1838[[#This Row],[현금지출]]-CMA_한투1838[[#This Row],[매입액]]</f>
        <v>0</v>
      </c>
      <c r="I48" s="8"/>
      <c r="J48" s="52"/>
      <c r="K48" s="52"/>
      <c r="L48" s="52"/>
      <c r="M48" s="52"/>
      <c r="N48" s="53">
        <f>CMA_한투1838[[#This Row],[매도액]]-CMA_한투1838[[#This Row],[매도원금]]</f>
        <v>0</v>
      </c>
      <c r="O48" s="53">
        <f>CMA_한투1838[[#This Row],[매도액]]+CMA_한투1838[[#This Row],[이자배당액]]-CMA_한투1838[[#This Row],[현금수입]]</f>
        <v>0</v>
      </c>
      <c r="P48" s="53">
        <f>CMA_한투1838[[#This Row],[매매수익]]+CMA_한투1838[[#This Row],[이자배당액]]-CMA_한투1838[[#This Row],[매도비용]]-CMA_한투1838[[#This Row],[매입비용]]</f>
        <v>0</v>
      </c>
      <c r="Q48" s="53">
        <v>4000000</v>
      </c>
      <c r="R48" s="53">
        <f>CMA_한투1838[[#This Row],[입출금]]+CMA_한투1838[[#This Row],[현금수입]]-CMA_한투1838[[#This Row],[현금지출]]</f>
        <v>0</v>
      </c>
      <c r="S48" s="8">
        <f>SUM($R$2:R48)</f>
        <v>0</v>
      </c>
    </row>
    <row r="49" spans="1:19" x14ac:dyDescent="0.3">
      <c r="A49" s="3">
        <v>45231</v>
      </c>
      <c r="B49" s="87" t="s">
        <v>82</v>
      </c>
      <c r="C49" s="1" t="str">
        <f>VLOOKUP(CMA_한투1838[[#This Row],[종목코드]],표3[],2,FALSE)</f>
        <v>나무CMA</v>
      </c>
      <c r="D49" s="9" t="str">
        <f>VLOOKUP(CMA_한투1838[[#This Row],[종목코드]],표3[],4,FALSE)</f>
        <v>나무증권 CMA</v>
      </c>
      <c r="E49" s="75"/>
      <c r="G49" s="8"/>
      <c r="H49" s="8">
        <f>CMA_한투1838[[#This Row],[현금지출]]-CMA_한투1838[[#This Row],[매입액]]</f>
        <v>0</v>
      </c>
      <c r="I49" s="8"/>
      <c r="J49" s="7">
        <v>999463</v>
      </c>
      <c r="K49" s="7">
        <v>1000080</v>
      </c>
      <c r="M49" s="7">
        <v>1000000</v>
      </c>
      <c r="N49" s="8">
        <f>CMA_한투1838[[#This Row],[매도액]]-CMA_한투1838[[#This Row],[매도원금]]</f>
        <v>617</v>
      </c>
      <c r="O49" s="8">
        <f>CMA_한투1838[[#This Row],[매도액]]+CMA_한투1838[[#This Row],[이자배당액]]-CMA_한투1838[[#This Row],[현금수입]]</f>
        <v>80</v>
      </c>
      <c r="P49" s="8">
        <f>CMA_한투1838[[#This Row],[매매수익]]+CMA_한투1838[[#This Row],[이자배당액]]-CMA_한투1838[[#This Row],[매도비용]]-CMA_한투1838[[#This Row],[매입비용]]</f>
        <v>537</v>
      </c>
      <c r="Q49" s="8">
        <v>-1000000</v>
      </c>
      <c r="R49" s="8">
        <f>CMA_한투1838[[#This Row],[입출금]]+CMA_한투1838[[#This Row],[현금수입]]-CMA_한투1838[[#This Row],[현금지출]]</f>
        <v>0</v>
      </c>
      <c r="S49" s="8">
        <f>SUM($R$2:R49)</f>
        <v>0</v>
      </c>
    </row>
    <row r="50" spans="1:19" x14ac:dyDescent="0.3">
      <c r="A50" s="3">
        <v>45232</v>
      </c>
      <c r="B50" s="87" t="s">
        <v>82</v>
      </c>
      <c r="C50" s="1" t="str">
        <f>VLOOKUP(CMA_한투1838[[#This Row],[종목코드]],표3[],2,FALSE)</f>
        <v>나무CMA</v>
      </c>
      <c r="D50" s="9" t="str">
        <f>VLOOKUP(CMA_한투1838[[#This Row],[종목코드]],표3[],4,FALSE)</f>
        <v>나무증권 CMA</v>
      </c>
      <c r="E50" s="75"/>
      <c r="G50" s="8"/>
      <c r="H50" s="8">
        <f>CMA_한투1838[[#This Row],[현금지출]]-CMA_한투1838[[#This Row],[매입액]]</f>
        <v>0</v>
      </c>
      <c r="I50" s="8">
        <v>1</v>
      </c>
      <c r="J50" s="7">
        <v>3000537</v>
      </c>
      <c r="K50" s="7">
        <v>3002593</v>
      </c>
      <c r="M50" s="7">
        <v>3002293</v>
      </c>
      <c r="N50" s="8">
        <f>CMA_한투1838[[#This Row],[매도액]]-CMA_한투1838[[#This Row],[매도원금]]</f>
        <v>2056</v>
      </c>
      <c r="O50" s="8">
        <f>CMA_한투1838[[#This Row],[매도액]]+CMA_한투1838[[#This Row],[이자배당액]]-CMA_한투1838[[#This Row],[현금수입]]</f>
        <v>300</v>
      </c>
      <c r="P50" s="8">
        <f>CMA_한투1838[[#This Row],[매매수익]]+CMA_한투1838[[#This Row],[이자배당액]]-CMA_한투1838[[#This Row],[매도비용]]-CMA_한투1838[[#This Row],[매입비용]]</f>
        <v>1756</v>
      </c>
      <c r="Q50" s="8">
        <v>-3002293</v>
      </c>
      <c r="R50" s="8">
        <f>CMA_한투1838[[#This Row],[입출금]]+CMA_한투1838[[#This Row],[현금수입]]-CMA_한투1838[[#This Row],[현금지출]]</f>
        <v>0</v>
      </c>
      <c r="S50" s="8">
        <f>SUM($R$2:R50)</f>
        <v>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4" zoomScale="85" zoomScaleNormal="85" workbookViewId="0">
      <selection activeCell="R26" sqref="R26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9" t="s">
        <v>133</v>
      </c>
      <c r="F1" s="16" t="s">
        <v>57</v>
      </c>
      <c r="G1" s="16" t="s">
        <v>56</v>
      </c>
      <c r="H1" s="16" t="s">
        <v>28</v>
      </c>
      <c r="I1" s="65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19" s="2" customFormat="1" x14ac:dyDescent="0.3">
      <c r="A2" s="1">
        <v>45097</v>
      </c>
      <c r="B2" s="5" t="s">
        <v>200</v>
      </c>
      <c r="C2" s="9" t="str">
        <f>VLOOKUP(CMA_한투183611[[#This Row],[종목코드]],표3[],2,FALSE)</f>
        <v>한투예수금</v>
      </c>
      <c r="D2" s="62" t="str">
        <f>VLOOKUP(CMA_한투183611[[#This Row],[종목코드]],표3[],4,FALSE)</f>
        <v>한국투자증권 직접투자 원화예수금</v>
      </c>
      <c r="E2" s="75"/>
      <c r="F2"/>
      <c r="G2"/>
      <c r="H2">
        <f>CMA_한투183611[[#This Row],[현금지출]]-CMA_한투183611[[#This Row],[매입액]]</f>
        <v>0</v>
      </c>
      <c r="I2"/>
      <c r="J2"/>
      <c r="K2"/>
      <c r="L2"/>
      <c r="M2"/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f>1000000-999973</f>
        <v>27</v>
      </c>
      <c r="R2">
        <f>CMA_한투183611[[#This Row],[입출금]]+CMA_한투183611[[#This Row],[현금수입]]-CMA_한투183611[[#This Row],[현금지출]]</f>
        <v>27</v>
      </c>
      <c r="S2">
        <f>SUM($R$2:R2)</f>
        <v>27</v>
      </c>
    </row>
    <row r="3" spans="1:19" s="2" customFormat="1" x14ac:dyDescent="0.3">
      <c r="A3" s="1">
        <v>45120</v>
      </c>
      <c r="B3" s="5" t="s">
        <v>200</v>
      </c>
      <c r="C3" s="9" t="str">
        <f>VLOOKUP(CMA_한투183611[[#This Row],[종목코드]],표3[],2,FALSE)</f>
        <v>한투예수금</v>
      </c>
      <c r="D3" s="62" t="str">
        <f>VLOOKUP(CMA_한투183611[[#This Row],[종목코드]],표3[],4,FALSE)</f>
        <v>한국투자증권 직접투자 원화예수금</v>
      </c>
      <c r="E3" s="75"/>
      <c r="F3"/>
      <c r="G3"/>
      <c r="H3" s="5">
        <f>CMA_한투183611[[#This Row],[현금지출]]-CMA_한투183611[[#This Row],[매입액]]</f>
        <v>0</v>
      </c>
      <c r="I3" s="64"/>
      <c r="J3"/>
      <c r="K3"/>
      <c r="L3"/>
      <c r="M3"/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f>5000000-5000026</f>
        <v>-26</v>
      </c>
      <c r="R3" s="5">
        <f>CMA_한투183611[[#This Row],[입출금]]+CMA_한투183611[[#This Row],[현금수입]]-CMA_한투183611[[#This Row],[현금지출]]</f>
        <v>-26</v>
      </c>
      <c r="S3" s="5">
        <f>SUM($R$2:R3)</f>
        <v>1</v>
      </c>
    </row>
    <row r="4" spans="1:19" s="2" customFormat="1" x14ac:dyDescent="0.3">
      <c r="A4" s="1">
        <v>45124</v>
      </c>
      <c r="B4" s="5" t="s">
        <v>200</v>
      </c>
      <c r="C4" s="9" t="str">
        <f>VLOOKUP(CMA_한투183611[[#This Row],[종목코드]],표3[],2,FALSE)</f>
        <v>한투예수금</v>
      </c>
      <c r="D4" s="62" t="str">
        <f>VLOOKUP(CMA_한투183611[[#This Row],[종목코드]],표3[],4,FALSE)</f>
        <v>한국투자증권 직접투자 원화예수금</v>
      </c>
      <c r="E4" s="75"/>
      <c r="F4"/>
      <c r="G4"/>
      <c r="H4" s="5">
        <f>CMA_한투183611[[#This Row],[현금지출]]-CMA_한투183611[[#This Row],[매입액]]</f>
        <v>0</v>
      </c>
      <c r="I4" s="64"/>
      <c r="J4"/>
      <c r="K4"/>
      <c r="L4"/>
      <c r="M4"/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f>3000000-2999990</f>
        <v>10</v>
      </c>
      <c r="R4" s="5">
        <f>CMA_한투183611[[#This Row],[입출금]]+CMA_한투183611[[#This Row],[현금수입]]-CMA_한투183611[[#This Row],[현금지출]]</f>
        <v>10</v>
      </c>
      <c r="S4" s="5">
        <f>SUM($R$2:R4)</f>
        <v>11</v>
      </c>
    </row>
    <row r="5" spans="1:19" x14ac:dyDescent="0.3">
      <c r="A5" s="3">
        <v>45216</v>
      </c>
      <c r="B5" s="87" t="s">
        <v>175</v>
      </c>
      <c r="C5" s="9" t="str">
        <f>VLOOKUP(CMA_한투183611[[#This Row],[종목코드]],표3[],2,FALSE)</f>
        <v>(약정)한투원화발행어음</v>
      </c>
      <c r="D5" s="62" t="str">
        <f>VLOOKUP(CMA_한투183611[[#This Row],[종목코드]],표3[],4,FALSE)</f>
        <v>한국투자증권 직접투자계좌 원화발행어음(약정)</v>
      </c>
      <c r="E5" s="75">
        <v>1</v>
      </c>
      <c r="F5" s="7">
        <v>26434080</v>
      </c>
      <c r="G5" s="5">
        <v>26434080</v>
      </c>
      <c r="H5" s="5">
        <f>CMA_한투183611[[#This Row],[현금지출]]-CMA_한투183611[[#This Row],[매입액]]</f>
        <v>0</v>
      </c>
      <c r="N5">
        <f>CMA_한투183611[[#This Row],[매도액]]-CMA_한투183611[[#This Row],[매도원금]]</f>
        <v>0</v>
      </c>
      <c r="O5" s="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26434069</v>
      </c>
      <c r="R5" s="5">
        <f>CMA_한투183611[[#This Row],[입출금]]+CMA_한투183611[[#This Row],[현금수입]]-CMA_한투183611[[#This Row],[현금지출]]</f>
        <v>-11</v>
      </c>
      <c r="S5" s="5">
        <f>SUM($R$2:R5)</f>
        <v>0</v>
      </c>
    </row>
    <row r="6" spans="1:19" x14ac:dyDescent="0.3">
      <c r="A6" s="3">
        <v>45231</v>
      </c>
      <c r="B6" s="87" t="s">
        <v>168</v>
      </c>
      <c r="C6" s="9" t="str">
        <f>VLOOKUP(CMA_한투183611[[#This Row],[종목코드]],표3[],2,FALSE)</f>
        <v>(수시)한투원화발행어음</v>
      </c>
      <c r="D6" s="62" t="str">
        <f>VLOOKUP(CMA_한투183611[[#This Row],[종목코드]],표3[],4,FALSE)</f>
        <v>한국투자증권 직접투자계좌 원화발행어음(수시)</v>
      </c>
      <c r="E6" s="75">
        <v>1</v>
      </c>
      <c r="F6" s="7">
        <v>1000000</v>
      </c>
      <c r="G6" s="7">
        <v>1000000</v>
      </c>
      <c r="H6" s="5">
        <f>CMA_한투183611[[#This Row],[현금지출]]-CMA_한투183611[[#This Row],[매입액]]</f>
        <v>0</v>
      </c>
      <c r="N6">
        <f>CMA_한투183611[[#This Row],[매도액]]-CMA_한투183611[[#This Row],[매도원금]]</f>
        <v>0</v>
      </c>
      <c r="O6" s="5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1000000</v>
      </c>
      <c r="R6" s="5">
        <f>CMA_한투183611[[#This Row],[입출금]]+CMA_한투183611[[#This Row],[현금수입]]-CMA_한투183611[[#This Row],[현금지출]]</f>
        <v>0</v>
      </c>
      <c r="S6" s="5">
        <f>SUM($R$2:R6)</f>
        <v>0</v>
      </c>
    </row>
    <row r="7" spans="1:19" x14ac:dyDescent="0.3">
      <c r="A7" s="3">
        <v>45232</v>
      </c>
      <c r="B7" s="87" t="s">
        <v>168</v>
      </c>
      <c r="C7" s="9" t="str">
        <f>VLOOKUP(CMA_한투183611[[#This Row],[종목코드]],표3[],2,FALSE)</f>
        <v>(수시)한투원화발행어음</v>
      </c>
      <c r="D7" s="62" t="str">
        <f>VLOOKUP(CMA_한투183611[[#This Row],[종목코드]],표3[],4,FALSE)</f>
        <v>한국투자증권 직접투자계좌 원화발행어음(수시)</v>
      </c>
      <c r="E7" s="75"/>
      <c r="F7" s="7">
        <v>1000000</v>
      </c>
      <c r="G7" s="7">
        <v>1000000</v>
      </c>
      <c r="H7" s="5">
        <f>CMA_한투183611[[#This Row],[현금지출]]-CMA_한투183611[[#This Row],[매입액]]</f>
        <v>0</v>
      </c>
      <c r="N7">
        <f>CMA_한투183611[[#This Row],[매도액]]-CMA_한투183611[[#This Row],[매도원금]]</f>
        <v>0</v>
      </c>
      <c r="O7" s="5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f>3002293</f>
        <v>3002293</v>
      </c>
      <c r="R7" s="5">
        <f>CMA_한투183611[[#This Row],[입출금]]+CMA_한투183611[[#This Row],[현금수입]]-CMA_한투183611[[#This Row],[현금지출]]</f>
        <v>2002293</v>
      </c>
      <c r="S7" s="5">
        <f>SUM($R$2:R7)</f>
        <v>2002293</v>
      </c>
    </row>
    <row r="8" spans="1:19" x14ac:dyDescent="0.3">
      <c r="A8" s="1">
        <v>45232</v>
      </c>
      <c r="B8" s="5" t="s">
        <v>200</v>
      </c>
      <c r="C8" s="9" t="str">
        <f>VLOOKUP(CMA_한투183611[[#This Row],[종목코드]],표3[],2,FALSE)</f>
        <v>한투예수금</v>
      </c>
      <c r="D8" s="62" t="str">
        <f>VLOOKUP(CMA_한투183611[[#This Row],[종목코드]],표3[],4,FALSE)</f>
        <v>한국투자증권 직접투자 원화예수금</v>
      </c>
      <c r="E8" s="75"/>
      <c r="G8" s="7"/>
      <c r="H8" s="5">
        <f>CMA_한투183611[[#This Row],[현금지출]]-CMA_한투183611[[#This Row],[매입액]]</f>
        <v>0</v>
      </c>
      <c r="N8">
        <f>CMA_한투183611[[#This Row],[매도액]]-CMA_한투183611[[#This Row],[매도원금]]</f>
        <v>0</v>
      </c>
      <c r="O8" s="5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-1046153</v>
      </c>
      <c r="R8" s="5">
        <f>CMA_한투183611[[#This Row],[입출금]]+CMA_한투183611[[#This Row],[현금수입]]-CMA_한투183611[[#This Row],[현금지출]]</f>
        <v>-1046153</v>
      </c>
      <c r="S8" s="5">
        <f>SUM($R$2:R8)</f>
        <v>956140</v>
      </c>
    </row>
    <row r="9" spans="1:19" x14ac:dyDescent="0.3">
      <c r="A9" s="3">
        <v>45236</v>
      </c>
      <c r="B9" s="91" t="s">
        <v>161</v>
      </c>
      <c r="C9" s="9" t="str">
        <f>VLOOKUP(CMA_한투183611[[#This Row],[종목코드]],표3[],2,FALSE)</f>
        <v>NAVER</v>
      </c>
      <c r="D9" s="62" t="str">
        <f>VLOOKUP(CMA_한투183611[[#This Row],[종목코드]],표3[],4,FALSE)</f>
        <v>NAVER</v>
      </c>
      <c r="E9" s="75">
        <v>5</v>
      </c>
      <c r="F9" s="7">
        <v>956000</v>
      </c>
      <c r="G9" s="5">
        <v>956130</v>
      </c>
      <c r="H9" s="5">
        <f>CMA_한투183611[[#This Row],[현금지출]]-CMA_한투183611[[#This Row],[매입액]]</f>
        <v>130</v>
      </c>
      <c r="N9">
        <f>CMA_한투183611[[#This Row],[매도액]]-CMA_한투183611[[#This Row],[매도원금]]</f>
        <v>0</v>
      </c>
      <c r="O9" s="5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-130</v>
      </c>
      <c r="R9" s="5">
        <f>CMA_한투183611[[#This Row],[입출금]]+CMA_한투183611[[#This Row],[현금수입]]-CMA_한투183611[[#This Row],[현금지출]]</f>
        <v>-956130</v>
      </c>
      <c r="S9" s="5">
        <f>SUM($R$2:R9)</f>
        <v>10</v>
      </c>
    </row>
    <row r="10" spans="1:19" x14ac:dyDescent="0.3">
      <c r="A10" s="3">
        <v>45244</v>
      </c>
      <c r="B10" s="5" t="s">
        <v>200</v>
      </c>
      <c r="C10" s="9" t="str">
        <f>VLOOKUP(CMA_한투183611[[#This Row],[종목코드]],표3[],2,FALSE)</f>
        <v>한투예수금</v>
      </c>
      <c r="D10" s="62" t="str">
        <f>VLOOKUP(CMA_한투183611[[#This Row],[종목코드]],표3[],4,FALSE)</f>
        <v>한국투자증권 직접투자 원화예수금</v>
      </c>
      <c r="E10" s="75"/>
      <c r="H10" s="5">
        <f>CMA_한투183611[[#This Row],[현금지출]]-CMA_한투183611[[#This Row],[매입액]]</f>
        <v>0</v>
      </c>
      <c r="N10">
        <f>CMA_한투183611[[#This Row],[매도액]]-CMA_한투183611[[#This Row],[매도원금]]</f>
        <v>0</v>
      </c>
      <c r="O10" s="5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21986020</v>
      </c>
      <c r="R10" s="5">
        <f>CMA_한투183611[[#This Row],[입출금]]+CMA_한투183611[[#This Row],[현금수입]]-CMA_한투183611[[#This Row],[현금지출]]</f>
        <v>21986020</v>
      </c>
      <c r="S10" s="5">
        <f>SUM($R$2:R10)</f>
        <v>21986030</v>
      </c>
    </row>
    <row r="11" spans="1:19" x14ac:dyDescent="0.3">
      <c r="A11" s="3">
        <v>45245</v>
      </c>
      <c r="B11" s="5" t="s">
        <v>200</v>
      </c>
      <c r="C11" s="9" t="str">
        <f>VLOOKUP(CMA_한투183611[[#This Row],[종목코드]],표3[],2,FALSE)</f>
        <v>한투예수금</v>
      </c>
      <c r="D11" s="62" t="str">
        <f>VLOOKUP(CMA_한투183611[[#This Row],[종목코드]],표3[],4,FALSE)</f>
        <v>한국투자증권 직접투자 원화예수금</v>
      </c>
      <c r="E11" s="75"/>
      <c r="H11" s="5">
        <f>CMA_한투183611[[#This Row],[현금지출]]-CMA_한투183611[[#This Row],[매입액]]</f>
        <v>0</v>
      </c>
      <c r="N11">
        <f>CMA_한투183611[[#This Row],[매도액]]-CMA_한투183611[[#This Row],[매도원금]]</f>
        <v>0</v>
      </c>
      <c r="O11" s="5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-5000005</v>
      </c>
      <c r="R11" s="5">
        <f>CMA_한투183611[[#This Row],[입출금]]+CMA_한투183611[[#This Row],[현금수입]]-CMA_한투183611[[#This Row],[현금지출]]</f>
        <v>-5000005</v>
      </c>
      <c r="S11" s="5">
        <f>SUM($R$2:R11)</f>
        <v>16986025</v>
      </c>
    </row>
    <row r="12" spans="1:19" x14ac:dyDescent="0.3">
      <c r="A12" s="3">
        <v>45245</v>
      </c>
      <c r="B12" s="87" t="s">
        <v>168</v>
      </c>
      <c r="C12" s="9" t="str">
        <f>VLOOKUP(CMA_한투183611[[#This Row],[종목코드]],표3[],2,FALSE)</f>
        <v>(수시)한투원화발행어음</v>
      </c>
      <c r="D12" s="62" t="str">
        <f>VLOOKUP(CMA_한투183611[[#This Row],[종목코드]],표3[],4,FALSE)</f>
        <v>한국투자증권 직접투자계좌 원화발행어음(수시)</v>
      </c>
      <c r="E12" s="75"/>
      <c r="F12">
        <f>5000000+5000000+3000000+3986025</f>
        <v>16986025</v>
      </c>
      <c r="G12">
        <f>5000000+5000000+3000000+3986025</f>
        <v>16986025</v>
      </c>
      <c r="H12" s="5">
        <f>CMA_한투183611[[#This Row],[현금지출]]-CMA_한투183611[[#This Row],[매입액]]</f>
        <v>0</v>
      </c>
      <c r="N12">
        <f>CMA_한투183611[[#This Row],[매도액]]-CMA_한투183611[[#This Row],[매도원금]]</f>
        <v>0</v>
      </c>
      <c r="O12" s="5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0</v>
      </c>
      <c r="R12" s="5">
        <f>CMA_한투183611[[#This Row],[입출금]]+CMA_한투183611[[#This Row],[현금수입]]-CMA_한투183611[[#This Row],[현금지출]]</f>
        <v>-16986025</v>
      </c>
      <c r="S12" s="5">
        <f>SUM($R$2:R12)</f>
        <v>0</v>
      </c>
    </row>
    <row r="13" spans="1:19" x14ac:dyDescent="0.3">
      <c r="A13" s="3">
        <v>45247</v>
      </c>
      <c r="B13" s="87" t="s">
        <v>175</v>
      </c>
      <c r="C13" s="9" t="str">
        <f>VLOOKUP(CMA_한투183611[[#This Row],[종목코드]],표3[],2,FALSE)</f>
        <v>(약정)한투원화발행어음</v>
      </c>
      <c r="D13" s="62" t="str">
        <f>VLOOKUP(CMA_한투183611[[#This Row],[종목코드]],표3[],4,FALSE)</f>
        <v>한국투자증권 직접투자계좌 원화발행어음(약정)</v>
      </c>
      <c r="E13" s="75"/>
      <c r="H13" s="5">
        <f>CMA_한투183611[[#This Row],[현금지출]]-CMA_한투183611[[#This Row],[매입액]]</f>
        <v>0</v>
      </c>
      <c r="I13" s="64">
        <v>1</v>
      </c>
      <c r="J13" s="7">
        <v>26434080</v>
      </c>
      <c r="K13">
        <v>26514903</v>
      </c>
      <c r="M13">
        <v>26502463</v>
      </c>
      <c r="N13">
        <f>CMA_한투183611[[#This Row],[매도액]]-CMA_한투183611[[#This Row],[매도원금]]</f>
        <v>80823</v>
      </c>
      <c r="O13" s="5">
        <f>CMA_한투183611[[#This Row],[매도액]]+CMA_한투183611[[#This Row],[이자배당액]]-CMA_한투183611[[#This Row],[현금수입]]</f>
        <v>12440</v>
      </c>
      <c r="P13">
        <f>CMA_한투183611[[#This Row],[매매수익]]+CMA_한투183611[[#This Row],[이자배당액]]-CMA_한투183611[[#This Row],[매도비용]]-CMA_한투183611[[#This Row],[매입비용]]</f>
        <v>68383</v>
      </c>
      <c r="R13" s="5">
        <f>CMA_한투183611[[#This Row],[입출금]]+CMA_한투183611[[#This Row],[현금수입]]-CMA_한투183611[[#This Row],[현금지출]]</f>
        <v>26502463</v>
      </c>
      <c r="S13" s="5">
        <f>SUM($R$2:R13)</f>
        <v>26502463</v>
      </c>
    </row>
    <row r="14" spans="1:19" x14ac:dyDescent="0.3">
      <c r="A14" s="3">
        <v>45250</v>
      </c>
      <c r="B14" s="5" t="s">
        <v>200</v>
      </c>
      <c r="C14" s="9" t="str">
        <f>VLOOKUP(CMA_한투183611[[#This Row],[종목코드]],표3[],2,FALSE)</f>
        <v>한투예수금</v>
      </c>
      <c r="D14" s="62" t="str">
        <f>VLOOKUP(CMA_한투183611[[#This Row],[종목코드]],표3[],4,FALSE)</f>
        <v>한국투자증권 직접투자 원화예수금</v>
      </c>
      <c r="E14" s="75">
        <v>1</v>
      </c>
      <c r="H14" s="5">
        <f>CMA_한투183611[[#This Row],[현금지출]]-CMA_한투183611[[#This Row],[매입액]]</f>
        <v>0</v>
      </c>
      <c r="N14">
        <f>CMA_한투183611[[#This Row],[매도액]]-CMA_한투183611[[#This Row],[매도원금]]</f>
        <v>0</v>
      </c>
      <c r="O14" s="5">
        <f>CMA_한투183611[[#This Row],[매도액]]+CMA_한투183611[[#This Row],[이자배당액]]-CMA_한투183611[[#This Row],[현금수입]]</f>
        <v>0</v>
      </c>
      <c r="P14">
        <f>CMA_한투183611[[#This Row],[매매수익]]+CMA_한투183611[[#This Row],[이자배당액]]-CMA_한투183611[[#This Row],[매도비용]]-CMA_한투183611[[#This Row],[매입비용]]</f>
        <v>0</v>
      </c>
      <c r="Q14">
        <v>-5000012</v>
      </c>
      <c r="R14" s="5">
        <f>CMA_한투183611[[#This Row],[입출금]]+CMA_한투183611[[#This Row],[현금수입]]-CMA_한투183611[[#This Row],[현금지출]]</f>
        <v>-5000012</v>
      </c>
      <c r="S14" s="5">
        <f>SUM($R$2:R14)</f>
        <v>21502451</v>
      </c>
    </row>
    <row r="15" spans="1:19" x14ac:dyDescent="0.3">
      <c r="A15" s="3">
        <v>45251</v>
      </c>
      <c r="B15" s="87" t="s">
        <v>168</v>
      </c>
      <c r="C15" s="9" t="str">
        <f>VLOOKUP(CMA_한투183611[[#This Row],[종목코드]],표3[],2,FALSE)</f>
        <v>(수시)한투원화발행어음</v>
      </c>
      <c r="D15" s="62" t="str">
        <f>VLOOKUP(CMA_한투183611[[#This Row],[종목코드]],표3[],4,FALSE)</f>
        <v>한국투자증권 직접투자계좌 원화발행어음(수시)</v>
      </c>
      <c r="E15" s="75"/>
      <c r="F15" s="7">
        <v>22000000</v>
      </c>
      <c r="G15" s="7">
        <v>22000000</v>
      </c>
      <c r="H15" s="5">
        <f>CMA_한투183611[[#This Row],[현금지출]]-CMA_한투183611[[#This Row],[매입액]]</f>
        <v>0</v>
      </c>
      <c r="N15">
        <f>CMA_한투183611[[#This Row],[매도액]]-CMA_한투183611[[#This Row],[매도원금]]</f>
        <v>0</v>
      </c>
      <c r="O15" s="5">
        <f>CMA_한투183611[[#This Row],[매도액]]+CMA_한투183611[[#This Row],[이자배당액]]-CMA_한투183611[[#This Row],[현금수입]]</f>
        <v>0</v>
      </c>
      <c r="P15">
        <f>CMA_한투183611[[#This Row],[매매수익]]+CMA_한투183611[[#This Row],[이자배당액]]-CMA_한투183611[[#This Row],[매도비용]]-CMA_한투183611[[#This Row],[매입비용]]</f>
        <v>0</v>
      </c>
      <c r="Q15">
        <v>3700000</v>
      </c>
      <c r="R15" s="5">
        <f>CMA_한투183611[[#This Row],[입출금]]+CMA_한투183611[[#This Row],[현금수입]]-CMA_한투183611[[#This Row],[현금지출]]</f>
        <v>-18300000</v>
      </c>
      <c r="S15" s="5">
        <f>SUM($R$2:R15)</f>
        <v>3202451</v>
      </c>
    </row>
    <row r="16" spans="1:19" x14ac:dyDescent="0.3">
      <c r="A16" s="3">
        <v>45259</v>
      </c>
      <c r="B16" s="5" t="s">
        <v>200</v>
      </c>
      <c r="C16" s="9" t="str">
        <f>VLOOKUP(CMA_한투183611[[#This Row],[종목코드]],표3[],2,FALSE)</f>
        <v>한투예수금</v>
      </c>
      <c r="D16" s="62" t="str">
        <f>VLOOKUP(CMA_한투183611[[#This Row],[종목코드]],표3[],4,FALSE)</f>
        <v>한국투자증권 직접투자 원화예수금</v>
      </c>
      <c r="E16" s="75"/>
      <c r="H16" s="5">
        <f>CMA_한투183611[[#This Row],[현금지출]]-CMA_한투183611[[#This Row],[매입액]]</f>
        <v>0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0</v>
      </c>
      <c r="P16">
        <f>CMA_한투183611[[#This Row],[매매수익]]+CMA_한투183611[[#This Row],[이자배당액]]-CMA_한투183611[[#This Row],[매도비용]]-CMA_한투183611[[#This Row],[매입비용]]</f>
        <v>0</v>
      </c>
      <c r="Q16">
        <v>-3199997</v>
      </c>
      <c r="R16" s="5">
        <f>CMA_한투183611[[#This Row],[입출금]]+CMA_한투183611[[#This Row],[현금수입]]-CMA_한투183611[[#This Row],[현금지출]]</f>
        <v>-3199997</v>
      </c>
      <c r="S16" s="5">
        <f>SUM($R$2:R16)</f>
        <v>2454</v>
      </c>
    </row>
    <row r="17" spans="1:19" x14ac:dyDescent="0.3">
      <c r="A17" s="3">
        <v>45260</v>
      </c>
      <c r="B17" s="87" t="s">
        <v>168</v>
      </c>
      <c r="C17" s="9" t="str">
        <f>VLOOKUP(CMA_한투183611[[#This Row],[종목코드]],표3[],2,FALSE)</f>
        <v>(수시)한투원화발행어음</v>
      </c>
      <c r="D17" s="62" t="str">
        <f>VLOOKUP(CMA_한투183611[[#This Row],[종목코드]],표3[],4,FALSE)</f>
        <v>한국투자증권 직접투자계좌 원화발행어음(수시)</v>
      </c>
      <c r="E17" s="75"/>
      <c r="H17" s="5">
        <f>CMA_한투183611[[#This Row],[현금지출]]-CMA_한투183611[[#This Row],[매입액]]</f>
        <v>0</v>
      </c>
      <c r="J17" s="7">
        <v>2000000</v>
      </c>
      <c r="K17">
        <v>2001775</v>
      </c>
      <c r="M17">
        <v>2001515</v>
      </c>
      <c r="N17">
        <f>CMA_한투183611[[#This Row],[매도액]]-CMA_한투183611[[#This Row],[매도원금]]</f>
        <v>1775</v>
      </c>
      <c r="O17" s="5">
        <f>CMA_한투183611[[#This Row],[매도액]]+CMA_한투183611[[#This Row],[이자배당액]]-CMA_한투183611[[#This Row],[현금수입]]</f>
        <v>260</v>
      </c>
      <c r="P17">
        <f>CMA_한투183611[[#This Row],[매매수익]]+CMA_한투183611[[#This Row],[이자배당액]]-CMA_한투183611[[#This Row],[매도비용]]-CMA_한투183611[[#This Row],[매입비용]]</f>
        <v>1515</v>
      </c>
      <c r="R17" s="5">
        <f>CMA_한투183611[[#This Row],[입출금]]+CMA_한투183611[[#This Row],[현금수입]]-CMA_한투183611[[#This Row],[현금지출]]</f>
        <v>2001515</v>
      </c>
      <c r="S17" s="5">
        <f>SUM($R$2:R17)</f>
        <v>2003969</v>
      </c>
    </row>
    <row r="18" spans="1:19" x14ac:dyDescent="0.3">
      <c r="A18" s="3">
        <v>45260</v>
      </c>
      <c r="B18" s="5" t="s">
        <v>200</v>
      </c>
      <c r="C18" s="9" t="str">
        <f>VLOOKUP(CMA_한투183611[[#This Row],[종목코드]],표3[],2,FALSE)</f>
        <v>한투예수금</v>
      </c>
      <c r="D18" s="62" t="str">
        <f>VLOOKUP(CMA_한투183611[[#This Row],[종목코드]],표3[],4,FALSE)</f>
        <v>한국투자증권 직접투자 원화예수금</v>
      </c>
      <c r="E18" s="75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-42079</v>
      </c>
      <c r="R18" s="5">
        <f>CMA_한투183611[[#This Row],[입출금]]+CMA_한투183611[[#This Row],[현금수입]]-CMA_한투183611[[#This Row],[현금지출]]</f>
        <v>-42079</v>
      </c>
      <c r="S18" s="5">
        <f>SUM($R$2:R18)</f>
        <v>1961890</v>
      </c>
    </row>
    <row r="19" spans="1:19" x14ac:dyDescent="0.3">
      <c r="A19" s="3">
        <v>45264</v>
      </c>
      <c r="B19" s="60" t="s">
        <v>210</v>
      </c>
      <c r="C19" s="9" t="str">
        <f>VLOOKUP(CMA_한투183611[[#This Row],[종목코드]],표3[],2,FALSE)</f>
        <v>E1</v>
      </c>
      <c r="D19" s="62" t="str">
        <f>VLOOKUP(CMA_한투183611[[#This Row],[종목코드]],표3[],4,FALSE)</f>
        <v>E1</v>
      </c>
      <c r="E19" s="75">
        <v>32</v>
      </c>
      <c r="F19" s="7">
        <v>1961600</v>
      </c>
      <c r="G19" s="5">
        <v>1961870</v>
      </c>
      <c r="H19" s="5">
        <f>CMA_한투183611[[#This Row],[현금지출]]-CMA_한투183611[[#This Row],[매입액]]</f>
        <v>270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-270</v>
      </c>
      <c r="R19" s="5">
        <f>CMA_한투183611[[#This Row],[입출금]]+CMA_한투183611[[#This Row],[현금수입]]-CMA_한투183611[[#This Row],[현금지출]]</f>
        <v>-1961870</v>
      </c>
      <c r="S19" s="5">
        <f>SUM($R$2:R19)</f>
        <v>20</v>
      </c>
    </row>
    <row r="20" spans="1:19" x14ac:dyDescent="0.3">
      <c r="A20" s="3">
        <v>45264</v>
      </c>
      <c r="B20" s="5" t="s">
        <v>200</v>
      </c>
      <c r="C20" s="9" t="str">
        <f>VLOOKUP(CMA_한투183611[[#This Row],[종목코드]],표3[],2,FALSE)</f>
        <v>한투예수금</v>
      </c>
      <c r="D20" s="62" t="str">
        <f>VLOOKUP(CMA_한투183611[[#This Row],[종목코드]],표3[],4,FALSE)</f>
        <v>한국투자증권 직접투자 원화예수금</v>
      </c>
      <c r="E20" s="75"/>
      <c r="H20" s="5">
        <f>CMA_한투183611[[#This Row],[현금지출]]-CMA_한투183611[[#This Row],[매입액]]</f>
        <v>0</v>
      </c>
      <c r="L20" s="7">
        <v>1442</v>
      </c>
      <c r="M20">
        <v>1442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1442</v>
      </c>
      <c r="R20" s="5">
        <f>CMA_한투183611[[#This Row],[입출금]]+CMA_한투183611[[#This Row],[현금수입]]-CMA_한투183611[[#This Row],[현금지출]]</f>
        <v>1442</v>
      </c>
      <c r="S20" s="5">
        <f>SUM($R$2:R20)</f>
        <v>1462</v>
      </c>
    </row>
    <row r="21" spans="1:19" x14ac:dyDescent="0.3">
      <c r="A21" s="3">
        <v>45266</v>
      </c>
      <c r="B21" s="87" t="s">
        <v>168</v>
      </c>
      <c r="C21" s="9" t="str">
        <f>VLOOKUP(CMA_한투183611[[#This Row],[종목코드]],표3[],2,FALSE)</f>
        <v>(수시)한투원화발행어음</v>
      </c>
      <c r="D21" s="62" t="str">
        <f>VLOOKUP(CMA_한투183611[[#This Row],[종목코드]],표3[],4,FALSE)</f>
        <v>한국투자증권 직접투자계좌 원화발행어음(수시)</v>
      </c>
      <c r="E21" s="75"/>
      <c r="H21" s="5">
        <f>CMA_한투183611[[#This Row],[현금지출]]-CMA_한투183611[[#This Row],[매입액]]</f>
        <v>0</v>
      </c>
      <c r="J21" s="7">
        <v>5000000</v>
      </c>
      <c r="K21">
        <v>5010356</v>
      </c>
      <c r="M21" s="7">
        <v>5008776</v>
      </c>
      <c r="N21">
        <f>CMA_한투183611[[#This Row],[매도액]]-CMA_한투183611[[#This Row],[매도원금]]</f>
        <v>10356</v>
      </c>
      <c r="O21" s="5">
        <f>CMA_한투183611[[#This Row],[매도액]]+CMA_한투183611[[#This Row],[이자배당액]]-CMA_한투183611[[#This Row],[현금수입]]</f>
        <v>1580</v>
      </c>
      <c r="P21">
        <f>CMA_한투183611[[#This Row],[매매수익]]+CMA_한투183611[[#This Row],[이자배당액]]-CMA_한투183611[[#This Row],[매도비용]]-CMA_한투183611[[#This Row],[매입비용]]</f>
        <v>8776</v>
      </c>
      <c r="R21" s="5">
        <f>CMA_한투183611[[#This Row],[입출금]]+CMA_한투183611[[#This Row],[현금수입]]-CMA_한투183611[[#This Row],[현금지출]]</f>
        <v>5008776</v>
      </c>
      <c r="S21" s="5">
        <f>SUM($R$2:R21)</f>
        <v>5010238</v>
      </c>
    </row>
    <row r="22" spans="1:19" x14ac:dyDescent="0.3">
      <c r="A22" s="3">
        <v>45266</v>
      </c>
      <c r="B22" s="87" t="s">
        <v>175</v>
      </c>
      <c r="C22" s="9" t="str">
        <f>VLOOKUP(CMA_한투183611[[#This Row],[종목코드]],표3[],2,FALSE)</f>
        <v>(약정)한투원화발행어음</v>
      </c>
      <c r="D22" s="62" t="str">
        <f>VLOOKUP(CMA_한투183611[[#This Row],[종목코드]],표3[],4,FALSE)</f>
        <v>한국투자증권 직접투자계좌 원화발행어음(약정)</v>
      </c>
      <c r="E22" s="75">
        <v>1</v>
      </c>
      <c r="F22" s="7">
        <v>5010238</v>
      </c>
      <c r="G22" s="5">
        <v>5010238</v>
      </c>
      <c r="H22" s="5">
        <f>CMA_한투183611[[#This Row],[현금지출]]-CMA_한투183611[[#This Row],[매입액]]</f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0</v>
      </c>
      <c r="R22" s="5">
        <f>CMA_한투183611[[#This Row],[입출금]]+CMA_한투183611[[#This Row],[현금수입]]-CMA_한투183611[[#This Row],[현금지출]]</f>
        <v>-5010238</v>
      </c>
      <c r="S22" s="5">
        <f>SUM($R$2:R22)</f>
        <v>0</v>
      </c>
    </row>
    <row r="23" spans="1:19" x14ac:dyDescent="0.3">
      <c r="A23" s="3">
        <v>45271</v>
      </c>
      <c r="B23" s="87" t="s">
        <v>168</v>
      </c>
      <c r="C23" s="9" t="str">
        <f>VLOOKUP(CMA_한투183611[[#This Row],[종목코드]],표3[],2,FALSE)</f>
        <v>(수시)한투원화발행어음</v>
      </c>
      <c r="D23" s="62" t="str">
        <f>VLOOKUP(CMA_한투183611[[#This Row],[종목코드]],표3[],4,FALSE)</f>
        <v>한국투자증권 직접투자계좌 원화발행어음(수시)</v>
      </c>
      <c r="E23" s="75"/>
      <c r="H23" s="5">
        <f>CMA_한투183611[[#This Row],[현금지출]]-CMA_한투183611[[#This Row],[매입액]]</f>
        <v>0</v>
      </c>
      <c r="J23" s="7">
        <v>1000000</v>
      </c>
      <c r="K23">
        <v>1003945</v>
      </c>
      <c r="M23">
        <v>1003345</v>
      </c>
      <c r="N23">
        <f>CMA_한투183611[[#This Row],[매도액]]-CMA_한투183611[[#This Row],[매도원금]]</f>
        <v>3945</v>
      </c>
      <c r="O23" s="5">
        <f>CMA_한투183611[[#This Row],[매도액]]+CMA_한투183611[[#This Row],[이자배당액]]-CMA_한투183611[[#This Row],[현금수입]]</f>
        <v>600</v>
      </c>
      <c r="P23">
        <f>CMA_한투183611[[#This Row],[매매수익]]+CMA_한투183611[[#This Row],[이자배당액]]-CMA_한투183611[[#This Row],[매도비용]]-CMA_한투183611[[#This Row],[매입비용]]</f>
        <v>3345</v>
      </c>
      <c r="R23" s="5">
        <f>CMA_한투183611[[#This Row],[입출금]]+CMA_한투183611[[#This Row],[현금수입]]-CMA_한투183611[[#This Row],[현금지출]]</f>
        <v>1003345</v>
      </c>
      <c r="S23" s="5">
        <f>SUM($R$2:R23)</f>
        <v>1003345</v>
      </c>
    </row>
    <row r="24" spans="1:19" x14ac:dyDescent="0.3">
      <c r="A24" s="3">
        <v>45271</v>
      </c>
      <c r="B24" s="5" t="s">
        <v>210</v>
      </c>
      <c r="C24" s="9" t="str">
        <f>VLOOKUP(CMA_한투183611[[#This Row],[종목코드]],표3[],2,FALSE)</f>
        <v>E1</v>
      </c>
      <c r="D24" s="62" t="str">
        <f>VLOOKUP(CMA_한투183611[[#This Row],[종목코드]],표3[],4,FALSE)</f>
        <v>E1</v>
      </c>
      <c r="E24" s="75">
        <v>16</v>
      </c>
      <c r="F24" s="7">
        <f>16*60700</f>
        <v>971200</v>
      </c>
      <c r="G24" s="5">
        <f>971200+130</f>
        <v>971330</v>
      </c>
      <c r="H24" s="5">
        <f>CMA_한투183611[[#This Row],[현금지출]]-CMA_한투183611[[#This Row],[매입액]]</f>
        <v>130</v>
      </c>
      <c r="N24">
        <f>CMA_한투183611[[#This Row],[매도액]]-CMA_한투183611[[#This Row],[매도원금]]</f>
        <v>0</v>
      </c>
      <c r="O24" s="5">
        <f>CMA_한투183611[[#This Row],[매도액]]+CMA_한투183611[[#This Row],[이자배당액]]-CMA_한투183611[[#This Row],[현금수입]]</f>
        <v>0</v>
      </c>
      <c r="P24">
        <f>CMA_한투183611[[#This Row],[매매수익]]+CMA_한투183611[[#This Row],[이자배당액]]-CMA_한투183611[[#This Row],[매도비용]]-CMA_한투183611[[#This Row],[매입비용]]</f>
        <v>-130</v>
      </c>
      <c r="R24" s="5">
        <f>CMA_한투183611[[#This Row],[입출금]]+CMA_한투183611[[#This Row],[현금수입]]-CMA_한투183611[[#This Row],[현금지출]]</f>
        <v>-971330</v>
      </c>
      <c r="S24" s="5">
        <f>SUM($R$2:R24)</f>
        <v>32015</v>
      </c>
    </row>
  </sheetData>
  <phoneticPr fontId="4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zoomScale="85" zoomScaleNormal="85" workbookViewId="0">
      <selection activeCell="Q27" sqref="Q27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64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9" t="s">
        <v>133</v>
      </c>
      <c r="F1" s="16" t="s">
        <v>57</v>
      </c>
      <c r="G1" s="16" t="s">
        <v>56</v>
      </c>
      <c r="H1" s="16" t="s">
        <v>28</v>
      </c>
      <c r="I1" s="65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19" x14ac:dyDescent="0.3">
      <c r="A2" s="3">
        <v>45078</v>
      </c>
      <c r="B2" s="5" t="s">
        <v>87</v>
      </c>
      <c r="C2" s="92" t="str">
        <f>VLOOKUP(CMA_한투1836[[#This Row],[종목코드]],표3[],2,FALSE)</f>
        <v>한투CMA</v>
      </c>
      <c r="D2" t="str">
        <f>VLOOKUP(CMA_한투1836[[#This Row],[종목코드]],표3[],4,FALSE)</f>
        <v>한국투자증권 CMA</v>
      </c>
      <c r="E2" s="75">
        <v>1</v>
      </c>
      <c r="F2">
        <v>1000001</v>
      </c>
      <c r="G2">
        <v>1000001</v>
      </c>
      <c r="H2">
        <f>CMA_한투1836[[#This Row],[현금지출]]-CMA_한투1836[[#This Row],[매입액]]</f>
        <v>0</v>
      </c>
      <c r="I2" s="64"/>
      <c r="J2"/>
      <c r="K2"/>
      <c r="M2">
        <v>0</v>
      </c>
      <c r="N2">
        <f>CMA_한투1836[[#This Row],[매도액]]-CMA_한투1836[[#This Row],[매도원금]]</f>
        <v>0</v>
      </c>
      <c r="O2">
        <f>CMA_한투1836[[#This Row],[매도액]]+CMA_한투1836[[#This Row],[이자배당액]]-CMA_한투1836[[#This Row],[현금수입]]</f>
        <v>0</v>
      </c>
      <c r="P2">
        <f>CMA_한투1836[[#This Row],[매매수익]]+CMA_한투1836[[#This Row],[이자배당액]]-CMA_한투1836[[#This Row],[매도비용]]-CMA_한투1836[[#This Row],[매입비용]]</f>
        <v>0</v>
      </c>
      <c r="Q2">
        <v>1000001</v>
      </c>
      <c r="R2">
        <f>CMA_한투1836[[#This Row],[입출금]]+CMA_한투1836[[#This Row],[현금수입]]-CMA_한투1836[[#This Row],[현금지출]]</f>
        <v>0</v>
      </c>
      <c r="S2">
        <f>SUM($R$2:R2)</f>
        <v>0</v>
      </c>
    </row>
    <row r="3" spans="1:19" x14ac:dyDescent="0.3">
      <c r="A3" s="3">
        <v>45079</v>
      </c>
      <c r="B3" s="5" t="s">
        <v>87</v>
      </c>
      <c r="C3" s="92" t="str">
        <f>VLOOKUP(CMA_한투1836[[#This Row],[종목코드]],표3[],2,FALSE)</f>
        <v>한투CMA</v>
      </c>
      <c r="D3" t="str">
        <f>VLOOKUP(CMA_한투1836[[#This Row],[종목코드]],표3[],4,FALSE)</f>
        <v>한국투자증권 CMA</v>
      </c>
      <c r="E3" s="75"/>
      <c r="F3">
        <v>1000089</v>
      </c>
      <c r="G3">
        <v>1000089</v>
      </c>
      <c r="H3">
        <f>CMA_한투1836[[#This Row],[현금지출]]-CMA_한투1836[[#This Row],[매입액]]</f>
        <v>0</v>
      </c>
      <c r="I3" s="64"/>
      <c r="J3">
        <v>1000001</v>
      </c>
      <c r="K3">
        <v>1000099</v>
      </c>
      <c r="M3">
        <v>1000089</v>
      </c>
      <c r="N3">
        <f>CMA_한투1836[[#This Row],[매도액]]-CMA_한투1836[[#This Row],[매도원금]]</f>
        <v>98</v>
      </c>
      <c r="O3">
        <f>CMA_한투1836[[#This Row],[매도액]]+CMA_한투1836[[#This Row],[이자배당액]]-CMA_한투1836[[#This Row],[현금수입]]</f>
        <v>10</v>
      </c>
      <c r="P3">
        <f>CMA_한투1836[[#This Row],[매매수익]]+CMA_한투1836[[#This Row],[이자배당액]]-CMA_한투1836[[#This Row],[매도비용]]-CMA_한투1836[[#This Row],[매입비용]]</f>
        <v>88</v>
      </c>
      <c r="R3">
        <f>CMA_한투1836[[#This Row],[입출금]]+CMA_한투1836[[#This Row],[현금수입]]-CMA_한투1836[[#This Row],[현금지출]]</f>
        <v>0</v>
      </c>
      <c r="S3">
        <f>SUM($R$2:R3)</f>
        <v>0</v>
      </c>
    </row>
    <row r="4" spans="1:19" x14ac:dyDescent="0.3">
      <c r="A4" s="3">
        <v>45080</v>
      </c>
      <c r="B4" s="5" t="s">
        <v>87</v>
      </c>
      <c r="C4" s="92" t="str">
        <f>VLOOKUP(CMA_한투1836[[#This Row],[종목코드]],표3[],2,FALSE)</f>
        <v>한투CMA</v>
      </c>
      <c r="D4" t="str">
        <f>VLOOKUP(CMA_한투1836[[#This Row],[종목코드]],표3[],4,FALSE)</f>
        <v>한국투자증권 CMA</v>
      </c>
      <c r="E4" s="75"/>
      <c r="F4">
        <v>1000177</v>
      </c>
      <c r="G4">
        <v>1000177</v>
      </c>
      <c r="H4">
        <f>CMA_한투1836[[#This Row],[현금지출]]-CMA_한투1836[[#This Row],[매입액]]</f>
        <v>0</v>
      </c>
      <c r="I4" s="64"/>
      <c r="J4">
        <v>1000089</v>
      </c>
      <c r="K4">
        <v>1000187</v>
      </c>
      <c r="M4">
        <v>1000177</v>
      </c>
      <c r="N4">
        <f>CMA_한투1836[[#This Row],[매도액]]-CMA_한투1836[[#This Row],[매도원금]]</f>
        <v>98</v>
      </c>
      <c r="O4">
        <f>CMA_한투1836[[#This Row],[매도액]]+CMA_한투1836[[#This Row],[이자배당액]]-CMA_한투1836[[#This Row],[현금수입]]</f>
        <v>10</v>
      </c>
      <c r="P4">
        <f>CMA_한투1836[[#This Row],[매매수익]]+CMA_한투1836[[#This Row],[이자배당액]]-CMA_한투1836[[#This Row],[매도비용]]-CMA_한투1836[[#This Row],[매입비용]]</f>
        <v>88</v>
      </c>
      <c r="R4">
        <f>CMA_한투1836[[#This Row],[입출금]]+CMA_한투1836[[#This Row],[현금수입]]-CMA_한투1836[[#This Row],[현금지출]]</f>
        <v>0</v>
      </c>
      <c r="S4">
        <f>SUM($R$2:R4)</f>
        <v>0</v>
      </c>
    </row>
    <row r="5" spans="1:19" x14ac:dyDescent="0.3">
      <c r="A5" s="3">
        <v>45081</v>
      </c>
      <c r="B5" s="5" t="s">
        <v>87</v>
      </c>
      <c r="C5" s="92" t="str">
        <f>VLOOKUP(CMA_한투1836[[#This Row],[종목코드]],표3[],2,FALSE)</f>
        <v>한투CMA</v>
      </c>
      <c r="D5" t="str">
        <f>VLOOKUP(CMA_한투1836[[#This Row],[종목코드]],표3[],4,FALSE)</f>
        <v>한국투자증권 CMA</v>
      </c>
      <c r="E5" s="75"/>
      <c r="F5">
        <v>1000265</v>
      </c>
      <c r="G5">
        <v>1000265</v>
      </c>
      <c r="H5">
        <f>CMA_한투1836[[#This Row],[현금지출]]-CMA_한투1836[[#This Row],[매입액]]</f>
        <v>0</v>
      </c>
      <c r="I5" s="64"/>
      <c r="J5">
        <v>1000177</v>
      </c>
      <c r="K5">
        <v>1000275</v>
      </c>
      <c r="M5">
        <v>1000265</v>
      </c>
      <c r="N5">
        <f>CMA_한투1836[[#This Row],[매도액]]-CMA_한투1836[[#This Row],[매도원금]]</f>
        <v>98</v>
      </c>
      <c r="O5">
        <f>CMA_한투1836[[#This Row],[매도액]]+CMA_한투1836[[#This Row],[이자배당액]]-CMA_한투1836[[#This Row],[현금수입]]</f>
        <v>10</v>
      </c>
      <c r="P5">
        <f>CMA_한투1836[[#This Row],[매매수익]]+CMA_한투1836[[#This Row],[이자배당액]]-CMA_한투1836[[#This Row],[매도비용]]-CMA_한투1836[[#This Row],[매입비용]]</f>
        <v>88</v>
      </c>
      <c r="R5">
        <f>CMA_한투1836[[#This Row],[입출금]]+CMA_한투1836[[#This Row],[현금수입]]-CMA_한투1836[[#This Row],[현금지출]]</f>
        <v>0</v>
      </c>
      <c r="S5">
        <f>SUM($R$2:R5)</f>
        <v>0</v>
      </c>
    </row>
    <row r="6" spans="1:19" x14ac:dyDescent="0.3">
      <c r="A6" s="3">
        <v>45082</v>
      </c>
      <c r="B6" s="5" t="s">
        <v>87</v>
      </c>
      <c r="C6" s="92" t="str">
        <f>VLOOKUP(CMA_한투1836[[#This Row],[종목코드]],표3[],2,FALSE)</f>
        <v>한투CMA</v>
      </c>
      <c r="D6" t="str">
        <f>VLOOKUP(CMA_한투1836[[#This Row],[종목코드]],표3[],4,FALSE)</f>
        <v>한국투자증권 CMA</v>
      </c>
      <c r="E6" s="75"/>
      <c r="F6">
        <v>1000353</v>
      </c>
      <c r="G6">
        <v>1000353</v>
      </c>
      <c r="H6">
        <f>CMA_한투1836[[#This Row],[현금지출]]-CMA_한투1836[[#This Row],[매입액]]</f>
        <v>0</v>
      </c>
      <c r="I6" s="64"/>
      <c r="J6">
        <v>1000265</v>
      </c>
      <c r="K6">
        <v>1000363</v>
      </c>
      <c r="M6">
        <v>1000353</v>
      </c>
      <c r="N6">
        <f>CMA_한투1836[[#This Row],[매도액]]-CMA_한투1836[[#This Row],[매도원금]]</f>
        <v>98</v>
      </c>
      <c r="O6">
        <f>CMA_한투1836[[#This Row],[매도액]]+CMA_한투1836[[#This Row],[이자배당액]]-CMA_한투1836[[#This Row],[현금수입]]</f>
        <v>10</v>
      </c>
      <c r="P6">
        <f>CMA_한투1836[[#This Row],[매매수익]]+CMA_한투1836[[#This Row],[이자배당액]]-CMA_한투1836[[#This Row],[매도비용]]-CMA_한투1836[[#This Row],[매입비용]]</f>
        <v>88</v>
      </c>
      <c r="R6">
        <f>CMA_한투1836[[#This Row],[입출금]]+CMA_한투1836[[#This Row],[현금수입]]-CMA_한투1836[[#This Row],[현금지출]]</f>
        <v>0</v>
      </c>
      <c r="S6">
        <f>SUM($R$2:R6)</f>
        <v>0</v>
      </c>
    </row>
    <row r="7" spans="1:19" x14ac:dyDescent="0.3">
      <c r="A7" s="3">
        <v>45083</v>
      </c>
      <c r="B7" s="5" t="s">
        <v>87</v>
      </c>
      <c r="C7" s="92" t="str">
        <f>VLOOKUP(CMA_한투1836[[#This Row],[종목코드]],표3[],2,FALSE)</f>
        <v>한투CMA</v>
      </c>
      <c r="D7" t="str">
        <f>VLOOKUP(CMA_한투1836[[#This Row],[종목코드]],표3[],4,FALSE)</f>
        <v>한국투자증권 CMA</v>
      </c>
      <c r="E7" s="75"/>
      <c r="F7">
        <v>1000441</v>
      </c>
      <c r="G7">
        <v>1000441</v>
      </c>
      <c r="H7">
        <f>CMA_한투1836[[#This Row],[현금지출]]-CMA_한투1836[[#This Row],[매입액]]</f>
        <v>0</v>
      </c>
      <c r="I7" s="64"/>
      <c r="J7">
        <v>1000353</v>
      </c>
      <c r="K7">
        <v>1000451</v>
      </c>
      <c r="M7">
        <v>1000441</v>
      </c>
      <c r="N7">
        <f>CMA_한투1836[[#This Row],[매도액]]-CMA_한투1836[[#This Row],[매도원금]]</f>
        <v>98</v>
      </c>
      <c r="O7">
        <f>CMA_한투1836[[#This Row],[매도액]]+CMA_한투1836[[#This Row],[이자배당액]]-CMA_한투1836[[#This Row],[현금수입]]</f>
        <v>10</v>
      </c>
      <c r="P7">
        <f>CMA_한투1836[[#This Row],[매매수익]]+CMA_한투1836[[#This Row],[이자배당액]]-CMA_한투1836[[#This Row],[매도비용]]-CMA_한투1836[[#This Row],[매입비용]]</f>
        <v>88</v>
      </c>
      <c r="R7">
        <f>CMA_한투1836[[#This Row],[입출금]]+CMA_한투1836[[#This Row],[현금수입]]-CMA_한투1836[[#This Row],[현금지출]]</f>
        <v>0</v>
      </c>
      <c r="S7">
        <f>SUM($R$2:R7)</f>
        <v>0</v>
      </c>
    </row>
    <row r="8" spans="1:19" x14ac:dyDescent="0.3">
      <c r="A8" s="3">
        <v>45084</v>
      </c>
      <c r="B8" s="5" t="s">
        <v>87</v>
      </c>
      <c r="C8" s="92" t="str">
        <f>VLOOKUP(CMA_한투1836[[#This Row],[종목코드]],표3[],2,FALSE)</f>
        <v>한투CMA</v>
      </c>
      <c r="D8" t="str">
        <f>VLOOKUP(CMA_한투1836[[#This Row],[종목코드]],표3[],4,FALSE)</f>
        <v>한국투자증권 CMA</v>
      </c>
      <c r="E8" s="75"/>
      <c r="F8">
        <v>1000529</v>
      </c>
      <c r="G8">
        <v>1000529</v>
      </c>
      <c r="H8">
        <f>CMA_한투1836[[#This Row],[현금지출]]-CMA_한투1836[[#This Row],[매입액]]</f>
        <v>0</v>
      </c>
      <c r="I8" s="64"/>
      <c r="J8">
        <v>1000441</v>
      </c>
      <c r="K8">
        <v>1000539</v>
      </c>
      <c r="M8">
        <v>1000529</v>
      </c>
      <c r="N8">
        <f>CMA_한투1836[[#This Row],[매도액]]-CMA_한투1836[[#This Row],[매도원금]]</f>
        <v>98</v>
      </c>
      <c r="O8">
        <f>CMA_한투1836[[#This Row],[매도액]]+CMA_한투1836[[#This Row],[이자배당액]]-CMA_한투1836[[#This Row],[현금수입]]</f>
        <v>10</v>
      </c>
      <c r="P8">
        <f>CMA_한투1836[[#This Row],[매매수익]]+CMA_한투1836[[#This Row],[이자배당액]]-CMA_한투1836[[#This Row],[매도비용]]-CMA_한투1836[[#This Row],[매입비용]]</f>
        <v>88</v>
      </c>
      <c r="R8">
        <f>CMA_한투1836[[#This Row],[입출금]]+CMA_한투1836[[#This Row],[현금수입]]-CMA_한투1836[[#This Row],[현금지출]]</f>
        <v>0</v>
      </c>
      <c r="S8">
        <f>SUM($R$2:R8)</f>
        <v>0</v>
      </c>
    </row>
    <row r="9" spans="1:19" x14ac:dyDescent="0.3">
      <c r="A9" s="3">
        <v>45085</v>
      </c>
      <c r="B9" s="5" t="s">
        <v>87</v>
      </c>
      <c r="C9" s="92" t="str">
        <f>VLOOKUP(CMA_한투1836[[#This Row],[종목코드]],표3[],2,FALSE)</f>
        <v>한투CMA</v>
      </c>
      <c r="D9" t="str">
        <f>VLOOKUP(CMA_한투1836[[#This Row],[종목코드]],표3[],4,FALSE)</f>
        <v>한국투자증권 CMA</v>
      </c>
      <c r="E9" s="75"/>
      <c r="F9">
        <v>1000617</v>
      </c>
      <c r="G9">
        <v>1000617</v>
      </c>
      <c r="H9">
        <f>CMA_한투1836[[#This Row],[현금지출]]-CMA_한투1836[[#This Row],[매입액]]</f>
        <v>0</v>
      </c>
      <c r="I9" s="64"/>
      <c r="J9">
        <v>1000529</v>
      </c>
      <c r="K9">
        <v>1000627</v>
      </c>
      <c r="M9">
        <v>1000617</v>
      </c>
      <c r="N9">
        <f>CMA_한투1836[[#This Row],[매도액]]-CMA_한투1836[[#This Row],[매도원금]]</f>
        <v>98</v>
      </c>
      <c r="O9">
        <f>CMA_한투1836[[#This Row],[매도액]]+CMA_한투1836[[#This Row],[이자배당액]]-CMA_한투1836[[#This Row],[현금수입]]</f>
        <v>10</v>
      </c>
      <c r="P9">
        <f>CMA_한투1836[[#This Row],[매매수익]]+CMA_한투1836[[#This Row],[이자배당액]]-CMA_한투1836[[#This Row],[매도비용]]-CMA_한투1836[[#This Row],[매입비용]]</f>
        <v>88</v>
      </c>
      <c r="R9">
        <f>CMA_한투1836[[#This Row],[입출금]]+CMA_한투1836[[#This Row],[현금수입]]-CMA_한투1836[[#This Row],[현금지출]]</f>
        <v>0</v>
      </c>
      <c r="S9">
        <f>SUM($R$2:R9)</f>
        <v>0</v>
      </c>
    </row>
    <row r="10" spans="1:19" x14ac:dyDescent="0.3">
      <c r="A10" s="3">
        <v>45086</v>
      </c>
      <c r="B10" s="5" t="s">
        <v>87</v>
      </c>
      <c r="C10" s="92" t="str">
        <f>VLOOKUP(CMA_한투1836[[#This Row],[종목코드]],표3[],2,FALSE)</f>
        <v>한투CMA</v>
      </c>
      <c r="D10" t="str">
        <f>VLOOKUP(CMA_한투1836[[#This Row],[종목코드]],표3[],4,FALSE)</f>
        <v>한국투자증권 CMA</v>
      </c>
      <c r="E10" s="75"/>
      <c r="F10">
        <v>1000705</v>
      </c>
      <c r="G10">
        <v>1000705</v>
      </c>
      <c r="H10">
        <f>CMA_한투1836[[#This Row],[현금지출]]-CMA_한투1836[[#This Row],[매입액]]</f>
        <v>0</v>
      </c>
      <c r="I10" s="64"/>
      <c r="J10">
        <v>1000617</v>
      </c>
      <c r="K10">
        <v>1000715</v>
      </c>
      <c r="M10">
        <v>1000705</v>
      </c>
      <c r="N10">
        <f>CMA_한투1836[[#This Row],[매도액]]-CMA_한투1836[[#This Row],[매도원금]]</f>
        <v>98</v>
      </c>
      <c r="O10">
        <f>CMA_한투1836[[#This Row],[매도액]]+CMA_한투1836[[#This Row],[이자배당액]]-CMA_한투1836[[#This Row],[현금수입]]</f>
        <v>10</v>
      </c>
      <c r="P10">
        <f>CMA_한투1836[[#This Row],[매매수익]]+CMA_한투1836[[#This Row],[이자배당액]]-CMA_한투1836[[#This Row],[매도비용]]-CMA_한투1836[[#This Row],[매입비용]]</f>
        <v>88</v>
      </c>
      <c r="R10">
        <f>CMA_한투1836[[#This Row],[입출금]]+CMA_한투1836[[#This Row],[현금수입]]-CMA_한투1836[[#This Row],[현금지출]]</f>
        <v>0</v>
      </c>
      <c r="S10">
        <f>SUM($R$2:R10)</f>
        <v>0</v>
      </c>
    </row>
    <row r="11" spans="1:19" x14ac:dyDescent="0.3">
      <c r="A11" s="3">
        <v>45087</v>
      </c>
      <c r="B11" s="5" t="s">
        <v>87</v>
      </c>
      <c r="C11" s="92" t="str">
        <f>VLOOKUP(CMA_한투1836[[#This Row],[종목코드]],표3[],2,FALSE)</f>
        <v>한투CMA</v>
      </c>
      <c r="D11" t="str">
        <f>VLOOKUP(CMA_한투1836[[#This Row],[종목코드]],표3[],4,FALSE)</f>
        <v>한국투자증권 CMA</v>
      </c>
      <c r="E11" s="75"/>
      <c r="F11">
        <v>1000793</v>
      </c>
      <c r="G11">
        <v>1000793</v>
      </c>
      <c r="H11">
        <f>CMA_한투1836[[#This Row],[현금지출]]-CMA_한투1836[[#This Row],[매입액]]</f>
        <v>0</v>
      </c>
      <c r="I11" s="64"/>
      <c r="J11">
        <v>1000705</v>
      </c>
      <c r="K11">
        <v>1000803</v>
      </c>
      <c r="M11">
        <v>1000793</v>
      </c>
      <c r="N11">
        <f>CMA_한투1836[[#This Row],[매도액]]-CMA_한투1836[[#This Row],[매도원금]]</f>
        <v>98</v>
      </c>
      <c r="O11">
        <f>CMA_한투1836[[#This Row],[매도액]]+CMA_한투1836[[#This Row],[이자배당액]]-CMA_한투1836[[#This Row],[현금수입]]</f>
        <v>10</v>
      </c>
      <c r="P11">
        <f>CMA_한투1836[[#This Row],[매매수익]]+CMA_한투1836[[#This Row],[이자배당액]]-CMA_한투1836[[#This Row],[매도비용]]-CMA_한투1836[[#This Row],[매입비용]]</f>
        <v>88</v>
      </c>
      <c r="R11">
        <f>CMA_한투1836[[#This Row],[입출금]]+CMA_한투1836[[#This Row],[현금수입]]-CMA_한투1836[[#This Row],[현금지출]]</f>
        <v>0</v>
      </c>
      <c r="S11">
        <f>SUM($R$2:R11)</f>
        <v>0</v>
      </c>
    </row>
    <row r="12" spans="1:19" x14ac:dyDescent="0.3">
      <c r="A12" s="3">
        <v>45088</v>
      </c>
      <c r="B12" s="5" t="s">
        <v>87</v>
      </c>
      <c r="C12" s="92" t="str">
        <f>VLOOKUP(CMA_한투1836[[#This Row],[종목코드]],표3[],2,FALSE)</f>
        <v>한투CMA</v>
      </c>
      <c r="D12" t="str">
        <f>VLOOKUP(CMA_한투1836[[#This Row],[종목코드]],표3[],4,FALSE)</f>
        <v>한국투자증권 CMA</v>
      </c>
      <c r="E12" s="75"/>
      <c r="F12">
        <v>1000881</v>
      </c>
      <c r="G12">
        <v>1000881</v>
      </c>
      <c r="H12">
        <f>CMA_한투1836[[#This Row],[현금지출]]-CMA_한투1836[[#This Row],[매입액]]</f>
        <v>0</v>
      </c>
      <c r="I12" s="64"/>
      <c r="J12">
        <v>1000793</v>
      </c>
      <c r="K12">
        <v>1000891</v>
      </c>
      <c r="M12">
        <v>1000881</v>
      </c>
      <c r="N12">
        <f>CMA_한투1836[[#This Row],[매도액]]-CMA_한투1836[[#This Row],[매도원금]]</f>
        <v>98</v>
      </c>
      <c r="O12">
        <f>CMA_한투1836[[#This Row],[매도액]]+CMA_한투1836[[#This Row],[이자배당액]]-CMA_한투1836[[#This Row],[현금수입]]</f>
        <v>10</v>
      </c>
      <c r="P12">
        <f>CMA_한투1836[[#This Row],[매매수익]]+CMA_한투1836[[#This Row],[이자배당액]]-CMA_한투1836[[#This Row],[매도비용]]-CMA_한투1836[[#This Row],[매입비용]]</f>
        <v>88</v>
      </c>
      <c r="R12">
        <f>CMA_한투1836[[#This Row],[입출금]]+CMA_한투1836[[#This Row],[현금수입]]-CMA_한투1836[[#This Row],[현금지출]]</f>
        <v>0</v>
      </c>
      <c r="S12">
        <f>SUM($R$2:R12)</f>
        <v>0</v>
      </c>
    </row>
    <row r="13" spans="1:19" x14ac:dyDescent="0.3">
      <c r="A13" s="3">
        <v>45089</v>
      </c>
      <c r="B13" s="5" t="s">
        <v>87</v>
      </c>
      <c r="C13" s="92" t="str">
        <f>VLOOKUP(CMA_한투1836[[#This Row],[종목코드]],표3[],2,FALSE)</f>
        <v>한투CMA</v>
      </c>
      <c r="D13" t="str">
        <f>VLOOKUP(CMA_한투1836[[#This Row],[종목코드]],표3[],4,FALSE)</f>
        <v>한국투자증권 CMA</v>
      </c>
      <c r="E13" s="75"/>
      <c r="F13">
        <v>1000969</v>
      </c>
      <c r="G13">
        <v>1000969</v>
      </c>
      <c r="H13">
        <f>CMA_한투1836[[#This Row],[현금지출]]-CMA_한투1836[[#This Row],[매입액]]</f>
        <v>0</v>
      </c>
      <c r="I13" s="64"/>
      <c r="J13">
        <v>1000881</v>
      </c>
      <c r="K13">
        <v>1000979</v>
      </c>
      <c r="M13">
        <v>1000969</v>
      </c>
      <c r="N13">
        <f>CMA_한투1836[[#This Row],[매도액]]-CMA_한투1836[[#This Row],[매도원금]]</f>
        <v>98</v>
      </c>
      <c r="O13">
        <f>CMA_한투1836[[#This Row],[매도액]]+CMA_한투1836[[#This Row],[이자배당액]]-CMA_한투1836[[#This Row],[현금수입]]</f>
        <v>10</v>
      </c>
      <c r="P13">
        <f>CMA_한투1836[[#This Row],[매매수익]]+CMA_한투1836[[#This Row],[이자배당액]]-CMA_한투1836[[#This Row],[매도비용]]-CMA_한투1836[[#This Row],[매입비용]]</f>
        <v>88</v>
      </c>
      <c r="R13">
        <f>CMA_한투1836[[#This Row],[입출금]]+CMA_한투1836[[#This Row],[현금수입]]-CMA_한투1836[[#This Row],[현금지출]]</f>
        <v>0</v>
      </c>
      <c r="S13">
        <f>SUM($R$2:R13)</f>
        <v>0</v>
      </c>
    </row>
    <row r="14" spans="1:19" ht="17.25" customHeight="1" x14ac:dyDescent="0.3">
      <c r="A14" s="3">
        <v>45090</v>
      </c>
      <c r="B14" s="5" t="s">
        <v>87</v>
      </c>
      <c r="C14" s="92" t="str">
        <f>VLOOKUP(CMA_한투1836[[#This Row],[종목코드]],표3[],2,FALSE)</f>
        <v>한투CMA</v>
      </c>
      <c r="D14" t="str">
        <f>VLOOKUP(CMA_한투1836[[#This Row],[종목코드]],표3[],4,FALSE)</f>
        <v>한국투자증권 CMA</v>
      </c>
      <c r="E14" s="75"/>
      <c r="F14">
        <v>1001057</v>
      </c>
      <c r="G14">
        <v>1001057</v>
      </c>
      <c r="H14">
        <f>CMA_한투1836[[#This Row],[현금지출]]-CMA_한투1836[[#This Row],[매입액]]</f>
        <v>0</v>
      </c>
      <c r="I14" s="64"/>
      <c r="J14">
        <v>1000969</v>
      </c>
      <c r="K14">
        <v>1001067</v>
      </c>
      <c r="M14">
        <v>1001057</v>
      </c>
      <c r="N14">
        <f>CMA_한투1836[[#This Row],[매도액]]-CMA_한투1836[[#This Row],[매도원금]]</f>
        <v>98</v>
      </c>
      <c r="O14">
        <f>CMA_한투1836[[#This Row],[매도액]]+CMA_한투1836[[#This Row],[이자배당액]]-CMA_한투1836[[#This Row],[현금수입]]</f>
        <v>10</v>
      </c>
      <c r="P14">
        <f>CMA_한투1836[[#This Row],[매매수익]]+CMA_한투1836[[#This Row],[이자배당액]]-CMA_한투1836[[#This Row],[매도비용]]-CMA_한투1836[[#This Row],[매입비용]]</f>
        <v>88</v>
      </c>
      <c r="R14">
        <f>CMA_한투1836[[#This Row],[입출금]]+CMA_한투1836[[#This Row],[현금수입]]-CMA_한투1836[[#This Row],[현금지출]]</f>
        <v>0</v>
      </c>
      <c r="S14">
        <f>SUM($R$2:R14)</f>
        <v>0</v>
      </c>
    </row>
    <row r="15" spans="1:19" x14ac:dyDescent="0.3">
      <c r="A15" s="3">
        <v>45091</v>
      </c>
      <c r="B15" s="5" t="s">
        <v>87</v>
      </c>
      <c r="C15" s="92" t="str">
        <f>VLOOKUP(CMA_한투1836[[#This Row],[종목코드]],표3[],2,FALSE)</f>
        <v>한투CMA</v>
      </c>
      <c r="D15" t="str">
        <f>VLOOKUP(CMA_한투1836[[#This Row],[종목코드]],표3[],4,FALSE)</f>
        <v>한국투자증권 CMA</v>
      </c>
      <c r="E15" s="75"/>
      <c r="F15">
        <v>1001145</v>
      </c>
      <c r="G15">
        <v>1001145</v>
      </c>
      <c r="H15">
        <f>CMA_한투1836[[#This Row],[현금지출]]-CMA_한투1836[[#This Row],[매입액]]</f>
        <v>0</v>
      </c>
      <c r="I15" s="64"/>
      <c r="J15">
        <v>1001057</v>
      </c>
      <c r="K15">
        <v>1001155</v>
      </c>
      <c r="M15">
        <v>1001145</v>
      </c>
      <c r="N15">
        <f>CMA_한투1836[[#This Row],[매도액]]-CMA_한투1836[[#This Row],[매도원금]]</f>
        <v>98</v>
      </c>
      <c r="O15">
        <f>CMA_한투1836[[#This Row],[매도액]]+CMA_한투1836[[#This Row],[이자배당액]]-CMA_한투1836[[#This Row],[현금수입]]</f>
        <v>10</v>
      </c>
      <c r="P15">
        <f>CMA_한투1836[[#This Row],[매매수익]]+CMA_한투1836[[#This Row],[이자배당액]]-CMA_한투1836[[#This Row],[매도비용]]-CMA_한투1836[[#This Row],[매입비용]]</f>
        <v>88</v>
      </c>
      <c r="R15">
        <f>CMA_한투1836[[#This Row],[입출금]]+CMA_한투1836[[#This Row],[현금수입]]-CMA_한투1836[[#This Row],[현금지출]]</f>
        <v>0</v>
      </c>
      <c r="S15">
        <f>SUM($R$2:R15)</f>
        <v>0</v>
      </c>
    </row>
    <row r="16" spans="1:19" x14ac:dyDescent="0.3">
      <c r="A16" s="3">
        <v>45092</v>
      </c>
      <c r="B16" s="5" t="s">
        <v>87</v>
      </c>
      <c r="C16" s="92" t="str">
        <f>VLOOKUP(CMA_한투1836[[#This Row],[종목코드]],표3[],2,FALSE)</f>
        <v>한투CMA</v>
      </c>
      <c r="D16" t="str">
        <f>VLOOKUP(CMA_한투1836[[#This Row],[종목코드]],표3[],4,FALSE)</f>
        <v>한국투자증권 CMA</v>
      </c>
      <c r="E16" s="75"/>
      <c r="F16">
        <v>1001233</v>
      </c>
      <c r="G16">
        <v>1001233</v>
      </c>
      <c r="H16">
        <f>CMA_한투1836[[#This Row],[현금지출]]-CMA_한투1836[[#This Row],[매입액]]</f>
        <v>0</v>
      </c>
      <c r="I16" s="64"/>
      <c r="J16">
        <v>1001145</v>
      </c>
      <c r="K16">
        <v>1001243</v>
      </c>
      <c r="M16">
        <v>1001233</v>
      </c>
      <c r="N16">
        <f>CMA_한투1836[[#This Row],[매도액]]-CMA_한투1836[[#This Row],[매도원금]]</f>
        <v>98</v>
      </c>
      <c r="O16">
        <f>CMA_한투1836[[#This Row],[매도액]]+CMA_한투1836[[#This Row],[이자배당액]]-CMA_한투1836[[#This Row],[현금수입]]</f>
        <v>10</v>
      </c>
      <c r="P16">
        <f>CMA_한투1836[[#This Row],[매매수익]]+CMA_한투1836[[#This Row],[이자배당액]]-CMA_한투1836[[#This Row],[매도비용]]-CMA_한투1836[[#This Row],[매입비용]]</f>
        <v>88</v>
      </c>
      <c r="R16">
        <f>CMA_한투1836[[#This Row],[입출금]]+CMA_한투1836[[#This Row],[현금수입]]-CMA_한투1836[[#This Row],[현금지출]]</f>
        <v>0</v>
      </c>
      <c r="S16">
        <f>SUM($R$2:R16)</f>
        <v>0</v>
      </c>
    </row>
    <row r="17" spans="1:19" x14ac:dyDescent="0.3">
      <c r="A17" s="3">
        <v>45093</v>
      </c>
      <c r="B17" s="5" t="s">
        <v>87</v>
      </c>
      <c r="C17" s="92" t="str">
        <f>VLOOKUP(CMA_한투1836[[#This Row],[종목코드]],표3[],2,FALSE)</f>
        <v>한투CMA</v>
      </c>
      <c r="D17" t="str">
        <f>VLOOKUP(CMA_한투1836[[#This Row],[종목코드]],표3[],4,FALSE)</f>
        <v>한국투자증권 CMA</v>
      </c>
      <c r="E17" s="75"/>
      <c r="F17">
        <v>1001321</v>
      </c>
      <c r="G17">
        <v>1001321</v>
      </c>
      <c r="H17">
        <f>CMA_한투1836[[#This Row],[현금지출]]-CMA_한투1836[[#This Row],[매입액]]</f>
        <v>0</v>
      </c>
      <c r="I17" s="64"/>
      <c r="J17">
        <v>1001233</v>
      </c>
      <c r="K17">
        <v>1001331</v>
      </c>
      <c r="M17">
        <v>1001321</v>
      </c>
      <c r="N17">
        <f>CMA_한투1836[[#This Row],[매도액]]-CMA_한투1836[[#This Row],[매도원금]]</f>
        <v>98</v>
      </c>
      <c r="O17">
        <f>CMA_한투1836[[#This Row],[매도액]]+CMA_한투1836[[#This Row],[이자배당액]]-CMA_한투1836[[#This Row],[현금수입]]</f>
        <v>10</v>
      </c>
      <c r="P17">
        <f>CMA_한투1836[[#This Row],[매매수익]]+CMA_한투1836[[#This Row],[이자배당액]]-CMA_한투1836[[#This Row],[매도비용]]-CMA_한투1836[[#This Row],[매입비용]]</f>
        <v>88</v>
      </c>
      <c r="R17">
        <f>CMA_한투1836[[#This Row],[입출금]]+CMA_한투1836[[#This Row],[현금수입]]-CMA_한투1836[[#This Row],[현금지출]]</f>
        <v>0</v>
      </c>
      <c r="S17">
        <f>SUM($R$2:R17)</f>
        <v>0</v>
      </c>
    </row>
    <row r="18" spans="1:19" x14ac:dyDescent="0.3">
      <c r="A18" s="3">
        <v>45094</v>
      </c>
      <c r="B18" s="5" t="s">
        <v>87</v>
      </c>
      <c r="C18" s="92" t="str">
        <f>VLOOKUP(CMA_한투1836[[#This Row],[종목코드]],표3[],2,FALSE)</f>
        <v>한투CMA</v>
      </c>
      <c r="D18" t="str">
        <f>VLOOKUP(CMA_한투1836[[#This Row],[종목코드]],표3[],4,FALSE)</f>
        <v>한국투자증권 CMA</v>
      </c>
      <c r="E18" s="75"/>
      <c r="F18">
        <v>1001409</v>
      </c>
      <c r="G18">
        <v>1001409</v>
      </c>
      <c r="H18">
        <f>CMA_한투1836[[#This Row],[현금지출]]-CMA_한투1836[[#This Row],[매입액]]</f>
        <v>0</v>
      </c>
      <c r="I18" s="64"/>
      <c r="J18">
        <v>1001321</v>
      </c>
      <c r="K18">
        <v>1001419</v>
      </c>
      <c r="M18">
        <v>1001409</v>
      </c>
      <c r="N18">
        <f>CMA_한투1836[[#This Row],[매도액]]-CMA_한투1836[[#This Row],[매도원금]]</f>
        <v>98</v>
      </c>
      <c r="O18">
        <f>CMA_한투1836[[#This Row],[매도액]]+CMA_한투1836[[#This Row],[이자배당액]]-CMA_한투1836[[#This Row],[현금수입]]</f>
        <v>10</v>
      </c>
      <c r="P18">
        <f>CMA_한투1836[[#This Row],[매매수익]]+CMA_한투1836[[#This Row],[이자배당액]]-CMA_한투1836[[#This Row],[매도비용]]-CMA_한투1836[[#This Row],[매입비용]]</f>
        <v>88</v>
      </c>
      <c r="R18">
        <f>CMA_한투1836[[#This Row],[입출금]]+CMA_한투1836[[#This Row],[현금수입]]-CMA_한투1836[[#This Row],[현금지출]]</f>
        <v>0</v>
      </c>
      <c r="S18">
        <f>SUM($R$2:R18)</f>
        <v>0</v>
      </c>
    </row>
    <row r="19" spans="1:19" x14ac:dyDescent="0.3">
      <c r="A19" s="3">
        <v>45095</v>
      </c>
      <c r="B19" s="5" t="s">
        <v>87</v>
      </c>
      <c r="C19" s="92" t="str">
        <f>VLOOKUP(CMA_한투1836[[#This Row],[종목코드]],표3[],2,FALSE)</f>
        <v>한투CMA</v>
      </c>
      <c r="D19" t="str">
        <f>VLOOKUP(CMA_한투1836[[#This Row],[종목코드]],표3[],4,FALSE)</f>
        <v>한국투자증권 CMA</v>
      </c>
      <c r="E19" s="75"/>
      <c r="F19">
        <v>1001497</v>
      </c>
      <c r="G19">
        <v>1001497</v>
      </c>
      <c r="H19">
        <f>CMA_한투1836[[#This Row],[현금지출]]-CMA_한투1836[[#This Row],[매입액]]</f>
        <v>0</v>
      </c>
      <c r="I19" s="64"/>
      <c r="J19">
        <v>1001409</v>
      </c>
      <c r="K19">
        <v>1001507</v>
      </c>
      <c r="M19">
        <v>1001497</v>
      </c>
      <c r="N19">
        <f>CMA_한투1836[[#This Row],[매도액]]-CMA_한투1836[[#This Row],[매도원금]]</f>
        <v>98</v>
      </c>
      <c r="O19">
        <f>CMA_한투1836[[#This Row],[매도액]]+CMA_한투1836[[#This Row],[이자배당액]]-CMA_한투1836[[#This Row],[현금수입]]</f>
        <v>10</v>
      </c>
      <c r="P19">
        <f>CMA_한투1836[[#This Row],[매매수익]]+CMA_한투1836[[#This Row],[이자배당액]]-CMA_한투1836[[#This Row],[매도비용]]-CMA_한투1836[[#This Row],[매입비용]]</f>
        <v>88</v>
      </c>
      <c r="R19">
        <f>CMA_한투1836[[#This Row],[입출금]]+CMA_한투1836[[#This Row],[현금수입]]-CMA_한투1836[[#This Row],[현금지출]]</f>
        <v>0</v>
      </c>
      <c r="S19">
        <f>SUM($R$2:R19)</f>
        <v>0</v>
      </c>
    </row>
    <row r="20" spans="1:19" x14ac:dyDescent="0.3">
      <c r="A20" s="3">
        <v>45096</v>
      </c>
      <c r="B20" s="5" t="s">
        <v>87</v>
      </c>
      <c r="C20" s="92" t="str">
        <f>VLOOKUP(CMA_한투1836[[#This Row],[종목코드]],표3[],2,FALSE)</f>
        <v>한투CMA</v>
      </c>
      <c r="D20" t="str">
        <f>VLOOKUP(CMA_한투1836[[#This Row],[종목코드]],표3[],4,FALSE)</f>
        <v>한국투자증권 CMA</v>
      </c>
      <c r="E20" s="75"/>
      <c r="F20">
        <v>1001585</v>
      </c>
      <c r="G20">
        <v>1001585</v>
      </c>
      <c r="H20">
        <f>CMA_한투1836[[#This Row],[현금지출]]-CMA_한투1836[[#This Row],[매입액]]</f>
        <v>0</v>
      </c>
      <c r="I20" s="64"/>
      <c r="J20">
        <v>1001497</v>
      </c>
      <c r="K20">
        <v>1001595</v>
      </c>
      <c r="M20">
        <v>1001585</v>
      </c>
      <c r="N20">
        <f>CMA_한투1836[[#This Row],[매도액]]-CMA_한투1836[[#This Row],[매도원금]]</f>
        <v>98</v>
      </c>
      <c r="O20">
        <f>CMA_한투1836[[#This Row],[매도액]]+CMA_한투1836[[#This Row],[이자배당액]]-CMA_한투1836[[#This Row],[현금수입]]</f>
        <v>10</v>
      </c>
      <c r="P20">
        <f>CMA_한투1836[[#This Row],[매매수익]]+CMA_한투1836[[#This Row],[이자배당액]]-CMA_한투1836[[#This Row],[매도비용]]-CMA_한투1836[[#This Row],[매입비용]]</f>
        <v>88</v>
      </c>
      <c r="R20">
        <f>CMA_한투1836[[#This Row],[입출금]]+CMA_한투1836[[#This Row],[현금수입]]-CMA_한투1836[[#This Row],[현금지출]]</f>
        <v>0</v>
      </c>
      <c r="S20">
        <f>SUM($R$2:R20)</f>
        <v>0</v>
      </c>
    </row>
    <row r="21" spans="1:19" x14ac:dyDescent="0.3">
      <c r="A21" s="3">
        <v>45097</v>
      </c>
      <c r="B21" s="5" t="s">
        <v>87</v>
      </c>
      <c r="C21" s="92" t="str">
        <f>VLOOKUP(CMA_한투1836[[#This Row],[종목코드]],표3[],2,FALSE)</f>
        <v>한투CMA</v>
      </c>
      <c r="D21" t="str">
        <f>VLOOKUP(CMA_한투1836[[#This Row],[종목코드]],표3[],4,FALSE)</f>
        <v>한국투자증권 CMA</v>
      </c>
      <c r="E21" s="75"/>
      <c r="F21">
        <v>1673</v>
      </c>
      <c r="G21">
        <v>1673</v>
      </c>
      <c r="H21">
        <f>CMA_한투1836[[#This Row],[현금지출]]-CMA_한투1836[[#This Row],[매입액]]</f>
        <v>0</v>
      </c>
      <c r="I21" s="64"/>
      <c r="J21">
        <v>1001585</v>
      </c>
      <c r="K21">
        <v>1001683</v>
      </c>
      <c r="M21">
        <v>1001673</v>
      </c>
      <c r="N21">
        <f>CMA_한투1836[[#This Row],[매도액]]-CMA_한투1836[[#This Row],[매도원금]]</f>
        <v>98</v>
      </c>
      <c r="O21">
        <f>CMA_한투1836[[#This Row],[매도액]]+CMA_한투1836[[#This Row],[이자배당액]]-CMA_한투1836[[#This Row],[현금수입]]</f>
        <v>10</v>
      </c>
      <c r="P21">
        <f>CMA_한투1836[[#This Row],[매매수익]]+CMA_한투1836[[#This Row],[이자배당액]]-CMA_한투1836[[#This Row],[매도비용]]-CMA_한투1836[[#This Row],[매입비용]]</f>
        <v>88</v>
      </c>
      <c r="Q21">
        <v>-1000000</v>
      </c>
      <c r="R21">
        <f>CMA_한투1836[[#This Row],[입출금]]+CMA_한투1836[[#This Row],[현금수입]]-CMA_한투1836[[#This Row],[현금지출]]</f>
        <v>0</v>
      </c>
      <c r="S21">
        <f>SUM($R$2:R21)</f>
        <v>0</v>
      </c>
    </row>
    <row r="22" spans="1:19" x14ac:dyDescent="0.3">
      <c r="A22" s="3">
        <v>45098</v>
      </c>
      <c r="B22" s="5" t="s">
        <v>87</v>
      </c>
      <c r="C22" s="92" t="str">
        <f>VLOOKUP(CMA_한투1836[[#This Row],[종목코드]],표3[],2,FALSE)</f>
        <v>한투CMA</v>
      </c>
      <c r="D22" t="str">
        <f>VLOOKUP(CMA_한투1836[[#This Row],[종목코드]],표3[],4,FALSE)</f>
        <v>한국투자증권 CMA</v>
      </c>
      <c r="E22" s="75"/>
      <c r="F22">
        <v>1673</v>
      </c>
      <c r="G22">
        <v>1673</v>
      </c>
      <c r="H22">
        <f>CMA_한투1836[[#This Row],[현금지출]]-CMA_한투1836[[#This Row],[매입액]]</f>
        <v>0</v>
      </c>
      <c r="I22" s="64"/>
      <c r="J22">
        <v>1673</v>
      </c>
      <c r="K22">
        <v>1673</v>
      </c>
      <c r="M22">
        <v>1673</v>
      </c>
      <c r="N22">
        <f>CMA_한투1836[[#This Row],[매도액]]-CMA_한투1836[[#This Row],[매도원금]]</f>
        <v>0</v>
      </c>
      <c r="O22">
        <f>CMA_한투1836[[#This Row],[매도액]]+CMA_한투1836[[#This Row],[이자배당액]]-CMA_한투1836[[#This Row],[현금수입]]</f>
        <v>0</v>
      </c>
      <c r="P22">
        <f>CMA_한투1836[[#This Row],[매매수익]]+CMA_한투1836[[#This Row],[이자배당액]]-CMA_한투1836[[#This Row],[매도비용]]-CMA_한투1836[[#This Row],[매입비용]]</f>
        <v>0</v>
      </c>
      <c r="R22">
        <f>CMA_한투1836[[#This Row],[입출금]]+CMA_한투1836[[#This Row],[현금수입]]-CMA_한투1836[[#This Row],[현금지출]]</f>
        <v>0</v>
      </c>
      <c r="S22">
        <f>SUM($R$2:R22)</f>
        <v>0</v>
      </c>
    </row>
    <row r="23" spans="1:19" x14ac:dyDescent="0.3">
      <c r="A23" s="3">
        <v>45099</v>
      </c>
      <c r="B23" s="5" t="s">
        <v>87</v>
      </c>
      <c r="C23" s="92" t="str">
        <f>VLOOKUP(CMA_한투1836[[#This Row],[종목코드]],표3[],2,FALSE)</f>
        <v>한투CMA</v>
      </c>
      <c r="D23" t="str">
        <f>VLOOKUP(CMA_한투1836[[#This Row],[종목코드]],표3[],4,FALSE)</f>
        <v>한국투자증권 CMA</v>
      </c>
      <c r="E23" s="75"/>
      <c r="F23">
        <v>1673</v>
      </c>
      <c r="G23">
        <v>1673</v>
      </c>
      <c r="H23">
        <f>CMA_한투1836[[#This Row],[현금지출]]-CMA_한투1836[[#This Row],[매입액]]</f>
        <v>0</v>
      </c>
      <c r="I23" s="64"/>
      <c r="J23">
        <v>1673</v>
      </c>
      <c r="K23">
        <v>1673</v>
      </c>
      <c r="M23">
        <v>1673</v>
      </c>
      <c r="N23">
        <f>CMA_한투1836[[#This Row],[매도액]]-CMA_한투1836[[#This Row],[매도원금]]</f>
        <v>0</v>
      </c>
      <c r="O23">
        <f>CMA_한투1836[[#This Row],[매도액]]+CMA_한투1836[[#This Row],[이자배당액]]-CMA_한투1836[[#This Row],[현금수입]]</f>
        <v>0</v>
      </c>
      <c r="P23">
        <f>CMA_한투1836[[#This Row],[매매수익]]+CMA_한투1836[[#This Row],[이자배당액]]-CMA_한투1836[[#This Row],[매도비용]]-CMA_한투1836[[#This Row],[매입비용]]</f>
        <v>0</v>
      </c>
      <c r="R23">
        <f>CMA_한투1836[[#This Row],[입출금]]+CMA_한투1836[[#This Row],[현금수입]]-CMA_한투1836[[#This Row],[현금지출]]</f>
        <v>0</v>
      </c>
      <c r="S23">
        <f>SUM($R$2:R23)</f>
        <v>0</v>
      </c>
    </row>
    <row r="24" spans="1:19" x14ac:dyDescent="0.3">
      <c r="A24" s="3">
        <v>45100</v>
      </c>
      <c r="B24" s="5" t="s">
        <v>87</v>
      </c>
      <c r="C24" s="92" t="str">
        <f>VLOOKUP(CMA_한투1836[[#This Row],[종목코드]],표3[],2,FALSE)</f>
        <v>한투CMA</v>
      </c>
      <c r="D24" t="str">
        <f>VLOOKUP(CMA_한투1836[[#This Row],[종목코드]],표3[],4,FALSE)</f>
        <v>한국투자증권 CMA</v>
      </c>
      <c r="E24" s="75"/>
      <c r="F24">
        <v>1673</v>
      </c>
      <c r="G24">
        <v>1673</v>
      </c>
      <c r="H24">
        <f>CMA_한투1836[[#This Row],[현금지출]]-CMA_한투1836[[#This Row],[매입액]]</f>
        <v>0</v>
      </c>
      <c r="I24" s="64"/>
      <c r="J24">
        <v>1673</v>
      </c>
      <c r="K24">
        <v>1673</v>
      </c>
      <c r="M24">
        <v>1673</v>
      </c>
      <c r="N24">
        <f>CMA_한투1836[[#This Row],[매도액]]-CMA_한투1836[[#This Row],[매도원금]]</f>
        <v>0</v>
      </c>
      <c r="O24">
        <f>CMA_한투1836[[#This Row],[매도액]]+CMA_한투1836[[#This Row],[이자배당액]]-CMA_한투1836[[#This Row],[현금수입]]</f>
        <v>0</v>
      </c>
      <c r="P24">
        <f>CMA_한투1836[[#This Row],[매매수익]]+CMA_한투1836[[#This Row],[이자배당액]]-CMA_한투1836[[#This Row],[매도비용]]-CMA_한투1836[[#This Row],[매입비용]]</f>
        <v>0</v>
      </c>
      <c r="R24">
        <f>CMA_한투1836[[#This Row],[입출금]]+CMA_한투1836[[#This Row],[현금수입]]-CMA_한투1836[[#This Row],[현금지출]]</f>
        <v>0</v>
      </c>
      <c r="S24">
        <f>SUM($R$2:R24)</f>
        <v>0</v>
      </c>
    </row>
    <row r="25" spans="1:19" x14ac:dyDescent="0.3">
      <c r="A25" s="3">
        <v>45101</v>
      </c>
      <c r="B25" s="5" t="s">
        <v>87</v>
      </c>
      <c r="C25" s="92" t="str">
        <f>VLOOKUP(CMA_한투1836[[#This Row],[종목코드]],표3[],2,FALSE)</f>
        <v>한투CMA</v>
      </c>
      <c r="D25" t="str">
        <f>VLOOKUP(CMA_한투1836[[#This Row],[종목코드]],표3[],4,FALSE)</f>
        <v>한국투자증권 CMA</v>
      </c>
      <c r="E25" s="75"/>
      <c r="F25">
        <v>1673</v>
      </c>
      <c r="G25">
        <v>1673</v>
      </c>
      <c r="H25">
        <f>CMA_한투1836[[#This Row],[현금지출]]-CMA_한투1836[[#This Row],[매입액]]</f>
        <v>0</v>
      </c>
      <c r="I25" s="64"/>
      <c r="J25">
        <v>1673</v>
      </c>
      <c r="K25">
        <v>1673</v>
      </c>
      <c r="M25">
        <v>1673</v>
      </c>
      <c r="N25">
        <f>CMA_한투1836[[#This Row],[매도액]]-CMA_한투1836[[#This Row],[매도원금]]</f>
        <v>0</v>
      </c>
      <c r="O25">
        <f>CMA_한투1836[[#This Row],[매도액]]+CMA_한투1836[[#This Row],[이자배당액]]-CMA_한투1836[[#This Row],[현금수입]]</f>
        <v>0</v>
      </c>
      <c r="P25">
        <f>CMA_한투1836[[#This Row],[매매수익]]+CMA_한투1836[[#This Row],[이자배당액]]-CMA_한투1836[[#This Row],[매도비용]]-CMA_한투1836[[#This Row],[매입비용]]</f>
        <v>0</v>
      </c>
      <c r="R25">
        <f>CMA_한투1836[[#This Row],[입출금]]+CMA_한투1836[[#This Row],[현금수입]]-CMA_한투1836[[#This Row],[현금지출]]</f>
        <v>0</v>
      </c>
      <c r="S25">
        <f>SUM($R$2:R25)</f>
        <v>0</v>
      </c>
    </row>
    <row r="26" spans="1:19" x14ac:dyDescent="0.3">
      <c r="A26" s="3">
        <v>45102</v>
      </c>
      <c r="B26" s="5" t="s">
        <v>87</v>
      </c>
      <c r="C26" s="92" t="str">
        <f>VLOOKUP(CMA_한투1836[[#This Row],[종목코드]],표3[],2,FALSE)</f>
        <v>한투CMA</v>
      </c>
      <c r="D26" t="str">
        <f>VLOOKUP(CMA_한투1836[[#This Row],[종목코드]],표3[],4,FALSE)</f>
        <v>한국투자증권 CMA</v>
      </c>
      <c r="E26" s="75"/>
      <c r="F26">
        <v>1673</v>
      </c>
      <c r="G26">
        <v>1673</v>
      </c>
      <c r="H26">
        <f>CMA_한투1836[[#This Row],[현금지출]]-CMA_한투1836[[#This Row],[매입액]]</f>
        <v>0</v>
      </c>
      <c r="I26" s="64"/>
      <c r="J26">
        <v>1673</v>
      </c>
      <c r="K26">
        <v>1673</v>
      </c>
      <c r="M26">
        <v>1673</v>
      </c>
      <c r="N26">
        <f>CMA_한투1836[[#This Row],[매도액]]-CMA_한투1836[[#This Row],[매도원금]]</f>
        <v>0</v>
      </c>
      <c r="O26">
        <f>CMA_한투1836[[#This Row],[매도액]]+CMA_한투1836[[#This Row],[이자배당액]]-CMA_한투1836[[#This Row],[현금수입]]</f>
        <v>0</v>
      </c>
      <c r="P26">
        <f>CMA_한투1836[[#This Row],[매매수익]]+CMA_한투1836[[#This Row],[이자배당액]]-CMA_한투1836[[#This Row],[매도비용]]-CMA_한투1836[[#This Row],[매입비용]]</f>
        <v>0</v>
      </c>
      <c r="R26">
        <f>CMA_한투1836[[#This Row],[입출금]]+CMA_한투1836[[#This Row],[현금수입]]-CMA_한투1836[[#This Row],[현금지출]]</f>
        <v>0</v>
      </c>
      <c r="S26">
        <f>SUM($R$2:R26)</f>
        <v>0</v>
      </c>
    </row>
    <row r="27" spans="1:19" x14ac:dyDescent="0.3">
      <c r="A27" s="3">
        <v>45103</v>
      </c>
      <c r="B27" s="5" t="s">
        <v>87</v>
      </c>
      <c r="C27" s="92" t="str">
        <f>VLOOKUP(CMA_한투1836[[#This Row],[종목코드]],표3[],2,FALSE)</f>
        <v>한투CMA</v>
      </c>
      <c r="D27" t="str">
        <f>VLOOKUP(CMA_한투1836[[#This Row],[종목코드]],표3[],4,FALSE)</f>
        <v>한국투자증권 CMA</v>
      </c>
      <c r="E27" s="75"/>
      <c r="F27">
        <v>1674</v>
      </c>
      <c r="G27">
        <v>1674</v>
      </c>
      <c r="H27">
        <f>CMA_한투1836[[#This Row],[현금지출]]-CMA_한투1836[[#This Row],[매입액]]</f>
        <v>0</v>
      </c>
      <c r="I27" s="64"/>
      <c r="J27">
        <v>1673</v>
      </c>
      <c r="K27">
        <v>1673</v>
      </c>
      <c r="M27">
        <v>1673</v>
      </c>
      <c r="N27">
        <f>CMA_한투1836[[#This Row],[매도액]]-CMA_한투1836[[#This Row],[매도원금]]</f>
        <v>0</v>
      </c>
      <c r="O27">
        <f>CMA_한투1836[[#This Row],[매도액]]+CMA_한투1836[[#This Row],[이자배당액]]-CMA_한투1836[[#This Row],[현금수입]]</f>
        <v>0</v>
      </c>
      <c r="P27">
        <f>CMA_한투1836[[#This Row],[매매수익]]+CMA_한투1836[[#This Row],[이자배당액]]-CMA_한투1836[[#This Row],[매도비용]]-CMA_한투1836[[#This Row],[매입비용]]</f>
        <v>0</v>
      </c>
      <c r="Q27">
        <v>1</v>
      </c>
      <c r="R27">
        <f>CMA_한투1836[[#This Row],[입출금]]+CMA_한투1836[[#This Row],[현금수입]]-CMA_한투1836[[#This Row],[현금지출]]</f>
        <v>0</v>
      </c>
      <c r="S27">
        <f>SUM($R$2:R27)</f>
        <v>0</v>
      </c>
    </row>
    <row r="28" spans="1:19" x14ac:dyDescent="0.3">
      <c r="A28" s="3">
        <v>45104</v>
      </c>
      <c r="B28" s="5" t="s">
        <v>87</v>
      </c>
      <c r="C28" s="92" t="str">
        <f>VLOOKUP(CMA_한투1836[[#This Row],[종목코드]],표3[],2,FALSE)</f>
        <v>한투CMA</v>
      </c>
      <c r="D28" t="str">
        <f>VLOOKUP(CMA_한투1836[[#This Row],[종목코드]],표3[],4,FALSE)</f>
        <v>한국투자증권 CMA</v>
      </c>
      <c r="E28" s="75"/>
      <c r="F28">
        <v>15001674</v>
      </c>
      <c r="G28">
        <v>15001674</v>
      </c>
      <c r="H28">
        <f>CMA_한투1836[[#This Row],[현금지출]]-CMA_한투1836[[#This Row],[매입액]]</f>
        <v>0</v>
      </c>
      <c r="I28" s="64"/>
      <c r="J28">
        <v>1674</v>
      </c>
      <c r="K28">
        <v>1674</v>
      </c>
      <c r="M28">
        <v>1674</v>
      </c>
      <c r="N28">
        <f>CMA_한투1836[[#This Row],[매도액]]-CMA_한투1836[[#This Row],[매도원금]]</f>
        <v>0</v>
      </c>
      <c r="O28">
        <f>CMA_한투1836[[#This Row],[매도액]]+CMA_한투1836[[#This Row],[이자배당액]]-CMA_한투1836[[#This Row],[현금수입]]</f>
        <v>0</v>
      </c>
      <c r="P28">
        <f>CMA_한투1836[[#This Row],[매매수익]]+CMA_한투1836[[#This Row],[이자배당액]]-CMA_한투1836[[#This Row],[매도비용]]-CMA_한투1836[[#This Row],[매입비용]]</f>
        <v>0</v>
      </c>
      <c r="Q28">
        <v>15000000</v>
      </c>
      <c r="R28">
        <f>CMA_한투1836[[#This Row],[입출금]]+CMA_한투1836[[#This Row],[현금수입]]-CMA_한투1836[[#This Row],[현금지출]]</f>
        <v>0</v>
      </c>
      <c r="S28">
        <f>SUM($R$2:R28)</f>
        <v>0</v>
      </c>
    </row>
    <row r="29" spans="1:19" x14ac:dyDescent="0.3">
      <c r="A29" s="3">
        <v>45105</v>
      </c>
      <c r="B29" s="5" t="s">
        <v>87</v>
      </c>
      <c r="C29" s="92" t="str">
        <f>VLOOKUP(CMA_한투1836[[#This Row],[종목코드]],표3[],2,FALSE)</f>
        <v>한투CMA</v>
      </c>
      <c r="D29" t="str">
        <f>VLOOKUP(CMA_한투1836[[#This Row],[종목코드]],표3[],4,FALSE)</f>
        <v>한국투자증권 CMA</v>
      </c>
      <c r="E29" s="75"/>
      <c r="F29">
        <v>15002933</v>
      </c>
      <c r="G29">
        <v>15002933</v>
      </c>
      <c r="H29">
        <f>CMA_한투1836[[#This Row],[현금지출]]-CMA_한투1836[[#This Row],[매입액]]</f>
        <v>0</v>
      </c>
      <c r="I29" s="64"/>
      <c r="J29">
        <v>15001674</v>
      </c>
      <c r="K29">
        <v>15003153</v>
      </c>
      <c r="M29">
        <v>15002933</v>
      </c>
      <c r="N29">
        <f>CMA_한투1836[[#This Row],[매도액]]-CMA_한투1836[[#This Row],[매도원금]]</f>
        <v>1479</v>
      </c>
      <c r="O29">
        <f>CMA_한투1836[[#This Row],[매도액]]+CMA_한투1836[[#This Row],[이자배당액]]-CMA_한투1836[[#This Row],[현금수입]]</f>
        <v>220</v>
      </c>
      <c r="P29">
        <f>CMA_한투1836[[#This Row],[매매수익]]+CMA_한투1836[[#This Row],[이자배당액]]-CMA_한투1836[[#This Row],[매도비용]]-CMA_한투1836[[#This Row],[매입비용]]</f>
        <v>1259</v>
      </c>
      <c r="R29">
        <f>CMA_한투1836[[#This Row],[입출금]]+CMA_한투1836[[#This Row],[현금수입]]-CMA_한투1836[[#This Row],[현금지출]]</f>
        <v>0</v>
      </c>
      <c r="S29">
        <f>SUM($R$2:R29)</f>
        <v>0</v>
      </c>
    </row>
    <row r="30" spans="1:19" x14ac:dyDescent="0.3">
      <c r="A30" s="3">
        <v>45106</v>
      </c>
      <c r="B30" s="5" t="s">
        <v>87</v>
      </c>
      <c r="C30" s="92" t="str">
        <f>VLOOKUP(CMA_한투1836[[#This Row],[종목코드]],표3[],2,FALSE)</f>
        <v>한투CMA</v>
      </c>
      <c r="D30" t="str">
        <f>VLOOKUP(CMA_한투1836[[#This Row],[종목코드]],표3[],4,FALSE)</f>
        <v>한국투자증권 CMA</v>
      </c>
      <c r="E30" s="75"/>
      <c r="F30">
        <v>15004192</v>
      </c>
      <c r="G30">
        <v>15004192</v>
      </c>
      <c r="H30">
        <f>CMA_한투1836[[#This Row],[현금지출]]-CMA_한투1836[[#This Row],[매입액]]</f>
        <v>0</v>
      </c>
      <c r="I30" s="64"/>
      <c r="J30">
        <v>15002933</v>
      </c>
      <c r="K30">
        <v>15004412</v>
      </c>
      <c r="M30">
        <v>15004192</v>
      </c>
      <c r="N30">
        <f>CMA_한투1836[[#This Row],[매도액]]-CMA_한투1836[[#This Row],[매도원금]]</f>
        <v>1479</v>
      </c>
      <c r="O30">
        <f>CMA_한투1836[[#This Row],[매도액]]+CMA_한투1836[[#This Row],[이자배당액]]-CMA_한투1836[[#This Row],[현금수입]]</f>
        <v>220</v>
      </c>
      <c r="P30">
        <f>CMA_한투1836[[#This Row],[매매수익]]+CMA_한투1836[[#This Row],[이자배당액]]-CMA_한투1836[[#This Row],[매도비용]]-CMA_한투1836[[#This Row],[매입비용]]</f>
        <v>1259</v>
      </c>
      <c r="R30">
        <f>CMA_한투1836[[#This Row],[입출금]]+CMA_한투1836[[#This Row],[현금수입]]-CMA_한투1836[[#This Row],[현금지출]]</f>
        <v>0</v>
      </c>
      <c r="S30">
        <f>SUM($R$2:R30)</f>
        <v>0</v>
      </c>
    </row>
    <row r="31" spans="1:19" x14ac:dyDescent="0.3">
      <c r="A31" s="3">
        <v>45107</v>
      </c>
      <c r="B31" s="5" t="s">
        <v>87</v>
      </c>
      <c r="C31" s="92" t="str">
        <f>VLOOKUP(CMA_한투1836[[#This Row],[종목코드]],표3[],2,FALSE)</f>
        <v>한투CMA</v>
      </c>
      <c r="D31" t="str">
        <f>VLOOKUP(CMA_한투1836[[#This Row],[종목코드]],표3[],4,FALSE)</f>
        <v>한국투자증권 CMA</v>
      </c>
      <c r="E31" s="75"/>
      <c r="F31">
        <v>15005451</v>
      </c>
      <c r="G31">
        <v>15005451</v>
      </c>
      <c r="H31">
        <f>CMA_한투1836[[#This Row],[현금지출]]-CMA_한투1836[[#This Row],[매입액]]</f>
        <v>0</v>
      </c>
      <c r="I31" s="64"/>
      <c r="J31">
        <v>15004192</v>
      </c>
      <c r="K31">
        <v>15005671</v>
      </c>
      <c r="M31">
        <v>15005451</v>
      </c>
      <c r="N31">
        <f>CMA_한투1836[[#This Row],[매도액]]-CMA_한투1836[[#This Row],[매도원금]]</f>
        <v>1479</v>
      </c>
      <c r="O31">
        <f>CMA_한투1836[[#This Row],[매도액]]+CMA_한투1836[[#This Row],[이자배당액]]-CMA_한투1836[[#This Row],[현금수입]]</f>
        <v>220</v>
      </c>
      <c r="P31">
        <f>CMA_한투1836[[#This Row],[매매수익]]+CMA_한투1836[[#This Row],[이자배당액]]-CMA_한투1836[[#This Row],[매도비용]]-CMA_한투1836[[#This Row],[매입비용]]</f>
        <v>1259</v>
      </c>
      <c r="R31">
        <f>CMA_한투1836[[#This Row],[입출금]]+CMA_한투1836[[#This Row],[현금수입]]-CMA_한투1836[[#This Row],[현금지출]]</f>
        <v>0</v>
      </c>
      <c r="S31">
        <f>SUM($R$2:R31)</f>
        <v>0</v>
      </c>
    </row>
    <row r="32" spans="1:19" x14ac:dyDescent="0.3">
      <c r="A32" s="3">
        <v>45108</v>
      </c>
      <c r="B32" s="5" t="s">
        <v>87</v>
      </c>
      <c r="C32" s="92" t="str">
        <f>VLOOKUP(CMA_한투1836[[#This Row],[종목코드]],표3[],2,FALSE)</f>
        <v>한투CMA</v>
      </c>
      <c r="D32" t="str">
        <f>VLOOKUP(CMA_한투1836[[#This Row],[종목코드]],표3[],4,FALSE)</f>
        <v>한국투자증권 CMA</v>
      </c>
      <c r="E32" s="75"/>
      <c r="F32">
        <v>15006710</v>
      </c>
      <c r="G32">
        <v>15006710</v>
      </c>
      <c r="H32">
        <f>CMA_한투1836[[#This Row],[현금지출]]-CMA_한투1836[[#This Row],[매입액]]</f>
        <v>0</v>
      </c>
      <c r="I32" s="64"/>
      <c r="J32">
        <v>15005451</v>
      </c>
      <c r="K32">
        <v>15006930</v>
      </c>
      <c r="M32">
        <v>15006710</v>
      </c>
      <c r="N32">
        <f>CMA_한투1836[[#This Row],[매도액]]-CMA_한투1836[[#This Row],[매도원금]]</f>
        <v>1479</v>
      </c>
      <c r="O32">
        <f>CMA_한투1836[[#This Row],[매도액]]+CMA_한투1836[[#This Row],[이자배당액]]-CMA_한투1836[[#This Row],[현금수입]]</f>
        <v>220</v>
      </c>
      <c r="P32">
        <f>CMA_한투1836[[#This Row],[매매수익]]+CMA_한투1836[[#This Row],[이자배당액]]-CMA_한투1836[[#This Row],[매도비용]]-CMA_한투1836[[#This Row],[매입비용]]</f>
        <v>1259</v>
      </c>
      <c r="R32">
        <f>CMA_한투1836[[#This Row],[입출금]]+CMA_한투1836[[#This Row],[현금수입]]-CMA_한투1836[[#This Row],[현금지출]]</f>
        <v>0</v>
      </c>
      <c r="S32">
        <f>SUM($R$2:R32)</f>
        <v>0</v>
      </c>
    </row>
    <row r="33" spans="1:19" x14ac:dyDescent="0.3">
      <c r="A33" s="3">
        <v>45109</v>
      </c>
      <c r="B33" s="5" t="s">
        <v>87</v>
      </c>
      <c r="C33" s="92" t="str">
        <f>VLOOKUP(CMA_한투1836[[#This Row],[종목코드]],표3[],2,FALSE)</f>
        <v>한투CMA</v>
      </c>
      <c r="D33" t="str">
        <f>VLOOKUP(CMA_한투1836[[#This Row],[종목코드]],표3[],4,FALSE)</f>
        <v>한국투자증권 CMA</v>
      </c>
      <c r="E33" s="75"/>
      <c r="F33">
        <v>15007970</v>
      </c>
      <c r="G33">
        <v>15007970</v>
      </c>
      <c r="H33">
        <f>CMA_한투1836[[#This Row],[현금지출]]-CMA_한투1836[[#This Row],[매입액]]</f>
        <v>0</v>
      </c>
      <c r="I33" s="64"/>
      <c r="J33">
        <v>15006710</v>
      </c>
      <c r="K33">
        <v>15008190</v>
      </c>
      <c r="M33">
        <v>15007970</v>
      </c>
      <c r="N33">
        <f>CMA_한투1836[[#This Row],[매도액]]-CMA_한투1836[[#This Row],[매도원금]]</f>
        <v>1480</v>
      </c>
      <c r="O33">
        <f>CMA_한투1836[[#This Row],[매도액]]+CMA_한투1836[[#This Row],[이자배당액]]-CMA_한투1836[[#This Row],[현금수입]]</f>
        <v>220</v>
      </c>
      <c r="P33">
        <f>CMA_한투1836[[#This Row],[매매수익]]+CMA_한투1836[[#This Row],[이자배당액]]-CMA_한투1836[[#This Row],[매도비용]]-CMA_한투1836[[#This Row],[매입비용]]</f>
        <v>1260</v>
      </c>
      <c r="R33">
        <f>CMA_한투1836[[#This Row],[입출금]]+CMA_한투1836[[#This Row],[현금수입]]-CMA_한투1836[[#This Row],[현금지출]]</f>
        <v>0</v>
      </c>
      <c r="S33">
        <f>SUM($R$2:R33)</f>
        <v>0</v>
      </c>
    </row>
    <row r="34" spans="1:19" x14ac:dyDescent="0.3">
      <c r="A34" s="3">
        <v>45110</v>
      </c>
      <c r="B34" s="5" t="s">
        <v>87</v>
      </c>
      <c r="C34" s="92" t="str">
        <f>VLOOKUP(CMA_한투1836[[#This Row],[종목코드]],표3[],2,FALSE)</f>
        <v>한투CMA</v>
      </c>
      <c r="D34" t="str">
        <f>VLOOKUP(CMA_한투1836[[#This Row],[종목코드]],표3[],4,FALSE)</f>
        <v>한국투자증권 CMA</v>
      </c>
      <c r="E34" s="75"/>
      <c r="F34">
        <v>15009230</v>
      </c>
      <c r="G34">
        <v>15009230</v>
      </c>
      <c r="H34">
        <f>CMA_한투1836[[#This Row],[현금지출]]-CMA_한투1836[[#This Row],[매입액]]</f>
        <v>0</v>
      </c>
      <c r="I34" s="64"/>
      <c r="J34">
        <v>15007970</v>
      </c>
      <c r="K34">
        <v>15009450</v>
      </c>
      <c r="M34">
        <v>15009230</v>
      </c>
      <c r="N34">
        <f>CMA_한투1836[[#This Row],[매도액]]-CMA_한투1836[[#This Row],[매도원금]]</f>
        <v>1480</v>
      </c>
      <c r="O34">
        <f>CMA_한투1836[[#This Row],[매도액]]+CMA_한투1836[[#This Row],[이자배당액]]-CMA_한투1836[[#This Row],[현금수입]]</f>
        <v>220</v>
      </c>
      <c r="P34">
        <f>CMA_한투1836[[#This Row],[매매수익]]+CMA_한투1836[[#This Row],[이자배당액]]-CMA_한투1836[[#This Row],[매도비용]]-CMA_한투1836[[#This Row],[매입비용]]</f>
        <v>1260</v>
      </c>
      <c r="R34">
        <f>CMA_한투1836[[#This Row],[입출금]]+CMA_한투1836[[#This Row],[현금수입]]-CMA_한투1836[[#This Row],[현금지출]]</f>
        <v>0</v>
      </c>
      <c r="S34">
        <f>SUM($R$2:R34)</f>
        <v>0</v>
      </c>
    </row>
    <row r="35" spans="1:19" x14ac:dyDescent="0.3">
      <c r="A35" s="3">
        <v>45111</v>
      </c>
      <c r="B35" s="5" t="s">
        <v>87</v>
      </c>
      <c r="C35" s="92" t="str">
        <f>VLOOKUP(CMA_한투1836[[#This Row],[종목코드]],표3[],2,FALSE)</f>
        <v>한투CMA</v>
      </c>
      <c r="D35" t="str">
        <f>VLOOKUP(CMA_한투1836[[#This Row],[종목코드]],표3[],4,FALSE)</f>
        <v>한국투자증권 CMA</v>
      </c>
      <c r="E35" s="75"/>
      <c r="F35">
        <v>15010490</v>
      </c>
      <c r="G35">
        <v>15010490</v>
      </c>
      <c r="H35">
        <f>CMA_한투1836[[#This Row],[현금지출]]-CMA_한투1836[[#This Row],[매입액]]</f>
        <v>0</v>
      </c>
      <c r="I35" s="64"/>
      <c r="J35">
        <v>15009230</v>
      </c>
      <c r="K35">
        <v>15010710</v>
      </c>
      <c r="M35">
        <v>15010490</v>
      </c>
      <c r="N35">
        <f>CMA_한투1836[[#This Row],[매도액]]-CMA_한투1836[[#This Row],[매도원금]]</f>
        <v>1480</v>
      </c>
      <c r="O35">
        <f>CMA_한투1836[[#This Row],[매도액]]+CMA_한투1836[[#This Row],[이자배당액]]-CMA_한투1836[[#This Row],[현금수입]]</f>
        <v>220</v>
      </c>
      <c r="P35">
        <f>CMA_한투1836[[#This Row],[매매수익]]+CMA_한투1836[[#This Row],[이자배당액]]-CMA_한투1836[[#This Row],[매도비용]]-CMA_한투1836[[#This Row],[매입비용]]</f>
        <v>1260</v>
      </c>
      <c r="R35">
        <f>CMA_한투1836[[#This Row],[입출금]]+CMA_한투1836[[#This Row],[현금수입]]-CMA_한투1836[[#This Row],[현금지출]]</f>
        <v>0</v>
      </c>
      <c r="S35">
        <f>SUM($R$2:R35)</f>
        <v>0</v>
      </c>
    </row>
    <row r="36" spans="1:19" x14ac:dyDescent="0.3">
      <c r="A36" s="3">
        <v>45112</v>
      </c>
      <c r="B36" s="5" t="s">
        <v>87</v>
      </c>
      <c r="C36" s="92" t="str">
        <f>VLOOKUP(CMA_한투1836[[#This Row],[종목코드]],표3[],2,FALSE)</f>
        <v>한투CMA</v>
      </c>
      <c r="D36" t="str">
        <f>VLOOKUP(CMA_한투1836[[#This Row],[종목코드]],표3[],4,FALSE)</f>
        <v>한국투자증권 CMA</v>
      </c>
      <c r="E36" s="75"/>
      <c r="F36">
        <v>15011750</v>
      </c>
      <c r="G36">
        <v>15011750</v>
      </c>
      <c r="H36">
        <f>CMA_한투1836[[#This Row],[현금지출]]-CMA_한투1836[[#This Row],[매입액]]</f>
        <v>0</v>
      </c>
      <c r="I36" s="64"/>
      <c r="J36">
        <v>15010490</v>
      </c>
      <c r="K36">
        <v>15011970</v>
      </c>
      <c r="M36">
        <v>15011750</v>
      </c>
      <c r="N36">
        <f>CMA_한투1836[[#This Row],[매도액]]-CMA_한투1836[[#This Row],[매도원금]]</f>
        <v>1480</v>
      </c>
      <c r="O36">
        <f>CMA_한투1836[[#This Row],[매도액]]+CMA_한투1836[[#This Row],[이자배당액]]-CMA_한투1836[[#This Row],[현금수입]]</f>
        <v>220</v>
      </c>
      <c r="P36">
        <f>CMA_한투1836[[#This Row],[매매수익]]+CMA_한투1836[[#This Row],[이자배당액]]-CMA_한투1836[[#This Row],[매도비용]]-CMA_한투1836[[#This Row],[매입비용]]</f>
        <v>1260</v>
      </c>
      <c r="R36">
        <f>CMA_한투1836[[#This Row],[입출금]]+CMA_한투1836[[#This Row],[현금수입]]-CMA_한투1836[[#This Row],[현금지출]]</f>
        <v>0</v>
      </c>
      <c r="S36">
        <f>SUM($R$2:R36)</f>
        <v>0</v>
      </c>
    </row>
    <row r="37" spans="1:19" x14ac:dyDescent="0.3">
      <c r="A37" s="3">
        <v>45113</v>
      </c>
      <c r="B37" s="5" t="s">
        <v>87</v>
      </c>
      <c r="C37" s="92" t="str">
        <f>VLOOKUP(CMA_한투1836[[#This Row],[종목코드]],표3[],2,FALSE)</f>
        <v>한투CMA</v>
      </c>
      <c r="D37" t="str">
        <f>VLOOKUP(CMA_한투1836[[#This Row],[종목코드]],표3[],4,FALSE)</f>
        <v>한국투자증권 CMA</v>
      </c>
      <c r="E37" s="75"/>
      <c r="F37">
        <v>15013010</v>
      </c>
      <c r="G37">
        <v>15013010</v>
      </c>
      <c r="H37">
        <f>CMA_한투1836[[#This Row],[현금지출]]-CMA_한투1836[[#This Row],[매입액]]</f>
        <v>0</v>
      </c>
      <c r="I37" s="64"/>
      <c r="J37">
        <v>15011750</v>
      </c>
      <c r="K37">
        <v>15013230</v>
      </c>
      <c r="M37">
        <v>15013010</v>
      </c>
      <c r="N37">
        <f>CMA_한투1836[[#This Row],[매도액]]-CMA_한투1836[[#This Row],[매도원금]]</f>
        <v>1480</v>
      </c>
      <c r="O37">
        <f>CMA_한투1836[[#This Row],[매도액]]+CMA_한투1836[[#This Row],[이자배당액]]-CMA_한투1836[[#This Row],[현금수입]]</f>
        <v>220</v>
      </c>
      <c r="P37">
        <f>CMA_한투1836[[#This Row],[매매수익]]+CMA_한투1836[[#This Row],[이자배당액]]-CMA_한투1836[[#This Row],[매도비용]]-CMA_한투1836[[#This Row],[매입비용]]</f>
        <v>1260</v>
      </c>
      <c r="R37">
        <f>CMA_한투1836[[#This Row],[입출금]]+CMA_한투1836[[#This Row],[현금수입]]-CMA_한투1836[[#This Row],[현금지출]]</f>
        <v>0</v>
      </c>
      <c r="S37">
        <f>SUM($R$2:R37)</f>
        <v>0</v>
      </c>
    </row>
    <row r="38" spans="1:19" x14ac:dyDescent="0.3">
      <c r="A38" s="3">
        <v>45114</v>
      </c>
      <c r="B38" s="5" t="s">
        <v>87</v>
      </c>
      <c r="C38" s="92" t="str">
        <f>VLOOKUP(CMA_한투1836[[#This Row],[종목코드]],표3[],2,FALSE)</f>
        <v>한투CMA</v>
      </c>
      <c r="D38" t="str">
        <f>VLOOKUP(CMA_한투1836[[#This Row],[종목코드]],표3[],4,FALSE)</f>
        <v>한국투자증권 CMA</v>
      </c>
      <c r="E38" s="75"/>
      <c r="F38">
        <v>15014270</v>
      </c>
      <c r="G38">
        <v>15014270</v>
      </c>
      <c r="H38">
        <f>CMA_한투1836[[#This Row],[현금지출]]-CMA_한투1836[[#This Row],[매입액]]</f>
        <v>0</v>
      </c>
      <c r="I38" s="64"/>
      <c r="J38">
        <v>15013010</v>
      </c>
      <c r="K38">
        <v>15014490</v>
      </c>
      <c r="M38">
        <v>15014270</v>
      </c>
      <c r="N38">
        <f>CMA_한투1836[[#This Row],[매도액]]-CMA_한투1836[[#This Row],[매도원금]]</f>
        <v>1480</v>
      </c>
      <c r="O38">
        <f>CMA_한투1836[[#This Row],[매도액]]+CMA_한투1836[[#This Row],[이자배당액]]-CMA_한투1836[[#This Row],[현금수입]]</f>
        <v>220</v>
      </c>
      <c r="P38">
        <f>CMA_한투1836[[#This Row],[매매수익]]+CMA_한투1836[[#This Row],[이자배당액]]-CMA_한투1836[[#This Row],[매도비용]]-CMA_한투1836[[#This Row],[매입비용]]</f>
        <v>1260</v>
      </c>
      <c r="R38">
        <f>CMA_한투1836[[#This Row],[입출금]]+CMA_한투1836[[#This Row],[현금수입]]-CMA_한투1836[[#This Row],[현금지출]]</f>
        <v>0</v>
      </c>
      <c r="S38">
        <f>SUM($R$2:R38)</f>
        <v>0</v>
      </c>
    </row>
    <row r="39" spans="1:19" x14ac:dyDescent="0.3">
      <c r="A39" s="3">
        <v>45115</v>
      </c>
      <c r="B39" s="5" t="s">
        <v>87</v>
      </c>
      <c r="C39" s="92" t="str">
        <f>VLOOKUP(CMA_한투1836[[#This Row],[종목코드]],표3[],2,FALSE)</f>
        <v>한투CMA</v>
      </c>
      <c r="D39" t="str">
        <f>VLOOKUP(CMA_한투1836[[#This Row],[종목코드]],표3[],4,FALSE)</f>
        <v>한국투자증권 CMA</v>
      </c>
      <c r="E39" s="75"/>
      <c r="F39">
        <v>15015530</v>
      </c>
      <c r="G39">
        <v>15015530</v>
      </c>
      <c r="H39">
        <f>CMA_한투1836[[#This Row],[현금지출]]-CMA_한투1836[[#This Row],[매입액]]</f>
        <v>0</v>
      </c>
      <c r="I39" s="64"/>
      <c r="J39">
        <v>15014270</v>
      </c>
      <c r="K39">
        <v>15015750</v>
      </c>
      <c r="M39">
        <v>15015530</v>
      </c>
      <c r="N39">
        <f>CMA_한투1836[[#This Row],[매도액]]-CMA_한투1836[[#This Row],[매도원금]]</f>
        <v>1480</v>
      </c>
      <c r="O39">
        <f>CMA_한투1836[[#This Row],[매도액]]+CMA_한투1836[[#This Row],[이자배당액]]-CMA_한투1836[[#This Row],[현금수입]]</f>
        <v>220</v>
      </c>
      <c r="P39">
        <f>CMA_한투1836[[#This Row],[매매수익]]+CMA_한투1836[[#This Row],[이자배당액]]-CMA_한투1836[[#This Row],[매도비용]]-CMA_한투1836[[#This Row],[매입비용]]</f>
        <v>1260</v>
      </c>
      <c r="R39">
        <f>CMA_한투1836[[#This Row],[입출금]]+CMA_한투1836[[#This Row],[현금수입]]-CMA_한투1836[[#This Row],[현금지출]]</f>
        <v>0</v>
      </c>
      <c r="S39">
        <f>SUM($R$2:R39)</f>
        <v>0</v>
      </c>
    </row>
    <row r="40" spans="1:19" x14ac:dyDescent="0.3">
      <c r="A40" s="3">
        <v>45116</v>
      </c>
      <c r="B40" s="5" t="s">
        <v>87</v>
      </c>
      <c r="C40" s="92" t="str">
        <f>VLOOKUP(CMA_한투1836[[#This Row],[종목코드]],표3[],2,FALSE)</f>
        <v>한투CMA</v>
      </c>
      <c r="D40" t="str">
        <f>VLOOKUP(CMA_한투1836[[#This Row],[종목코드]],표3[],4,FALSE)</f>
        <v>한국투자증권 CMA</v>
      </c>
      <c r="E40" s="75"/>
      <c r="F40">
        <v>15016790</v>
      </c>
      <c r="G40">
        <v>15016790</v>
      </c>
      <c r="H40">
        <f>CMA_한투1836[[#This Row],[현금지출]]-CMA_한투1836[[#This Row],[매입액]]</f>
        <v>0</v>
      </c>
      <c r="I40" s="64"/>
      <c r="J40">
        <v>15015530</v>
      </c>
      <c r="K40">
        <v>15017010</v>
      </c>
      <c r="M40">
        <v>15016790</v>
      </c>
      <c r="N40">
        <f>CMA_한투1836[[#This Row],[매도액]]-CMA_한투1836[[#This Row],[매도원금]]</f>
        <v>1480</v>
      </c>
      <c r="O40">
        <f>CMA_한투1836[[#This Row],[매도액]]+CMA_한투1836[[#This Row],[이자배당액]]-CMA_한투1836[[#This Row],[현금수입]]</f>
        <v>220</v>
      </c>
      <c r="P40">
        <f>CMA_한투1836[[#This Row],[매매수익]]+CMA_한투1836[[#This Row],[이자배당액]]-CMA_한투1836[[#This Row],[매도비용]]-CMA_한투1836[[#This Row],[매입비용]]</f>
        <v>1260</v>
      </c>
      <c r="R40">
        <f>CMA_한투1836[[#This Row],[입출금]]+CMA_한투1836[[#This Row],[현금수입]]-CMA_한투1836[[#This Row],[현금지출]]</f>
        <v>0</v>
      </c>
      <c r="S40">
        <f>SUM($R$2:R40)</f>
        <v>0</v>
      </c>
    </row>
    <row r="41" spans="1:19" x14ac:dyDescent="0.3">
      <c r="A41" s="3">
        <v>45117</v>
      </c>
      <c r="B41" s="5" t="s">
        <v>87</v>
      </c>
      <c r="C41" s="92" t="str">
        <f>VLOOKUP(CMA_한투1836[[#This Row],[종목코드]],표3[],2,FALSE)</f>
        <v>한투CMA</v>
      </c>
      <c r="D41" t="str">
        <f>VLOOKUP(CMA_한투1836[[#This Row],[종목코드]],표3[],4,FALSE)</f>
        <v>한국투자증권 CMA</v>
      </c>
      <c r="E41" s="75"/>
      <c r="F41">
        <v>15018051</v>
      </c>
      <c r="G41">
        <v>15018051</v>
      </c>
      <c r="H41">
        <f>CMA_한투1836[[#This Row],[현금지출]]-CMA_한투1836[[#This Row],[매입액]]</f>
        <v>0</v>
      </c>
      <c r="I41" s="64"/>
      <c r="J41">
        <v>15016790</v>
      </c>
      <c r="K41">
        <v>15018271</v>
      </c>
      <c r="M41">
        <v>15018051</v>
      </c>
      <c r="N41">
        <f>CMA_한투1836[[#This Row],[매도액]]-CMA_한투1836[[#This Row],[매도원금]]</f>
        <v>1481</v>
      </c>
      <c r="O41">
        <f>CMA_한투1836[[#This Row],[매도액]]+CMA_한투1836[[#This Row],[이자배당액]]-CMA_한투1836[[#This Row],[현금수입]]</f>
        <v>220</v>
      </c>
      <c r="P41">
        <f>CMA_한투1836[[#This Row],[매매수익]]+CMA_한투1836[[#This Row],[이자배당액]]-CMA_한투1836[[#This Row],[매도비용]]-CMA_한투1836[[#This Row],[매입비용]]</f>
        <v>1261</v>
      </c>
      <c r="R41">
        <f>CMA_한투1836[[#This Row],[입출금]]+CMA_한투1836[[#This Row],[현금수입]]-CMA_한투1836[[#This Row],[현금지출]]</f>
        <v>0</v>
      </c>
      <c r="S41">
        <f>SUM($R$2:R41)</f>
        <v>0</v>
      </c>
    </row>
    <row r="42" spans="1:19" x14ac:dyDescent="0.3">
      <c r="A42" s="3">
        <v>45118</v>
      </c>
      <c r="B42" s="5" t="s">
        <v>87</v>
      </c>
      <c r="C42" s="92" t="str">
        <f>VLOOKUP(CMA_한투1836[[#This Row],[종목코드]],표3[],2,FALSE)</f>
        <v>한투CMA</v>
      </c>
      <c r="D42" t="str">
        <f>VLOOKUP(CMA_한투1836[[#This Row],[종목코드]],표3[],4,FALSE)</f>
        <v>한국투자증권 CMA</v>
      </c>
      <c r="E42" s="75"/>
      <c r="F42">
        <v>15019312</v>
      </c>
      <c r="G42">
        <v>15019312</v>
      </c>
      <c r="H42">
        <f>CMA_한투1836[[#This Row],[현금지출]]-CMA_한투1836[[#This Row],[매입액]]</f>
        <v>0</v>
      </c>
      <c r="I42" s="64"/>
      <c r="J42">
        <v>15018051</v>
      </c>
      <c r="K42">
        <v>15019532</v>
      </c>
      <c r="M42">
        <v>15019312</v>
      </c>
      <c r="N42">
        <f>CMA_한투1836[[#This Row],[매도액]]-CMA_한투1836[[#This Row],[매도원금]]</f>
        <v>1481</v>
      </c>
      <c r="O42">
        <f>CMA_한투1836[[#This Row],[매도액]]+CMA_한투1836[[#This Row],[이자배당액]]-CMA_한투1836[[#This Row],[현금수입]]</f>
        <v>220</v>
      </c>
      <c r="P42">
        <f>CMA_한투1836[[#This Row],[매매수익]]+CMA_한투1836[[#This Row],[이자배당액]]-CMA_한투1836[[#This Row],[매도비용]]-CMA_한투1836[[#This Row],[매입비용]]</f>
        <v>1261</v>
      </c>
      <c r="R42">
        <f>CMA_한투1836[[#This Row],[입출금]]+CMA_한투1836[[#This Row],[현금수입]]-CMA_한투1836[[#This Row],[현금지출]]</f>
        <v>0</v>
      </c>
      <c r="S42">
        <f>SUM($R$2:R42)</f>
        <v>0</v>
      </c>
    </row>
    <row r="43" spans="1:19" x14ac:dyDescent="0.3">
      <c r="A43" s="3">
        <v>45119</v>
      </c>
      <c r="B43" s="5" t="s">
        <v>87</v>
      </c>
      <c r="C43" s="92" t="str">
        <f>VLOOKUP(CMA_한투1836[[#This Row],[종목코드]],표3[],2,FALSE)</f>
        <v>한투CMA</v>
      </c>
      <c r="D43" t="str">
        <f>VLOOKUP(CMA_한투1836[[#This Row],[종목코드]],표3[],4,FALSE)</f>
        <v>한국투자증권 CMA</v>
      </c>
      <c r="E43" s="75"/>
      <c r="F43">
        <v>15020573</v>
      </c>
      <c r="G43">
        <v>15020573</v>
      </c>
      <c r="H43">
        <f>CMA_한투1836[[#This Row],[현금지출]]-CMA_한투1836[[#This Row],[매입액]]</f>
        <v>0</v>
      </c>
      <c r="I43" s="64"/>
      <c r="J43">
        <v>15019312</v>
      </c>
      <c r="K43">
        <v>15020793</v>
      </c>
      <c r="M43">
        <v>15020573</v>
      </c>
      <c r="N43">
        <f>CMA_한투1836[[#This Row],[매도액]]-CMA_한투1836[[#This Row],[매도원금]]</f>
        <v>1481</v>
      </c>
      <c r="O43">
        <f>CMA_한투1836[[#This Row],[매도액]]+CMA_한투1836[[#This Row],[이자배당액]]-CMA_한투1836[[#This Row],[현금수입]]</f>
        <v>220</v>
      </c>
      <c r="P43">
        <f>CMA_한투1836[[#This Row],[매매수익]]+CMA_한투1836[[#This Row],[이자배당액]]-CMA_한투1836[[#This Row],[매도비용]]-CMA_한투1836[[#This Row],[매입비용]]</f>
        <v>1261</v>
      </c>
      <c r="R43">
        <f>CMA_한투1836[[#This Row],[입출금]]+CMA_한투1836[[#This Row],[현금수입]]-CMA_한투1836[[#This Row],[현금지출]]</f>
        <v>0</v>
      </c>
      <c r="S43">
        <f>SUM($R$2:R43)</f>
        <v>0</v>
      </c>
    </row>
    <row r="44" spans="1:19" x14ac:dyDescent="0.3">
      <c r="A44" s="3">
        <v>45120</v>
      </c>
      <c r="B44" s="5" t="s">
        <v>87</v>
      </c>
      <c r="C44" s="92" t="str">
        <f>VLOOKUP(CMA_한투1836[[#This Row],[종목코드]],표3[],2,FALSE)</f>
        <v>한투CMA</v>
      </c>
      <c r="D44" t="str">
        <f>VLOOKUP(CMA_한투1836[[#This Row],[종목코드]],표3[],4,FALSE)</f>
        <v>한국투자증권 CMA</v>
      </c>
      <c r="E44" s="75"/>
      <c r="F44">
        <v>10021834</v>
      </c>
      <c r="G44">
        <v>10021834</v>
      </c>
      <c r="H44">
        <f>CMA_한투1836[[#This Row],[현금지출]]-CMA_한투1836[[#This Row],[매입액]]</f>
        <v>0</v>
      </c>
      <c r="I44" s="64"/>
      <c r="J44">
        <v>15020573</v>
      </c>
      <c r="K44">
        <v>15022054</v>
      </c>
      <c r="M44">
        <v>15021834</v>
      </c>
      <c r="N44">
        <f>CMA_한투1836[[#This Row],[매도액]]-CMA_한투1836[[#This Row],[매도원금]]</f>
        <v>1481</v>
      </c>
      <c r="O44">
        <f>CMA_한투1836[[#This Row],[매도액]]+CMA_한투1836[[#This Row],[이자배당액]]-CMA_한투1836[[#This Row],[현금수입]]</f>
        <v>220</v>
      </c>
      <c r="P44">
        <f>CMA_한투1836[[#This Row],[매매수익]]+CMA_한투1836[[#This Row],[이자배당액]]-CMA_한투1836[[#This Row],[매도비용]]-CMA_한투1836[[#This Row],[매입비용]]</f>
        <v>1261</v>
      </c>
      <c r="Q44">
        <v>-5000000</v>
      </c>
      <c r="R44">
        <f>CMA_한투1836[[#This Row],[입출금]]+CMA_한투1836[[#This Row],[현금수입]]-CMA_한투1836[[#This Row],[현금지출]]</f>
        <v>0</v>
      </c>
      <c r="S44">
        <f>SUM($R$2:R44)</f>
        <v>0</v>
      </c>
    </row>
    <row r="45" spans="1:19" x14ac:dyDescent="0.3">
      <c r="A45" s="3">
        <v>45121</v>
      </c>
      <c r="B45" s="5" t="s">
        <v>87</v>
      </c>
      <c r="C45" s="92" t="str">
        <f>VLOOKUP(CMA_한투1836[[#This Row],[종목코드]],표3[],2,FALSE)</f>
        <v>한투CMA</v>
      </c>
      <c r="D45" t="str">
        <f>VLOOKUP(CMA_한투1836[[#This Row],[종목코드]],표3[],4,FALSE)</f>
        <v>한국투자증권 CMA</v>
      </c>
      <c r="E45" s="75"/>
      <c r="F45">
        <v>10022682</v>
      </c>
      <c r="G45">
        <v>10022682</v>
      </c>
      <c r="H45">
        <f>CMA_한투1836[[#This Row],[현금지출]]-CMA_한투1836[[#This Row],[매입액]]</f>
        <v>0</v>
      </c>
      <c r="I45" s="64"/>
      <c r="J45">
        <v>10021834</v>
      </c>
      <c r="K45">
        <v>10022822</v>
      </c>
      <c r="M45">
        <v>10022682</v>
      </c>
      <c r="N45">
        <f>CMA_한투1836[[#This Row],[매도액]]-CMA_한투1836[[#This Row],[매도원금]]</f>
        <v>988</v>
      </c>
      <c r="O45">
        <f>CMA_한투1836[[#This Row],[매도액]]+CMA_한투1836[[#This Row],[이자배당액]]-CMA_한투1836[[#This Row],[현금수입]]</f>
        <v>140</v>
      </c>
      <c r="P45">
        <f>CMA_한투1836[[#This Row],[매매수익]]+CMA_한투1836[[#This Row],[이자배당액]]-CMA_한투1836[[#This Row],[매도비용]]-CMA_한투1836[[#This Row],[매입비용]]</f>
        <v>848</v>
      </c>
      <c r="R45">
        <f>CMA_한투1836[[#This Row],[입출금]]+CMA_한투1836[[#This Row],[현금수입]]-CMA_한투1836[[#This Row],[현금지출]]</f>
        <v>0</v>
      </c>
      <c r="S45">
        <f>SUM($R$2:R45)</f>
        <v>0</v>
      </c>
    </row>
    <row r="46" spans="1:19" x14ac:dyDescent="0.3">
      <c r="A46" s="3">
        <v>45122</v>
      </c>
      <c r="B46" s="5" t="s">
        <v>87</v>
      </c>
      <c r="C46" s="92" t="str">
        <f>VLOOKUP(CMA_한투1836[[#This Row],[종목코드]],표3[],2,FALSE)</f>
        <v>한투CMA</v>
      </c>
      <c r="D46" t="str">
        <f>VLOOKUP(CMA_한투1836[[#This Row],[종목코드]],표3[],4,FALSE)</f>
        <v>한국투자증권 CMA</v>
      </c>
      <c r="E46" s="75"/>
      <c r="F46">
        <v>10023530</v>
      </c>
      <c r="G46">
        <v>10023530</v>
      </c>
      <c r="H46">
        <f>CMA_한투1836[[#This Row],[현금지출]]-CMA_한투1836[[#This Row],[매입액]]</f>
        <v>0</v>
      </c>
      <c r="I46" s="64"/>
      <c r="J46">
        <v>10022682</v>
      </c>
      <c r="K46">
        <v>10023670</v>
      </c>
      <c r="M46">
        <v>10023530</v>
      </c>
      <c r="N46">
        <f>CMA_한투1836[[#This Row],[매도액]]-CMA_한투1836[[#This Row],[매도원금]]</f>
        <v>988</v>
      </c>
      <c r="O46">
        <f>CMA_한투1836[[#This Row],[매도액]]+CMA_한투1836[[#This Row],[이자배당액]]-CMA_한투1836[[#This Row],[현금수입]]</f>
        <v>140</v>
      </c>
      <c r="P46">
        <f>CMA_한투1836[[#This Row],[매매수익]]+CMA_한투1836[[#This Row],[이자배당액]]-CMA_한투1836[[#This Row],[매도비용]]-CMA_한투1836[[#This Row],[매입비용]]</f>
        <v>848</v>
      </c>
      <c r="R46">
        <f>CMA_한투1836[[#This Row],[입출금]]+CMA_한투1836[[#This Row],[현금수입]]-CMA_한투1836[[#This Row],[현금지출]]</f>
        <v>0</v>
      </c>
      <c r="S46">
        <f>SUM($R$2:R46)</f>
        <v>0</v>
      </c>
    </row>
    <row r="47" spans="1:19" x14ac:dyDescent="0.3">
      <c r="A47" s="3">
        <v>45123</v>
      </c>
      <c r="B47" s="5" t="s">
        <v>87</v>
      </c>
      <c r="C47" s="92" t="str">
        <f>VLOOKUP(CMA_한투1836[[#This Row],[종목코드]],표3[],2,FALSE)</f>
        <v>한투CMA</v>
      </c>
      <c r="D47" t="str">
        <f>VLOOKUP(CMA_한투1836[[#This Row],[종목코드]],표3[],4,FALSE)</f>
        <v>한국투자증권 CMA</v>
      </c>
      <c r="E47" s="75"/>
      <c r="F47">
        <v>10024378</v>
      </c>
      <c r="G47">
        <v>10024378</v>
      </c>
      <c r="H47">
        <f>CMA_한투1836[[#This Row],[현금지출]]-CMA_한투1836[[#This Row],[매입액]]</f>
        <v>0</v>
      </c>
      <c r="I47" s="64"/>
      <c r="J47">
        <v>10023530</v>
      </c>
      <c r="K47">
        <v>10024518</v>
      </c>
      <c r="M47">
        <v>10024378</v>
      </c>
      <c r="N47">
        <f>CMA_한투1836[[#This Row],[매도액]]-CMA_한투1836[[#This Row],[매도원금]]</f>
        <v>988</v>
      </c>
      <c r="O47">
        <f>CMA_한투1836[[#This Row],[매도액]]+CMA_한투1836[[#This Row],[이자배당액]]-CMA_한투1836[[#This Row],[현금수입]]</f>
        <v>140</v>
      </c>
      <c r="P47">
        <f>CMA_한투1836[[#This Row],[매매수익]]+CMA_한투1836[[#This Row],[이자배당액]]-CMA_한투1836[[#This Row],[매도비용]]-CMA_한투1836[[#This Row],[매입비용]]</f>
        <v>848</v>
      </c>
      <c r="R47">
        <f>CMA_한투1836[[#This Row],[입출금]]+CMA_한투1836[[#This Row],[현금수입]]-CMA_한투1836[[#This Row],[현금지출]]</f>
        <v>0</v>
      </c>
      <c r="S47">
        <f>SUM($R$2:R47)</f>
        <v>0</v>
      </c>
    </row>
    <row r="48" spans="1:19" x14ac:dyDescent="0.3">
      <c r="A48" s="3">
        <v>45124</v>
      </c>
      <c r="B48" s="5" t="s">
        <v>87</v>
      </c>
      <c r="C48" s="92" t="str">
        <f>VLOOKUP(CMA_한투1836[[#This Row],[종목코드]],표3[],2,FALSE)</f>
        <v>한투CMA</v>
      </c>
      <c r="D48" t="str">
        <f>VLOOKUP(CMA_한투1836[[#This Row],[종목코드]],표3[],4,FALSE)</f>
        <v>한국투자증권 CMA</v>
      </c>
      <c r="E48" s="75"/>
      <c r="F48">
        <v>6025226</v>
      </c>
      <c r="G48">
        <v>6025226</v>
      </c>
      <c r="H48">
        <f>CMA_한투1836[[#This Row],[현금지출]]-CMA_한투1836[[#This Row],[매입액]]</f>
        <v>0</v>
      </c>
      <c r="I48" s="64"/>
      <c r="J48">
        <v>10024378</v>
      </c>
      <c r="K48">
        <v>10025366</v>
      </c>
      <c r="M48">
        <v>10025226</v>
      </c>
      <c r="N48">
        <f>CMA_한투1836[[#This Row],[매도액]]-CMA_한투1836[[#This Row],[매도원금]]</f>
        <v>988</v>
      </c>
      <c r="O48">
        <f>CMA_한투1836[[#This Row],[매도액]]+CMA_한투1836[[#This Row],[이자배당액]]-CMA_한투1836[[#This Row],[현금수입]]</f>
        <v>140</v>
      </c>
      <c r="P48">
        <f>CMA_한투1836[[#This Row],[매매수익]]+CMA_한투1836[[#This Row],[이자배당액]]-CMA_한투1836[[#This Row],[매도비용]]-CMA_한투1836[[#This Row],[매입비용]]</f>
        <v>848</v>
      </c>
      <c r="Q48">
        <v>-4000000</v>
      </c>
      <c r="R48">
        <f>CMA_한투1836[[#This Row],[입출금]]+CMA_한투1836[[#This Row],[현금수입]]-CMA_한투1836[[#This Row],[현금지출]]</f>
        <v>0</v>
      </c>
      <c r="S48">
        <f>SUM($R$2:R48)</f>
        <v>0</v>
      </c>
    </row>
    <row r="49" spans="1:19" x14ac:dyDescent="0.3">
      <c r="A49" s="3">
        <v>45125</v>
      </c>
      <c r="B49" s="5" t="s">
        <v>87</v>
      </c>
      <c r="C49" s="92" t="str">
        <f>VLOOKUP(CMA_한투1836[[#This Row],[종목코드]],표3[],2,FALSE)</f>
        <v>한투CMA</v>
      </c>
      <c r="D49" s="62" t="str">
        <f>VLOOKUP(CMA_한투1836[[#This Row],[종목코드]],표3[],4,FALSE)</f>
        <v>한국투자증권 CMA</v>
      </c>
      <c r="E49" s="75"/>
      <c r="F49" s="7">
        <v>6025740</v>
      </c>
      <c r="G49" s="7">
        <v>6025740</v>
      </c>
      <c r="H49" s="5">
        <f>CMA_한투1836[[#This Row],[현금지출]]-CMA_한투1836[[#This Row],[매입액]]</f>
        <v>0</v>
      </c>
      <c r="I49" s="64"/>
      <c r="J49">
        <v>6025226</v>
      </c>
      <c r="K49">
        <v>6025820</v>
      </c>
      <c r="L49" s="7"/>
      <c r="M49" s="7">
        <v>6025740</v>
      </c>
      <c r="N49">
        <f>CMA_한투1836[[#This Row],[매도액]]-CMA_한투1836[[#This Row],[매도원금]]</f>
        <v>594</v>
      </c>
      <c r="O49" s="5">
        <f>CMA_한투1836[[#This Row],[매도액]]+CMA_한투1836[[#This Row],[이자배당액]]-CMA_한투1836[[#This Row],[현금수입]]</f>
        <v>80</v>
      </c>
      <c r="P49">
        <f>CMA_한투1836[[#This Row],[매매수익]]+CMA_한투1836[[#This Row],[이자배당액]]-CMA_한투1836[[#This Row],[매도비용]]-CMA_한투1836[[#This Row],[매입비용]]</f>
        <v>514</v>
      </c>
      <c r="R49" s="5">
        <f>CMA_한투1836[[#This Row],[입출금]]+CMA_한투1836[[#This Row],[현금수입]]-CMA_한투1836[[#This Row],[현금지출]]</f>
        <v>0</v>
      </c>
      <c r="S49">
        <f>SUM($R$2:R49)</f>
        <v>0</v>
      </c>
    </row>
    <row r="50" spans="1:19" x14ac:dyDescent="0.3">
      <c r="A50" s="3">
        <v>45126</v>
      </c>
      <c r="B50" s="5" t="s">
        <v>87</v>
      </c>
      <c r="C50" s="92" t="str">
        <f>VLOOKUP(CMA_한투1836[[#This Row],[종목코드]],표3[],2,FALSE)</f>
        <v>한투CMA</v>
      </c>
      <c r="D50" s="62" t="str">
        <f>VLOOKUP(CMA_한투1836[[#This Row],[종목코드]],표3[],4,FALSE)</f>
        <v>한국투자증권 CMA</v>
      </c>
      <c r="E50" s="75"/>
      <c r="F50" s="7">
        <v>6026254</v>
      </c>
      <c r="G50" s="7">
        <v>6026254</v>
      </c>
      <c r="H50" s="5">
        <f>CMA_한투1836[[#This Row],[현금지출]]-CMA_한투1836[[#This Row],[매입액]]</f>
        <v>0</v>
      </c>
      <c r="I50" s="64"/>
      <c r="J50" s="7">
        <v>6025740</v>
      </c>
      <c r="K50">
        <v>6026334</v>
      </c>
      <c r="L50" s="7"/>
      <c r="M50" s="7">
        <v>6026254</v>
      </c>
      <c r="N50">
        <f>CMA_한투1836[[#This Row],[매도액]]-CMA_한투1836[[#This Row],[매도원금]]</f>
        <v>594</v>
      </c>
      <c r="O50" s="5">
        <f>CMA_한투1836[[#This Row],[매도액]]+CMA_한투1836[[#This Row],[이자배당액]]-CMA_한투1836[[#This Row],[현금수입]]</f>
        <v>80</v>
      </c>
      <c r="P50">
        <f>CMA_한투1836[[#This Row],[매매수익]]+CMA_한투1836[[#This Row],[이자배당액]]-CMA_한투1836[[#This Row],[매도비용]]-CMA_한투1836[[#This Row],[매입비용]]</f>
        <v>514</v>
      </c>
      <c r="R50" s="5">
        <f>CMA_한투1836[[#This Row],[입출금]]+CMA_한투1836[[#This Row],[현금수입]]-CMA_한투1836[[#This Row],[현금지출]]</f>
        <v>0</v>
      </c>
      <c r="S50">
        <f>SUM($R$2:R50)</f>
        <v>0</v>
      </c>
    </row>
    <row r="51" spans="1:19" x14ac:dyDescent="0.3">
      <c r="A51" s="3">
        <v>45127</v>
      </c>
      <c r="B51" s="5" t="s">
        <v>87</v>
      </c>
      <c r="C51" s="92" t="str">
        <f>VLOOKUP(CMA_한투1836[[#This Row],[종목코드]],표3[],2,FALSE)</f>
        <v>한투CMA</v>
      </c>
      <c r="D51" s="62" t="str">
        <f>VLOOKUP(CMA_한투1836[[#This Row],[종목코드]],표3[],4,FALSE)</f>
        <v>한국투자증권 CMA</v>
      </c>
      <c r="E51" s="75"/>
      <c r="F51" s="7">
        <v>6026768</v>
      </c>
      <c r="G51" s="7">
        <v>6026768</v>
      </c>
      <c r="H51" s="5">
        <f>CMA_한투1836[[#This Row],[현금지출]]-CMA_한투1836[[#This Row],[매입액]]</f>
        <v>0</v>
      </c>
      <c r="I51" s="64"/>
      <c r="J51" s="7">
        <v>6026254</v>
      </c>
      <c r="K51">
        <v>6026848</v>
      </c>
      <c r="L51" s="7"/>
      <c r="M51" s="7">
        <v>6026768</v>
      </c>
      <c r="N51">
        <f>CMA_한투1836[[#This Row],[매도액]]-CMA_한투1836[[#This Row],[매도원금]]</f>
        <v>594</v>
      </c>
      <c r="O51" s="5">
        <f>CMA_한투1836[[#This Row],[매도액]]+CMA_한투1836[[#This Row],[이자배당액]]-CMA_한투1836[[#This Row],[현금수입]]</f>
        <v>80</v>
      </c>
      <c r="P51">
        <f>CMA_한투1836[[#This Row],[매매수익]]+CMA_한투1836[[#This Row],[이자배당액]]-CMA_한투1836[[#This Row],[매도비용]]-CMA_한투1836[[#This Row],[매입비용]]</f>
        <v>514</v>
      </c>
      <c r="R51" s="5">
        <f>CMA_한투1836[[#This Row],[입출금]]+CMA_한투1836[[#This Row],[현금수입]]-CMA_한투1836[[#This Row],[현금지출]]</f>
        <v>0</v>
      </c>
      <c r="S51">
        <f>SUM($R$2:R51)</f>
        <v>0</v>
      </c>
    </row>
    <row r="52" spans="1:19" x14ac:dyDescent="0.3">
      <c r="A52" s="3">
        <v>45128</v>
      </c>
      <c r="B52" s="5" t="s">
        <v>87</v>
      </c>
      <c r="C52" s="92" t="str">
        <f>VLOOKUP(CMA_한투1836[[#This Row],[종목코드]],표3[],2,FALSE)</f>
        <v>한투CMA</v>
      </c>
      <c r="D52" s="62" t="str">
        <f>VLOOKUP(CMA_한투1836[[#This Row],[종목코드]],표3[],4,FALSE)</f>
        <v>한국투자증권 CMA</v>
      </c>
      <c r="E52" s="75"/>
      <c r="F52" s="7">
        <v>9027282</v>
      </c>
      <c r="G52" s="5">
        <v>9027282</v>
      </c>
      <c r="H52" s="5">
        <f>CMA_한투1836[[#This Row],[현금지출]]-CMA_한투1836[[#This Row],[매입액]]</f>
        <v>0</v>
      </c>
      <c r="I52" s="64"/>
      <c r="J52" s="7">
        <v>6026768</v>
      </c>
      <c r="K52">
        <v>6027362</v>
      </c>
      <c r="L52" s="7"/>
      <c r="M52">
        <v>6027282</v>
      </c>
      <c r="N52">
        <f>CMA_한투1836[[#This Row],[매도액]]-CMA_한투1836[[#This Row],[매도원금]]</f>
        <v>594</v>
      </c>
      <c r="O52" s="5">
        <f>CMA_한투1836[[#This Row],[매도액]]+CMA_한투1836[[#This Row],[이자배당액]]-CMA_한투1836[[#This Row],[현금수입]]</f>
        <v>80</v>
      </c>
      <c r="P52">
        <f>CMA_한투1836[[#This Row],[매매수익]]+CMA_한투1836[[#This Row],[이자배당액]]-CMA_한투1836[[#This Row],[매도비용]]-CMA_한투1836[[#This Row],[매입비용]]</f>
        <v>514</v>
      </c>
      <c r="Q52">
        <v>3000000</v>
      </c>
      <c r="R52" s="5">
        <f>CMA_한투1836[[#This Row],[입출금]]+CMA_한투1836[[#This Row],[현금수입]]-CMA_한투1836[[#This Row],[현금지출]]</f>
        <v>0</v>
      </c>
      <c r="S52">
        <f>SUM($R$2:R52)</f>
        <v>0</v>
      </c>
    </row>
    <row r="53" spans="1:19" x14ac:dyDescent="0.3">
      <c r="A53" s="3">
        <v>45129</v>
      </c>
      <c r="B53" s="5" t="s">
        <v>87</v>
      </c>
      <c r="C53" s="92" t="str">
        <f>VLOOKUP(CMA_한투1836[[#This Row],[종목코드]],표3[],2,FALSE)</f>
        <v>한투CMA</v>
      </c>
      <c r="D53" s="62" t="str">
        <f>VLOOKUP(CMA_한투1836[[#This Row],[종목코드]],표3[],4,FALSE)</f>
        <v>한국투자증권 CMA</v>
      </c>
      <c r="E53" s="75"/>
      <c r="F53" s="7">
        <v>9028042</v>
      </c>
      <c r="G53" s="7">
        <v>9028042</v>
      </c>
      <c r="H53" s="5">
        <f>CMA_한투1836[[#This Row],[현금지출]]-CMA_한투1836[[#This Row],[매입액]]</f>
        <v>0</v>
      </c>
      <c r="I53" s="64"/>
      <c r="J53" s="7">
        <v>9027282</v>
      </c>
      <c r="K53">
        <v>9028172</v>
      </c>
      <c r="L53" s="7"/>
      <c r="M53" s="7">
        <v>9028042</v>
      </c>
      <c r="N53">
        <f>CMA_한투1836[[#This Row],[매도액]]-CMA_한투1836[[#This Row],[매도원금]]</f>
        <v>890</v>
      </c>
      <c r="O53" s="5">
        <f>CMA_한투1836[[#This Row],[매도액]]+CMA_한투1836[[#This Row],[이자배당액]]-CMA_한투1836[[#This Row],[현금수입]]</f>
        <v>130</v>
      </c>
      <c r="P53">
        <f>CMA_한투1836[[#This Row],[매매수익]]+CMA_한투1836[[#This Row],[이자배당액]]-CMA_한투1836[[#This Row],[매도비용]]-CMA_한투1836[[#This Row],[매입비용]]</f>
        <v>760</v>
      </c>
      <c r="R53" s="5">
        <f>CMA_한투1836[[#This Row],[입출금]]+CMA_한투1836[[#This Row],[현금수입]]-CMA_한투1836[[#This Row],[현금지출]]</f>
        <v>0</v>
      </c>
      <c r="S53">
        <f>SUM($R$2:R53)</f>
        <v>0</v>
      </c>
    </row>
    <row r="54" spans="1:19" x14ac:dyDescent="0.3">
      <c r="A54" s="3">
        <v>45130</v>
      </c>
      <c r="B54" s="5" t="s">
        <v>87</v>
      </c>
      <c r="C54" s="92" t="str">
        <f>VLOOKUP(CMA_한투1836[[#This Row],[종목코드]],표3[],2,FALSE)</f>
        <v>한투CMA</v>
      </c>
      <c r="D54" s="62" t="str">
        <f>VLOOKUP(CMA_한투1836[[#This Row],[종목코드]],표3[],4,FALSE)</f>
        <v>한국투자증권 CMA</v>
      </c>
      <c r="E54" s="75"/>
      <c r="F54" s="7">
        <v>9028802</v>
      </c>
      <c r="G54" s="7">
        <v>9028802</v>
      </c>
      <c r="H54" s="5">
        <f>CMA_한투1836[[#This Row],[현금지출]]-CMA_한투1836[[#This Row],[매입액]]</f>
        <v>0</v>
      </c>
      <c r="I54" s="64"/>
      <c r="J54" s="7">
        <v>9028042</v>
      </c>
      <c r="K54">
        <v>9028932</v>
      </c>
      <c r="L54" s="7"/>
      <c r="M54" s="7">
        <v>9028802</v>
      </c>
      <c r="N54">
        <f>CMA_한투1836[[#This Row],[매도액]]-CMA_한투1836[[#This Row],[매도원금]]</f>
        <v>890</v>
      </c>
      <c r="O54" s="5">
        <f>CMA_한투1836[[#This Row],[매도액]]+CMA_한투1836[[#This Row],[이자배당액]]-CMA_한투1836[[#This Row],[현금수입]]</f>
        <v>130</v>
      </c>
      <c r="P54">
        <f>CMA_한투1836[[#This Row],[매매수익]]+CMA_한투1836[[#This Row],[이자배당액]]-CMA_한투1836[[#This Row],[매도비용]]-CMA_한투1836[[#This Row],[매입비용]]</f>
        <v>760</v>
      </c>
      <c r="R54" s="5">
        <f>CMA_한투1836[[#This Row],[입출금]]+CMA_한투1836[[#This Row],[현금수입]]-CMA_한투1836[[#This Row],[현금지출]]</f>
        <v>0</v>
      </c>
      <c r="S54">
        <f>SUM($R$2:R54)</f>
        <v>0</v>
      </c>
    </row>
    <row r="55" spans="1:19" x14ac:dyDescent="0.3">
      <c r="A55" s="3">
        <v>45131</v>
      </c>
      <c r="B55" s="5" t="s">
        <v>87</v>
      </c>
      <c r="C55" s="92" t="str">
        <f>VLOOKUP(CMA_한투1836[[#This Row],[종목코드]],표3[],2,FALSE)</f>
        <v>한투CMA</v>
      </c>
      <c r="D55" s="62" t="str">
        <f>VLOOKUP(CMA_한투1836[[#This Row],[종목코드]],표3[],4,FALSE)</f>
        <v>한국투자증권 CMA</v>
      </c>
      <c r="E55" s="75"/>
      <c r="F55" s="7">
        <v>9029562</v>
      </c>
      <c r="G55" s="7">
        <v>9029562</v>
      </c>
      <c r="H55" s="5">
        <f>CMA_한투1836[[#This Row],[현금지출]]-CMA_한투1836[[#This Row],[매입액]]</f>
        <v>0</v>
      </c>
      <c r="I55" s="64"/>
      <c r="J55" s="7">
        <v>9028802</v>
      </c>
      <c r="K55">
        <v>9029692</v>
      </c>
      <c r="L55" s="7"/>
      <c r="M55" s="7">
        <v>9029562</v>
      </c>
      <c r="N55">
        <f>CMA_한투1836[[#This Row],[매도액]]-CMA_한투1836[[#This Row],[매도원금]]</f>
        <v>890</v>
      </c>
      <c r="O55" s="5">
        <f>CMA_한투1836[[#This Row],[매도액]]+CMA_한투1836[[#This Row],[이자배당액]]-CMA_한투1836[[#This Row],[현금수입]]</f>
        <v>130</v>
      </c>
      <c r="P55">
        <f>CMA_한투1836[[#This Row],[매매수익]]+CMA_한투1836[[#This Row],[이자배당액]]-CMA_한투1836[[#This Row],[매도비용]]-CMA_한투1836[[#This Row],[매입비용]]</f>
        <v>760</v>
      </c>
      <c r="R55" s="5">
        <f>CMA_한투1836[[#This Row],[입출금]]+CMA_한투1836[[#This Row],[현금수입]]-CMA_한투1836[[#This Row],[현금지출]]</f>
        <v>0</v>
      </c>
      <c r="S55">
        <f>SUM($R$2:R55)</f>
        <v>0</v>
      </c>
    </row>
    <row r="56" spans="1:19" x14ac:dyDescent="0.3">
      <c r="A56" s="3">
        <v>45132</v>
      </c>
      <c r="B56" s="5" t="s">
        <v>87</v>
      </c>
      <c r="C56" s="92" t="str">
        <f>VLOOKUP(CMA_한투1836[[#This Row],[종목코드]],표3[],2,FALSE)</f>
        <v>한투CMA</v>
      </c>
      <c r="D56" s="62" t="str">
        <f>VLOOKUP(CMA_한투1836[[#This Row],[종목코드]],표3[],4,FALSE)</f>
        <v>한국투자증권 CMA</v>
      </c>
      <c r="E56" s="75"/>
      <c r="F56" s="7">
        <v>9030322</v>
      </c>
      <c r="G56" s="7">
        <v>9030322</v>
      </c>
      <c r="H56" s="5">
        <f>CMA_한투1836[[#This Row],[현금지출]]-CMA_한투1836[[#This Row],[매입액]]</f>
        <v>0</v>
      </c>
      <c r="I56" s="64"/>
      <c r="J56" s="7">
        <v>9029562</v>
      </c>
      <c r="K56">
        <v>9030452</v>
      </c>
      <c r="L56" s="7"/>
      <c r="M56" s="7">
        <v>9030322</v>
      </c>
      <c r="N56">
        <f>CMA_한투1836[[#This Row],[매도액]]-CMA_한투1836[[#This Row],[매도원금]]</f>
        <v>890</v>
      </c>
      <c r="O56" s="5">
        <f>CMA_한투1836[[#This Row],[매도액]]+CMA_한투1836[[#This Row],[이자배당액]]-CMA_한투1836[[#This Row],[현금수입]]</f>
        <v>130</v>
      </c>
      <c r="P56">
        <f>CMA_한투1836[[#This Row],[매매수익]]+CMA_한투1836[[#This Row],[이자배당액]]-CMA_한투1836[[#This Row],[매도비용]]-CMA_한투1836[[#This Row],[매입비용]]</f>
        <v>760</v>
      </c>
      <c r="R56" s="5">
        <f>CMA_한투1836[[#This Row],[입출금]]+CMA_한투1836[[#This Row],[현금수입]]-CMA_한투1836[[#This Row],[현금지출]]</f>
        <v>0</v>
      </c>
      <c r="S56">
        <f>SUM($R$2:R56)</f>
        <v>0</v>
      </c>
    </row>
    <row r="57" spans="1:19" x14ac:dyDescent="0.3">
      <c r="A57" s="3">
        <v>45133</v>
      </c>
      <c r="B57" s="5" t="s">
        <v>87</v>
      </c>
      <c r="C57" s="92" t="str">
        <f>VLOOKUP(CMA_한투1836[[#This Row],[종목코드]],표3[],2,FALSE)</f>
        <v>한투CMA</v>
      </c>
      <c r="D57" s="62" t="str">
        <f>VLOOKUP(CMA_한투1836[[#This Row],[종목코드]],표3[],4,FALSE)</f>
        <v>한국투자증권 CMA</v>
      </c>
      <c r="E57" s="75"/>
      <c r="F57" s="7">
        <v>9031082</v>
      </c>
      <c r="G57" s="7">
        <v>9031082</v>
      </c>
      <c r="H57" s="5">
        <f>CMA_한투1836[[#This Row],[현금지출]]-CMA_한투1836[[#This Row],[매입액]]</f>
        <v>0</v>
      </c>
      <c r="I57" s="64"/>
      <c r="J57" s="7">
        <v>9030322</v>
      </c>
      <c r="K57">
        <v>9031212</v>
      </c>
      <c r="L57" s="7"/>
      <c r="M57" s="7">
        <v>9031082</v>
      </c>
      <c r="N57">
        <f>CMA_한투1836[[#This Row],[매도액]]-CMA_한투1836[[#This Row],[매도원금]]</f>
        <v>890</v>
      </c>
      <c r="O57" s="5">
        <f>CMA_한투1836[[#This Row],[매도액]]+CMA_한투1836[[#This Row],[이자배당액]]-CMA_한투1836[[#This Row],[현금수입]]</f>
        <v>130</v>
      </c>
      <c r="P57">
        <f>CMA_한투1836[[#This Row],[매매수익]]+CMA_한투1836[[#This Row],[이자배당액]]-CMA_한투1836[[#This Row],[매도비용]]-CMA_한투1836[[#This Row],[매입비용]]</f>
        <v>760</v>
      </c>
      <c r="R57" s="5">
        <f>CMA_한투1836[[#This Row],[입출금]]+CMA_한투1836[[#This Row],[현금수입]]-CMA_한투1836[[#This Row],[현금지출]]</f>
        <v>0</v>
      </c>
      <c r="S57">
        <f>SUM($R$2:R57)</f>
        <v>0</v>
      </c>
    </row>
    <row r="58" spans="1:19" x14ac:dyDescent="0.3">
      <c r="A58" s="3">
        <v>45134</v>
      </c>
      <c r="B58" s="5" t="s">
        <v>87</v>
      </c>
      <c r="C58" s="92" t="str">
        <f>VLOOKUP(CMA_한투1836[[#This Row],[종목코드]],표3[],2,FALSE)</f>
        <v>한투CMA</v>
      </c>
      <c r="D58" s="62" t="str">
        <f>VLOOKUP(CMA_한투1836[[#This Row],[종목코드]],표3[],4,FALSE)</f>
        <v>한국투자증권 CMA</v>
      </c>
      <c r="E58" s="75"/>
      <c r="F58" s="7">
        <v>9031842</v>
      </c>
      <c r="G58" s="7">
        <v>9031842</v>
      </c>
      <c r="H58" s="5">
        <f>CMA_한투1836[[#This Row],[현금지출]]-CMA_한투1836[[#This Row],[매입액]]</f>
        <v>0</v>
      </c>
      <c r="I58" s="64"/>
      <c r="J58" s="7">
        <v>9031082</v>
      </c>
      <c r="K58">
        <v>9031972</v>
      </c>
      <c r="L58" s="7"/>
      <c r="M58" s="7">
        <v>9031842</v>
      </c>
      <c r="N58">
        <f>CMA_한투1836[[#This Row],[매도액]]-CMA_한투1836[[#This Row],[매도원금]]</f>
        <v>890</v>
      </c>
      <c r="O58" s="5">
        <f>CMA_한투1836[[#This Row],[매도액]]+CMA_한투1836[[#This Row],[이자배당액]]-CMA_한투1836[[#This Row],[현금수입]]</f>
        <v>130</v>
      </c>
      <c r="P58">
        <f>CMA_한투1836[[#This Row],[매매수익]]+CMA_한투1836[[#This Row],[이자배당액]]-CMA_한투1836[[#This Row],[매도비용]]-CMA_한투1836[[#This Row],[매입비용]]</f>
        <v>760</v>
      </c>
      <c r="R58" s="5">
        <f>CMA_한투1836[[#This Row],[입출금]]+CMA_한투1836[[#This Row],[현금수입]]-CMA_한투1836[[#This Row],[현금지출]]</f>
        <v>0</v>
      </c>
      <c r="S58">
        <f>SUM($R$2:R58)</f>
        <v>0</v>
      </c>
    </row>
    <row r="59" spans="1:19" x14ac:dyDescent="0.3">
      <c r="A59" s="3">
        <v>45135</v>
      </c>
      <c r="B59" s="5" t="s">
        <v>87</v>
      </c>
      <c r="C59" s="92" t="str">
        <f>VLOOKUP(CMA_한투1836[[#This Row],[종목코드]],표3[],2,FALSE)</f>
        <v>한투CMA</v>
      </c>
      <c r="D59" s="62" t="str">
        <f>VLOOKUP(CMA_한투1836[[#This Row],[종목코드]],표3[],4,FALSE)</f>
        <v>한국투자증권 CMA</v>
      </c>
      <c r="E59" s="75"/>
      <c r="F59" s="7">
        <v>9032602</v>
      </c>
      <c r="G59" s="7">
        <v>9032602</v>
      </c>
      <c r="H59" s="5">
        <f>CMA_한투1836[[#This Row],[현금지출]]-CMA_한투1836[[#This Row],[매입액]]</f>
        <v>0</v>
      </c>
      <c r="I59" s="64"/>
      <c r="J59" s="7">
        <v>9031842</v>
      </c>
      <c r="K59">
        <v>9032732</v>
      </c>
      <c r="L59" s="7"/>
      <c r="M59" s="7">
        <v>9032602</v>
      </c>
      <c r="N59">
        <f>CMA_한투1836[[#This Row],[매도액]]-CMA_한투1836[[#This Row],[매도원금]]</f>
        <v>890</v>
      </c>
      <c r="O59" s="5">
        <f>CMA_한투1836[[#This Row],[매도액]]+CMA_한투1836[[#This Row],[이자배당액]]-CMA_한투1836[[#This Row],[현금수입]]</f>
        <v>130</v>
      </c>
      <c r="P59">
        <f>CMA_한투1836[[#This Row],[매매수익]]+CMA_한투1836[[#This Row],[이자배당액]]-CMA_한투1836[[#This Row],[매도비용]]-CMA_한투1836[[#This Row],[매입비용]]</f>
        <v>760</v>
      </c>
      <c r="R59" s="5">
        <f>CMA_한투1836[[#This Row],[입출금]]+CMA_한투1836[[#This Row],[현금수입]]-CMA_한투1836[[#This Row],[현금지출]]</f>
        <v>0</v>
      </c>
      <c r="S59">
        <f>SUM($R$2:R59)</f>
        <v>0</v>
      </c>
    </row>
    <row r="60" spans="1:19" x14ac:dyDescent="0.3">
      <c r="A60" s="3">
        <v>45136</v>
      </c>
      <c r="B60" s="5" t="s">
        <v>87</v>
      </c>
      <c r="C60" s="92" t="str">
        <f>VLOOKUP(CMA_한투1836[[#This Row],[종목코드]],표3[],2,FALSE)</f>
        <v>한투CMA</v>
      </c>
      <c r="D60" s="62" t="str">
        <f>VLOOKUP(CMA_한투1836[[#This Row],[종목코드]],표3[],4,FALSE)</f>
        <v>한국투자증권 CMA</v>
      </c>
      <c r="E60" s="75"/>
      <c r="F60" s="7">
        <v>9033362</v>
      </c>
      <c r="G60" s="7">
        <v>9033362</v>
      </c>
      <c r="H60" s="5">
        <f>CMA_한투1836[[#This Row],[현금지출]]-CMA_한투1836[[#This Row],[매입액]]</f>
        <v>0</v>
      </c>
      <c r="I60" s="64"/>
      <c r="J60" s="7">
        <v>9032602</v>
      </c>
      <c r="K60">
        <v>9033492</v>
      </c>
      <c r="L60" s="7"/>
      <c r="M60" s="7">
        <v>9033362</v>
      </c>
      <c r="N60">
        <f>CMA_한투1836[[#This Row],[매도액]]-CMA_한투1836[[#This Row],[매도원금]]</f>
        <v>890</v>
      </c>
      <c r="O60" s="5">
        <f>CMA_한투1836[[#This Row],[매도액]]+CMA_한투1836[[#This Row],[이자배당액]]-CMA_한투1836[[#This Row],[현금수입]]</f>
        <v>130</v>
      </c>
      <c r="P60">
        <f>CMA_한투1836[[#This Row],[매매수익]]+CMA_한투1836[[#This Row],[이자배당액]]-CMA_한투1836[[#This Row],[매도비용]]-CMA_한투1836[[#This Row],[매입비용]]</f>
        <v>760</v>
      </c>
      <c r="R60" s="5">
        <f>CMA_한투1836[[#This Row],[입출금]]+CMA_한투1836[[#This Row],[현금수입]]-CMA_한투1836[[#This Row],[현금지출]]</f>
        <v>0</v>
      </c>
      <c r="S60">
        <f>SUM($R$2:R60)</f>
        <v>0</v>
      </c>
    </row>
    <row r="61" spans="1:19" x14ac:dyDescent="0.3">
      <c r="A61" s="3">
        <v>45137</v>
      </c>
      <c r="B61" s="5" t="s">
        <v>87</v>
      </c>
      <c r="C61" s="92" t="str">
        <f>VLOOKUP(CMA_한투1836[[#This Row],[종목코드]],표3[],2,FALSE)</f>
        <v>한투CMA</v>
      </c>
      <c r="D61" s="62" t="str">
        <f>VLOOKUP(CMA_한투1836[[#This Row],[종목코드]],표3[],4,FALSE)</f>
        <v>한국투자증권 CMA</v>
      </c>
      <c r="E61" s="75"/>
      <c r="F61" s="7">
        <v>9034122</v>
      </c>
      <c r="G61" s="7">
        <v>9034122</v>
      </c>
      <c r="H61" s="5">
        <f>CMA_한투1836[[#This Row],[현금지출]]-CMA_한투1836[[#This Row],[매입액]]</f>
        <v>0</v>
      </c>
      <c r="I61" s="64"/>
      <c r="J61" s="7">
        <v>9033362</v>
      </c>
      <c r="K61">
        <v>9034252</v>
      </c>
      <c r="L61" s="7"/>
      <c r="M61" s="7">
        <v>9034122</v>
      </c>
      <c r="N61">
        <f>CMA_한투1836[[#This Row],[매도액]]-CMA_한투1836[[#This Row],[매도원금]]</f>
        <v>890</v>
      </c>
      <c r="O61" s="5">
        <f>CMA_한투1836[[#This Row],[매도액]]+CMA_한투1836[[#This Row],[이자배당액]]-CMA_한투1836[[#This Row],[현금수입]]</f>
        <v>130</v>
      </c>
      <c r="P61">
        <f>CMA_한투1836[[#This Row],[매매수익]]+CMA_한투1836[[#This Row],[이자배당액]]-CMA_한투1836[[#This Row],[매도비용]]-CMA_한투1836[[#This Row],[매입비용]]</f>
        <v>760</v>
      </c>
      <c r="R61" s="5">
        <f>CMA_한투1836[[#This Row],[입출금]]+CMA_한투1836[[#This Row],[현금수입]]-CMA_한투1836[[#This Row],[현금지출]]</f>
        <v>0</v>
      </c>
      <c r="S61">
        <f>SUM($R$2:R61)</f>
        <v>0</v>
      </c>
    </row>
    <row r="62" spans="1:19" x14ac:dyDescent="0.3">
      <c r="A62" s="3">
        <v>45138</v>
      </c>
      <c r="B62" s="5" t="s">
        <v>87</v>
      </c>
      <c r="C62" s="92" t="str">
        <f>VLOOKUP(CMA_한투1836[[#This Row],[종목코드]],표3[],2,FALSE)</f>
        <v>한투CMA</v>
      </c>
      <c r="D62" s="62" t="str">
        <f>VLOOKUP(CMA_한투1836[[#This Row],[종목코드]],표3[],4,FALSE)</f>
        <v>한국투자증권 CMA</v>
      </c>
      <c r="E62" s="75"/>
      <c r="F62" s="7">
        <v>6034884</v>
      </c>
      <c r="G62" s="7">
        <v>6034884</v>
      </c>
      <c r="H62" s="5">
        <f>CMA_한투1836[[#This Row],[현금지출]]-CMA_한투1836[[#This Row],[매입액]]</f>
        <v>0</v>
      </c>
      <c r="I62" s="64"/>
      <c r="J62" s="7">
        <v>9034122</v>
      </c>
      <c r="K62">
        <v>9035013</v>
      </c>
      <c r="L62" s="7"/>
      <c r="M62" s="7">
        <v>9034883</v>
      </c>
      <c r="N62">
        <f>CMA_한투1836[[#This Row],[매도액]]-CMA_한투1836[[#This Row],[매도원금]]</f>
        <v>891</v>
      </c>
      <c r="O62" s="5">
        <f>CMA_한투1836[[#This Row],[매도액]]+CMA_한투1836[[#This Row],[이자배당액]]-CMA_한투1836[[#This Row],[현금수입]]</f>
        <v>130</v>
      </c>
      <c r="P62">
        <f>CMA_한투1836[[#This Row],[매매수익]]+CMA_한투1836[[#This Row],[이자배당액]]-CMA_한투1836[[#This Row],[매도비용]]-CMA_한투1836[[#This Row],[매입비용]]</f>
        <v>761</v>
      </c>
      <c r="Q62">
        <f>1-3000000</f>
        <v>-2999999</v>
      </c>
      <c r="R62" s="5">
        <f>CMA_한투1836[[#This Row],[입출금]]+CMA_한투1836[[#This Row],[현금수입]]-CMA_한투1836[[#This Row],[현금지출]]</f>
        <v>0</v>
      </c>
      <c r="S62">
        <f>SUM($R$2:R62)</f>
        <v>0</v>
      </c>
    </row>
    <row r="63" spans="1:19" x14ac:dyDescent="0.3">
      <c r="A63" s="3">
        <v>45139</v>
      </c>
      <c r="B63" s="5" t="s">
        <v>87</v>
      </c>
      <c r="C63" s="92" t="str">
        <f>VLOOKUP(CMA_한투1836[[#This Row],[종목코드]],표3[],2,FALSE)</f>
        <v>한투CMA</v>
      </c>
      <c r="D63" s="62" t="str">
        <f>VLOOKUP(CMA_한투1836[[#This Row],[종목코드]],표3[],4,FALSE)</f>
        <v>한국투자증권 CMA</v>
      </c>
      <c r="E63" s="75"/>
      <c r="F63" s="7">
        <v>6035399</v>
      </c>
      <c r="G63" s="7">
        <v>6035399</v>
      </c>
      <c r="H63" s="5">
        <f>CMA_한투1836[[#This Row],[현금지출]]-CMA_한투1836[[#This Row],[매입액]]</f>
        <v>0</v>
      </c>
      <c r="I63" s="64"/>
      <c r="J63" s="7">
        <v>6034884</v>
      </c>
      <c r="K63">
        <v>6035479</v>
      </c>
      <c r="L63" s="7"/>
      <c r="M63" s="7">
        <v>6035399</v>
      </c>
      <c r="N63">
        <f>CMA_한투1836[[#This Row],[매도액]]-CMA_한투1836[[#This Row],[매도원금]]</f>
        <v>595</v>
      </c>
      <c r="O63" s="5">
        <f>CMA_한투1836[[#This Row],[매도액]]+CMA_한투1836[[#This Row],[이자배당액]]-CMA_한투1836[[#This Row],[현금수입]]</f>
        <v>80</v>
      </c>
      <c r="P63">
        <f>CMA_한투1836[[#This Row],[매매수익]]+CMA_한투1836[[#This Row],[이자배당액]]-CMA_한투1836[[#This Row],[매도비용]]-CMA_한투1836[[#This Row],[매입비용]]</f>
        <v>515</v>
      </c>
      <c r="R63" s="5">
        <f>CMA_한투1836[[#This Row],[입출금]]+CMA_한투1836[[#This Row],[현금수입]]-CMA_한투1836[[#This Row],[현금지출]]</f>
        <v>0</v>
      </c>
      <c r="S63">
        <f>SUM($R$2:R63)</f>
        <v>0</v>
      </c>
    </row>
    <row r="64" spans="1:19" x14ac:dyDescent="0.3">
      <c r="A64" s="3">
        <v>45140</v>
      </c>
      <c r="B64" s="5" t="s">
        <v>87</v>
      </c>
      <c r="C64" s="92" t="str">
        <f>VLOOKUP(CMA_한투1836[[#This Row],[종목코드]],표3[],2,FALSE)</f>
        <v>한투CMA</v>
      </c>
      <c r="D64" s="62" t="str">
        <f>VLOOKUP(CMA_한투1836[[#This Row],[종목코드]],표3[],4,FALSE)</f>
        <v>한국투자증권 CMA</v>
      </c>
      <c r="E64" s="75"/>
      <c r="F64" s="7">
        <v>6035914</v>
      </c>
      <c r="G64" s="7">
        <v>6035914</v>
      </c>
      <c r="H64" s="5">
        <f>CMA_한투1836[[#This Row],[현금지출]]-CMA_한투1836[[#This Row],[매입액]]</f>
        <v>0</v>
      </c>
      <c r="I64" s="64"/>
      <c r="J64" s="7">
        <v>6035399</v>
      </c>
      <c r="K64">
        <v>6035994</v>
      </c>
      <c r="L64" s="7"/>
      <c r="M64" s="7">
        <v>6035914</v>
      </c>
      <c r="N64">
        <f>CMA_한투1836[[#This Row],[매도액]]-CMA_한투1836[[#This Row],[매도원금]]</f>
        <v>595</v>
      </c>
      <c r="O64" s="5">
        <f>CMA_한투1836[[#This Row],[매도액]]+CMA_한투1836[[#This Row],[이자배당액]]-CMA_한투1836[[#This Row],[현금수입]]</f>
        <v>80</v>
      </c>
      <c r="P64">
        <f>CMA_한투1836[[#This Row],[매매수익]]+CMA_한투1836[[#This Row],[이자배당액]]-CMA_한투1836[[#This Row],[매도비용]]-CMA_한투1836[[#This Row],[매입비용]]</f>
        <v>515</v>
      </c>
      <c r="R64" s="5">
        <f>CMA_한투1836[[#This Row],[입출금]]+CMA_한투1836[[#This Row],[현금수입]]-CMA_한투1836[[#This Row],[현금지출]]</f>
        <v>0</v>
      </c>
      <c r="S64">
        <f>SUM($R$2:R64)</f>
        <v>0</v>
      </c>
    </row>
    <row r="65" spans="1:19" x14ac:dyDescent="0.3">
      <c r="A65" s="3">
        <v>45141</v>
      </c>
      <c r="B65" s="5" t="s">
        <v>87</v>
      </c>
      <c r="C65" s="92" t="str">
        <f>VLOOKUP(CMA_한투1836[[#This Row],[종목코드]],표3[],2,FALSE)</f>
        <v>한투CMA</v>
      </c>
      <c r="D65" s="62" t="str">
        <f>VLOOKUP(CMA_한투1836[[#This Row],[종목코드]],표3[],4,FALSE)</f>
        <v>한국투자증권 CMA</v>
      </c>
      <c r="E65" s="75"/>
      <c r="F65" s="7">
        <v>6036429</v>
      </c>
      <c r="G65" s="7">
        <v>6036429</v>
      </c>
      <c r="H65" s="5">
        <f>CMA_한투1836[[#This Row],[현금지출]]-CMA_한투1836[[#This Row],[매입액]]</f>
        <v>0</v>
      </c>
      <c r="I65" s="64"/>
      <c r="J65" s="7">
        <v>6035914</v>
      </c>
      <c r="K65">
        <v>6036509</v>
      </c>
      <c r="L65" s="7"/>
      <c r="M65" s="7">
        <v>6036429</v>
      </c>
      <c r="N65">
        <f>CMA_한투1836[[#This Row],[매도액]]-CMA_한투1836[[#This Row],[매도원금]]</f>
        <v>595</v>
      </c>
      <c r="O65" s="5">
        <f>CMA_한투1836[[#This Row],[매도액]]+CMA_한투1836[[#This Row],[이자배당액]]-CMA_한투1836[[#This Row],[현금수입]]</f>
        <v>80</v>
      </c>
      <c r="P65">
        <f>CMA_한투1836[[#This Row],[매매수익]]+CMA_한투1836[[#This Row],[이자배당액]]-CMA_한투1836[[#This Row],[매도비용]]-CMA_한투1836[[#This Row],[매입비용]]</f>
        <v>515</v>
      </c>
      <c r="R65" s="5">
        <f>CMA_한투1836[[#This Row],[입출금]]+CMA_한투1836[[#This Row],[현금수입]]-CMA_한투1836[[#This Row],[현금지출]]</f>
        <v>0</v>
      </c>
      <c r="S65">
        <f>SUM($R$2:R65)</f>
        <v>0</v>
      </c>
    </row>
    <row r="66" spans="1:19" x14ac:dyDescent="0.3">
      <c r="A66" s="3">
        <v>45142</v>
      </c>
      <c r="B66" s="5" t="s">
        <v>87</v>
      </c>
      <c r="C66" s="92" t="str">
        <f>VLOOKUP(CMA_한투1836[[#This Row],[종목코드]],표3[],2,FALSE)</f>
        <v>한투CMA</v>
      </c>
      <c r="D66" s="62" t="str">
        <f>VLOOKUP(CMA_한투1836[[#This Row],[종목코드]],표3[],4,FALSE)</f>
        <v>한국투자증권 CMA</v>
      </c>
      <c r="E66" s="75"/>
      <c r="F66" s="7">
        <v>6036944</v>
      </c>
      <c r="G66" s="7">
        <v>6036944</v>
      </c>
      <c r="H66" s="5">
        <f>CMA_한투1836[[#This Row],[현금지출]]-CMA_한투1836[[#This Row],[매입액]]</f>
        <v>0</v>
      </c>
      <c r="I66" s="64"/>
      <c r="J66" s="7">
        <v>6036429</v>
      </c>
      <c r="K66">
        <v>6037024</v>
      </c>
      <c r="L66" s="7"/>
      <c r="M66" s="7">
        <v>6036944</v>
      </c>
      <c r="N66">
        <f>CMA_한투1836[[#This Row],[매도액]]-CMA_한투1836[[#This Row],[매도원금]]</f>
        <v>595</v>
      </c>
      <c r="O66" s="5">
        <f>CMA_한투1836[[#This Row],[매도액]]+CMA_한투1836[[#This Row],[이자배당액]]-CMA_한투1836[[#This Row],[현금수입]]</f>
        <v>80</v>
      </c>
      <c r="P66">
        <f>CMA_한투1836[[#This Row],[매매수익]]+CMA_한투1836[[#This Row],[이자배당액]]-CMA_한투1836[[#This Row],[매도비용]]-CMA_한투1836[[#This Row],[매입비용]]</f>
        <v>515</v>
      </c>
      <c r="R66" s="5">
        <f>CMA_한투1836[[#This Row],[입출금]]+CMA_한투1836[[#This Row],[현금수입]]-CMA_한투1836[[#This Row],[현금지출]]</f>
        <v>0</v>
      </c>
      <c r="S66">
        <f>SUM($R$2:R66)</f>
        <v>0</v>
      </c>
    </row>
    <row r="67" spans="1:19" x14ac:dyDescent="0.3">
      <c r="A67" s="3">
        <v>45143</v>
      </c>
      <c r="B67" s="5" t="s">
        <v>87</v>
      </c>
      <c r="C67" s="92" t="str">
        <f>VLOOKUP(CMA_한투1836[[#This Row],[종목코드]],표3[],2,FALSE)</f>
        <v>한투CMA</v>
      </c>
      <c r="D67" s="62" t="str">
        <f>VLOOKUP(CMA_한투1836[[#This Row],[종목코드]],표3[],4,FALSE)</f>
        <v>한국투자증권 CMA</v>
      </c>
      <c r="E67" s="75"/>
      <c r="F67" s="7">
        <v>6037459</v>
      </c>
      <c r="G67" s="7">
        <v>6037459</v>
      </c>
      <c r="H67" s="5">
        <f>CMA_한투1836[[#This Row],[현금지출]]-CMA_한투1836[[#This Row],[매입액]]</f>
        <v>0</v>
      </c>
      <c r="I67" s="64"/>
      <c r="J67" s="7">
        <v>6036944</v>
      </c>
      <c r="K67">
        <v>6037539</v>
      </c>
      <c r="L67" s="7"/>
      <c r="M67" s="7">
        <v>6037459</v>
      </c>
      <c r="N67">
        <f>CMA_한투1836[[#This Row],[매도액]]-CMA_한투1836[[#This Row],[매도원금]]</f>
        <v>595</v>
      </c>
      <c r="O67" s="5">
        <f>CMA_한투1836[[#This Row],[매도액]]+CMA_한투1836[[#This Row],[이자배당액]]-CMA_한투1836[[#This Row],[현금수입]]</f>
        <v>80</v>
      </c>
      <c r="P67">
        <f>CMA_한투1836[[#This Row],[매매수익]]+CMA_한투1836[[#This Row],[이자배당액]]-CMA_한투1836[[#This Row],[매도비용]]-CMA_한투1836[[#This Row],[매입비용]]</f>
        <v>515</v>
      </c>
      <c r="R67" s="5">
        <f>CMA_한투1836[[#This Row],[입출금]]+CMA_한투1836[[#This Row],[현금수입]]-CMA_한투1836[[#This Row],[현금지출]]</f>
        <v>0</v>
      </c>
      <c r="S67">
        <f>SUM($R$2:R67)</f>
        <v>0</v>
      </c>
    </row>
    <row r="68" spans="1:19" x14ac:dyDescent="0.3">
      <c r="A68" s="3">
        <v>45144</v>
      </c>
      <c r="B68" s="5" t="s">
        <v>87</v>
      </c>
      <c r="C68" s="92" t="str">
        <f>VLOOKUP(CMA_한투1836[[#This Row],[종목코드]],표3[],2,FALSE)</f>
        <v>한투CMA</v>
      </c>
      <c r="D68" s="62" t="str">
        <f>VLOOKUP(CMA_한투1836[[#This Row],[종목코드]],표3[],4,FALSE)</f>
        <v>한국투자증권 CMA</v>
      </c>
      <c r="E68" s="75"/>
      <c r="F68" s="7">
        <v>6037974</v>
      </c>
      <c r="G68" s="7">
        <v>6037974</v>
      </c>
      <c r="H68" s="5">
        <f>CMA_한투1836[[#This Row],[현금지출]]-CMA_한투1836[[#This Row],[매입액]]</f>
        <v>0</v>
      </c>
      <c r="I68" s="64"/>
      <c r="J68" s="7">
        <v>6037459</v>
      </c>
      <c r="K68">
        <v>6038054</v>
      </c>
      <c r="L68" s="7"/>
      <c r="M68" s="7">
        <v>6037974</v>
      </c>
      <c r="N68">
        <f>CMA_한투1836[[#This Row],[매도액]]-CMA_한투1836[[#This Row],[매도원금]]</f>
        <v>595</v>
      </c>
      <c r="O68" s="5">
        <f>CMA_한투1836[[#This Row],[매도액]]+CMA_한투1836[[#This Row],[이자배당액]]-CMA_한투1836[[#This Row],[현금수입]]</f>
        <v>80</v>
      </c>
      <c r="P68">
        <f>CMA_한투1836[[#This Row],[매매수익]]+CMA_한투1836[[#This Row],[이자배당액]]-CMA_한투1836[[#This Row],[매도비용]]-CMA_한투1836[[#This Row],[매입비용]]</f>
        <v>515</v>
      </c>
      <c r="R68" s="5">
        <f>CMA_한투1836[[#This Row],[입출금]]+CMA_한투1836[[#This Row],[현금수입]]-CMA_한투1836[[#This Row],[현금지출]]</f>
        <v>0</v>
      </c>
      <c r="S68">
        <f>SUM($R$2:R68)</f>
        <v>0</v>
      </c>
    </row>
    <row r="69" spans="1:19" x14ac:dyDescent="0.3">
      <c r="A69" s="3">
        <v>45145</v>
      </c>
      <c r="B69" s="5" t="s">
        <v>87</v>
      </c>
      <c r="C69" s="92" t="str">
        <f>VLOOKUP(CMA_한투1836[[#This Row],[종목코드]],표3[],2,FALSE)</f>
        <v>한투CMA</v>
      </c>
      <c r="D69" s="62" t="str">
        <f>VLOOKUP(CMA_한투1836[[#This Row],[종목코드]],표3[],4,FALSE)</f>
        <v>한국투자증권 CMA</v>
      </c>
      <c r="E69" s="75"/>
      <c r="F69" s="7">
        <v>6038489</v>
      </c>
      <c r="G69" s="7">
        <v>6038489</v>
      </c>
      <c r="H69" s="5">
        <f>CMA_한투1836[[#This Row],[현금지출]]-CMA_한투1836[[#This Row],[매입액]]</f>
        <v>0</v>
      </c>
      <c r="I69" s="64"/>
      <c r="J69" s="7">
        <v>6037974</v>
      </c>
      <c r="K69">
        <v>6038569</v>
      </c>
      <c r="L69" s="7"/>
      <c r="M69" s="7">
        <v>6038489</v>
      </c>
      <c r="N69">
        <f>CMA_한투1836[[#This Row],[매도액]]-CMA_한투1836[[#This Row],[매도원금]]</f>
        <v>595</v>
      </c>
      <c r="O69" s="5">
        <f>CMA_한투1836[[#This Row],[매도액]]+CMA_한투1836[[#This Row],[이자배당액]]-CMA_한투1836[[#This Row],[현금수입]]</f>
        <v>80</v>
      </c>
      <c r="P69">
        <f>CMA_한투1836[[#This Row],[매매수익]]+CMA_한투1836[[#This Row],[이자배당액]]-CMA_한투1836[[#This Row],[매도비용]]-CMA_한투1836[[#This Row],[매입비용]]</f>
        <v>515</v>
      </c>
      <c r="R69" s="5">
        <f>CMA_한투1836[[#This Row],[입출금]]+CMA_한투1836[[#This Row],[현금수입]]-CMA_한투1836[[#This Row],[현금지출]]</f>
        <v>0</v>
      </c>
      <c r="S69">
        <f>SUM($R$2:R69)</f>
        <v>0</v>
      </c>
    </row>
    <row r="70" spans="1:19" x14ac:dyDescent="0.3">
      <c r="A70" s="3">
        <v>45146</v>
      </c>
      <c r="B70" s="5" t="s">
        <v>87</v>
      </c>
      <c r="C70" s="92" t="str">
        <f>VLOOKUP(CMA_한투1836[[#This Row],[종목코드]],표3[],2,FALSE)</f>
        <v>한투CMA</v>
      </c>
      <c r="D70" s="62" t="str">
        <f>VLOOKUP(CMA_한투1836[[#This Row],[종목코드]],표3[],4,FALSE)</f>
        <v>한국투자증권 CMA</v>
      </c>
      <c r="E70" s="75"/>
      <c r="F70" s="7">
        <v>6039004</v>
      </c>
      <c r="G70" s="7">
        <v>6039004</v>
      </c>
      <c r="H70" s="5">
        <f>CMA_한투1836[[#This Row],[현금지출]]-CMA_한투1836[[#This Row],[매입액]]</f>
        <v>0</v>
      </c>
      <c r="I70" s="64"/>
      <c r="J70" s="7">
        <v>6038489</v>
      </c>
      <c r="K70">
        <v>6039084</v>
      </c>
      <c r="L70" s="7"/>
      <c r="M70" s="7">
        <v>6039004</v>
      </c>
      <c r="N70">
        <f>CMA_한투1836[[#This Row],[매도액]]-CMA_한투1836[[#This Row],[매도원금]]</f>
        <v>595</v>
      </c>
      <c r="O70" s="5">
        <f>CMA_한투1836[[#This Row],[매도액]]+CMA_한투1836[[#This Row],[이자배당액]]-CMA_한투1836[[#This Row],[현금수입]]</f>
        <v>80</v>
      </c>
      <c r="P70">
        <f>CMA_한투1836[[#This Row],[매매수익]]+CMA_한투1836[[#This Row],[이자배당액]]-CMA_한투1836[[#This Row],[매도비용]]-CMA_한투1836[[#This Row],[매입비용]]</f>
        <v>515</v>
      </c>
      <c r="R70" s="5">
        <f>CMA_한투1836[[#This Row],[입출금]]+CMA_한투1836[[#This Row],[현금수입]]-CMA_한투1836[[#This Row],[현금지출]]</f>
        <v>0</v>
      </c>
      <c r="S70">
        <f>SUM($R$2:R70)</f>
        <v>0</v>
      </c>
    </row>
    <row r="71" spans="1:19" x14ac:dyDescent="0.3">
      <c r="A71" s="3">
        <v>45147</v>
      </c>
      <c r="B71" s="5" t="s">
        <v>87</v>
      </c>
      <c r="C71" s="92" t="str">
        <f>VLOOKUP(CMA_한투1836[[#This Row],[종목코드]],표3[],2,FALSE)</f>
        <v>한투CMA</v>
      </c>
      <c r="D71" s="62" t="str">
        <f>VLOOKUP(CMA_한투1836[[#This Row],[종목코드]],표3[],4,FALSE)</f>
        <v>한국투자증권 CMA</v>
      </c>
      <c r="E71" s="75"/>
      <c r="F71" s="7">
        <v>6039519</v>
      </c>
      <c r="G71" s="7">
        <v>6039519</v>
      </c>
      <c r="H71" s="5">
        <f>CMA_한투1836[[#This Row],[현금지출]]-CMA_한투1836[[#This Row],[매입액]]</f>
        <v>0</v>
      </c>
      <c r="I71" s="64"/>
      <c r="J71" s="7">
        <v>6039004</v>
      </c>
      <c r="K71">
        <v>6039599</v>
      </c>
      <c r="L71" s="7"/>
      <c r="M71" s="7">
        <v>6039519</v>
      </c>
      <c r="N71">
        <f>CMA_한투1836[[#This Row],[매도액]]-CMA_한투1836[[#This Row],[매도원금]]</f>
        <v>595</v>
      </c>
      <c r="O71" s="5">
        <f>CMA_한투1836[[#This Row],[매도액]]+CMA_한투1836[[#This Row],[이자배당액]]-CMA_한투1836[[#This Row],[현금수입]]</f>
        <v>80</v>
      </c>
      <c r="P71">
        <f>CMA_한투1836[[#This Row],[매매수익]]+CMA_한투1836[[#This Row],[이자배당액]]-CMA_한투1836[[#This Row],[매도비용]]-CMA_한투1836[[#This Row],[매입비용]]</f>
        <v>515</v>
      </c>
      <c r="R71" s="5">
        <f>CMA_한투1836[[#This Row],[입출금]]+CMA_한투1836[[#This Row],[현금수입]]-CMA_한투1836[[#This Row],[현금지출]]</f>
        <v>0</v>
      </c>
      <c r="S71">
        <f>SUM($R$2:R71)</f>
        <v>0</v>
      </c>
    </row>
    <row r="72" spans="1:19" x14ac:dyDescent="0.3">
      <c r="A72" s="3">
        <v>45148</v>
      </c>
      <c r="B72" s="5" t="s">
        <v>87</v>
      </c>
      <c r="C72" s="92" t="str">
        <f>VLOOKUP(CMA_한투1836[[#This Row],[종목코드]],표3[],2,FALSE)</f>
        <v>한투CMA</v>
      </c>
      <c r="D72" s="62" t="str">
        <f>VLOOKUP(CMA_한투1836[[#This Row],[종목코드]],표3[],4,FALSE)</f>
        <v>한국투자증권 CMA</v>
      </c>
      <c r="E72" s="75"/>
      <c r="F72" s="7">
        <v>6040034</v>
      </c>
      <c r="G72" s="7">
        <v>6040034</v>
      </c>
      <c r="H72" s="5">
        <f>CMA_한투1836[[#This Row],[현금지출]]-CMA_한투1836[[#This Row],[매입액]]</f>
        <v>0</v>
      </c>
      <c r="I72" s="64"/>
      <c r="J72" s="7">
        <v>6039519</v>
      </c>
      <c r="K72">
        <v>6040114</v>
      </c>
      <c r="L72" s="7"/>
      <c r="M72" s="7">
        <v>6040034</v>
      </c>
      <c r="N72">
        <f>CMA_한투1836[[#This Row],[매도액]]-CMA_한투1836[[#This Row],[매도원금]]</f>
        <v>595</v>
      </c>
      <c r="O72" s="5">
        <f>CMA_한투1836[[#This Row],[매도액]]+CMA_한투1836[[#This Row],[이자배당액]]-CMA_한투1836[[#This Row],[현금수입]]</f>
        <v>80</v>
      </c>
      <c r="P72">
        <f>CMA_한투1836[[#This Row],[매매수익]]+CMA_한투1836[[#This Row],[이자배당액]]-CMA_한투1836[[#This Row],[매도비용]]-CMA_한투1836[[#This Row],[매입비용]]</f>
        <v>515</v>
      </c>
      <c r="R72" s="5">
        <f>CMA_한투1836[[#This Row],[입출금]]+CMA_한투1836[[#This Row],[현금수입]]-CMA_한투1836[[#This Row],[현금지출]]</f>
        <v>0</v>
      </c>
      <c r="S72">
        <f>SUM($R$2:R72)</f>
        <v>0</v>
      </c>
    </row>
    <row r="73" spans="1:19" x14ac:dyDescent="0.3">
      <c r="A73" s="3">
        <v>45149</v>
      </c>
      <c r="B73" s="5" t="s">
        <v>87</v>
      </c>
      <c r="C73" s="92" t="str">
        <f>VLOOKUP(CMA_한투1836[[#This Row],[종목코드]],표3[],2,FALSE)</f>
        <v>한투CMA</v>
      </c>
      <c r="D73" s="62" t="str">
        <f>VLOOKUP(CMA_한투1836[[#This Row],[종목코드]],표3[],4,FALSE)</f>
        <v>한국투자증권 CMA</v>
      </c>
      <c r="E73" s="75"/>
      <c r="F73" s="7">
        <v>6040549</v>
      </c>
      <c r="G73" s="7">
        <v>6040549</v>
      </c>
      <c r="H73" s="5">
        <f>CMA_한투1836[[#This Row],[현금지출]]-CMA_한투1836[[#This Row],[매입액]]</f>
        <v>0</v>
      </c>
      <c r="I73" s="64"/>
      <c r="J73" s="7">
        <v>6040034</v>
      </c>
      <c r="K73">
        <v>6040629</v>
      </c>
      <c r="L73" s="7"/>
      <c r="M73">
        <v>6040549</v>
      </c>
      <c r="N73">
        <f>CMA_한투1836[[#This Row],[매도액]]-CMA_한투1836[[#This Row],[매도원금]]</f>
        <v>595</v>
      </c>
      <c r="O73" s="5">
        <f>CMA_한투1836[[#This Row],[매도액]]+CMA_한투1836[[#This Row],[이자배당액]]-CMA_한투1836[[#This Row],[현금수입]]</f>
        <v>80</v>
      </c>
      <c r="P73">
        <f>CMA_한투1836[[#This Row],[매매수익]]+CMA_한투1836[[#This Row],[이자배당액]]-CMA_한투1836[[#This Row],[매도비용]]-CMA_한투1836[[#This Row],[매입비용]]</f>
        <v>515</v>
      </c>
      <c r="R73" s="5">
        <f>CMA_한투1836[[#This Row],[입출금]]+CMA_한투1836[[#This Row],[현금수입]]-CMA_한투1836[[#This Row],[현금지출]]</f>
        <v>0</v>
      </c>
      <c r="S73">
        <f>SUM($R$2:R73)</f>
        <v>0</v>
      </c>
    </row>
    <row r="74" spans="1:19" x14ac:dyDescent="0.3">
      <c r="A74" s="3">
        <v>45150</v>
      </c>
      <c r="B74" s="5" t="s">
        <v>87</v>
      </c>
      <c r="C74" s="92" t="str">
        <f>VLOOKUP(CMA_한투1836[[#This Row],[종목코드]],표3[],2,FALSE)</f>
        <v>한투CMA</v>
      </c>
      <c r="D74" s="62" t="str">
        <f>VLOOKUP(CMA_한투1836[[#This Row],[종목코드]],표3[],4,FALSE)</f>
        <v>한국투자증권 CMA</v>
      </c>
      <c r="E74" s="75"/>
      <c r="F74" s="7">
        <v>6041064</v>
      </c>
      <c r="G74" s="7">
        <v>6041064</v>
      </c>
      <c r="H74" s="5">
        <f>CMA_한투1836[[#This Row],[현금지출]]-CMA_한투1836[[#This Row],[매입액]]</f>
        <v>0</v>
      </c>
      <c r="I74" s="64"/>
      <c r="J74" s="7">
        <v>6040549</v>
      </c>
      <c r="K74">
        <v>6041144</v>
      </c>
      <c r="L74" s="7"/>
      <c r="M74">
        <v>6041064</v>
      </c>
      <c r="N74">
        <f>CMA_한투1836[[#This Row],[매도액]]-CMA_한투1836[[#This Row],[매도원금]]</f>
        <v>595</v>
      </c>
      <c r="O74" s="5">
        <f>CMA_한투1836[[#This Row],[매도액]]+CMA_한투1836[[#This Row],[이자배당액]]-CMA_한투1836[[#This Row],[현금수입]]</f>
        <v>80</v>
      </c>
      <c r="P74">
        <f>CMA_한투1836[[#This Row],[매매수익]]+CMA_한투1836[[#This Row],[이자배당액]]-CMA_한투1836[[#This Row],[매도비용]]-CMA_한투1836[[#This Row],[매입비용]]</f>
        <v>515</v>
      </c>
      <c r="R74" s="5">
        <f>CMA_한투1836[[#This Row],[입출금]]+CMA_한투1836[[#This Row],[현금수입]]-CMA_한투1836[[#This Row],[현금지출]]</f>
        <v>0</v>
      </c>
      <c r="S74">
        <f>SUM($R$2:R74)</f>
        <v>0</v>
      </c>
    </row>
    <row r="75" spans="1:19" x14ac:dyDescent="0.3">
      <c r="A75" s="3">
        <v>45151</v>
      </c>
      <c r="B75" s="5" t="s">
        <v>87</v>
      </c>
      <c r="C75" s="92" t="str">
        <f>VLOOKUP(CMA_한투1836[[#This Row],[종목코드]],표3[],2,FALSE)</f>
        <v>한투CMA</v>
      </c>
      <c r="D75" s="62" t="str">
        <f>VLOOKUP(CMA_한투1836[[#This Row],[종목코드]],표3[],4,FALSE)</f>
        <v>한국투자증권 CMA</v>
      </c>
      <c r="E75" s="75"/>
      <c r="F75" s="7">
        <v>6041579</v>
      </c>
      <c r="G75" s="7">
        <v>6041579</v>
      </c>
      <c r="H75" s="5">
        <f>CMA_한투1836[[#This Row],[현금지출]]-CMA_한투1836[[#This Row],[매입액]]</f>
        <v>0</v>
      </c>
      <c r="I75" s="64"/>
      <c r="J75" s="7">
        <v>6041064</v>
      </c>
      <c r="K75">
        <v>6041659</v>
      </c>
      <c r="L75" s="7"/>
      <c r="M75">
        <v>6041579</v>
      </c>
      <c r="N75">
        <f>CMA_한투1836[[#This Row],[매도액]]-CMA_한투1836[[#This Row],[매도원금]]</f>
        <v>595</v>
      </c>
      <c r="O75" s="5">
        <f>CMA_한투1836[[#This Row],[매도액]]+CMA_한투1836[[#This Row],[이자배당액]]-CMA_한투1836[[#This Row],[현금수입]]</f>
        <v>80</v>
      </c>
      <c r="P75">
        <f>CMA_한투1836[[#This Row],[매매수익]]+CMA_한투1836[[#This Row],[이자배당액]]-CMA_한투1836[[#This Row],[매도비용]]-CMA_한투1836[[#This Row],[매입비용]]</f>
        <v>515</v>
      </c>
      <c r="R75" s="5">
        <f>CMA_한투1836[[#This Row],[입출금]]+CMA_한투1836[[#This Row],[현금수입]]-CMA_한투1836[[#This Row],[현금지출]]</f>
        <v>0</v>
      </c>
      <c r="S75">
        <f>SUM($R$2:R75)</f>
        <v>0</v>
      </c>
    </row>
    <row r="76" spans="1:19" x14ac:dyDescent="0.3">
      <c r="A76" s="3">
        <v>45152</v>
      </c>
      <c r="B76" s="5" t="s">
        <v>87</v>
      </c>
      <c r="C76" s="92" t="str">
        <f>VLOOKUP(CMA_한투1836[[#This Row],[종목코드]],표3[],2,FALSE)</f>
        <v>한투CMA</v>
      </c>
      <c r="D76" s="62" t="str">
        <f>VLOOKUP(CMA_한투1836[[#This Row],[종목코드]],표3[],4,FALSE)</f>
        <v>한국투자증권 CMA</v>
      </c>
      <c r="E76" s="75"/>
      <c r="F76" s="7">
        <v>6042094</v>
      </c>
      <c r="G76" s="7">
        <v>6042094</v>
      </c>
      <c r="H76" s="5">
        <f>CMA_한투1836[[#This Row],[현금지출]]-CMA_한투1836[[#This Row],[매입액]]</f>
        <v>0</v>
      </c>
      <c r="I76" s="64"/>
      <c r="J76" s="7">
        <v>6041579</v>
      </c>
      <c r="K76">
        <v>6042174</v>
      </c>
      <c r="L76" s="7"/>
      <c r="M76">
        <v>6042094</v>
      </c>
      <c r="N76">
        <f>CMA_한투1836[[#This Row],[매도액]]-CMA_한투1836[[#This Row],[매도원금]]</f>
        <v>595</v>
      </c>
      <c r="O76" s="5">
        <f>CMA_한투1836[[#This Row],[매도액]]+CMA_한투1836[[#This Row],[이자배당액]]-CMA_한투1836[[#This Row],[현금수입]]</f>
        <v>80</v>
      </c>
      <c r="P76">
        <f>CMA_한투1836[[#This Row],[매매수익]]+CMA_한투1836[[#This Row],[이자배당액]]-CMA_한투1836[[#This Row],[매도비용]]-CMA_한투1836[[#This Row],[매입비용]]</f>
        <v>515</v>
      </c>
      <c r="R76" s="5">
        <f>CMA_한투1836[[#This Row],[입출금]]+CMA_한투1836[[#This Row],[현금수입]]-CMA_한투1836[[#This Row],[현금지출]]</f>
        <v>0</v>
      </c>
      <c r="S76">
        <f>SUM($R$2:R76)</f>
        <v>0</v>
      </c>
    </row>
    <row r="77" spans="1:19" x14ac:dyDescent="0.3">
      <c r="A77" s="3">
        <v>45153</v>
      </c>
      <c r="B77" s="5" t="s">
        <v>87</v>
      </c>
      <c r="C77" s="92" t="str">
        <f>VLOOKUP(CMA_한투1836[[#This Row],[종목코드]],표3[],2,FALSE)</f>
        <v>한투CMA</v>
      </c>
      <c r="D77" s="62" t="str">
        <f>VLOOKUP(CMA_한투1836[[#This Row],[종목코드]],표3[],4,FALSE)</f>
        <v>한국투자증권 CMA</v>
      </c>
      <c r="E77" s="75"/>
      <c r="F77" s="7">
        <v>6042609</v>
      </c>
      <c r="G77" s="7">
        <v>6042609</v>
      </c>
      <c r="H77" s="5">
        <f>CMA_한투1836[[#This Row],[현금지출]]-CMA_한투1836[[#This Row],[매입액]]</f>
        <v>0</v>
      </c>
      <c r="I77" s="64"/>
      <c r="J77" s="7">
        <v>6042094</v>
      </c>
      <c r="K77">
        <v>6042689</v>
      </c>
      <c r="L77" s="7"/>
      <c r="M77">
        <v>6042609</v>
      </c>
      <c r="N77">
        <f>CMA_한투1836[[#This Row],[매도액]]-CMA_한투1836[[#This Row],[매도원금]]</f>
        <v>595</v>
      </c>
      <c r="O77" s="5">
        <f>CMA_한투1836[[#This Row],[매도액]]+CMA_한투1836[[#This Row],[이자배당액]]-CMA_한투1836[[#This Row],[현금수입]]</f>
        <v>80</v>
      </c>
      <c r="P77">
        <f>CMA_한투1836[[#This Row],[매매수익]]+CMA_한투1836[[#This Row],[이자배당액]]-CMA_한투1836[[#This Row],[매도비용]]-CMA_한투1836[[#This Row],[매입비용]]</f>
        <v>515</v>
      </c>
      <c r="R77" s="5">
        <f>CMA_한투1836[[#This Row],[입출금]]+CMA_한투1836[[#This Row],[현금수입]]-CMA_한투1836[[#This Row],[현금지출]]</f>
        <v>0</v>
      </c>
      <c r="S77">
        <f>SUM($R$2:R77)</f>
        <v>0</v>
      </c>
    </row>
    <row r="78" spans="1:19" x14ac:dyDescent="0.3">
      <c r="A78" s="3">
        <v>45154</v>
      </c>
      <c r="B78" s="5" t="s">
        <v>87</v>
      </c>
      <c r="C78" s="92" t="str">
        <f>VLOOKUP(CMA_한투1836[[#This Row],[종목코드]],표3[],2,FALSE)</f>
        <v>한투CMA</v>
      </c>
      <c r="D78" s="62" t="str">
        <f>VLOOKUP(CMA_한투1836[[#This Row],[종목코드]],표3[],4,FALSE)</f>
        <v>한국투자증권 CMA</v>
      </c>
      <c r="E78" s="75"/>
      <c r="F78" s="7">
        <v>6043124</v>
      </c>
      <c r="G78" s="7">
        <v>6043124</v>
      </c>
      <c r="H78" s="5">
        <f>CMA_한투1836[[#This Row],[현금지출]]-CMA_한투1836[[#This Row],[매입액]]</f>
        <v>0</v>
      </c>
      <c r="I78" s="64"/>
      <c r="J78" s="7">
        <v>6042609</v>
      </c>
      <c r="K78">
        <v>6043204</v>
      </c>
      <c r="L78" s="7"/>
      <c r="M78">
        <v>6043124</v>
      </c>
      <c r="N78">
        <f>CMA_한투1836[[#This Row],[매도액]]-CMA_한투1836[[#This Row],[매도원금]]</f>
        <v>595</v>
      </c>
      <c r="O78" s="5">
        <f>CMA_한투1836[[#This Row],[매도액]]+CMA_한투1836[[#This Row],[이자배당액]]-CMA_한투1836[[#This Row],[현금수입]]</f>
        <v>80</v>
      </c>
      <c r="P78">
        <f>CMA_한투1836[[#This Row],[매매수익]]+CMA_한투1836[[#This Row],[이자배당액]]-CMA_한투1836[[#This Row],[매도비용]]-CMA_한투1836[[#This Row],[매입비용]]</f>
        <v>515</v>
      </c>
      <c r="R78" s="5">
        <f>CMA_한투1836[[#This Row],[입출금]]+CMA_한투1836[[#This Row],[현금수입]]-CMA_한투1836[[#This Row],[현금지출]]</f>
        <v>0</v>
      </c>
      <c r="S78">
        <f>SUM($R$2:R78)</f>
        <v>0</v>
      </c>
    </row>
    <row r="79" spans="1:19" x14ac:dyDescent="0.3">
      <c r="A79" s="3">
        <v>45155</v>
      </c>
      <c r="B79" s="5" t="s">
        <v>87</v>
      </c>
      <c r="C79" s="92" t="str">
        <f>VLOOKUP(CMA_한투1836[[#This Row],[종목코드]],표3[],2,FALSE)</f>
        <v>한투CMA</v>
      </c>
      <c r="D79" s="62" t="str">
        <f>VLOOKUP(CMA_한투1836[[#This Row],[종목코드]],표3[],4,FALSE)</f>
        <v>한국투자증권 CMA</v>
      </c>
      <c r="E79" s="75"/>
      <c r="F79" s="7">
        <v>6043640</v>
      </c>
      <c r="G79" s="7">
        <v>6043640</v>
      </c>
      <c r="H79" s="5">
        <f>CMA_한투1836[[#This Row],[현금지출]]-CMA_한투1836[[#This Row],[매입액]]</f>
        <v>0</v>
      </c>
      <c r="I79" s="64"/>
      <c r="J79" s="7">
        <v>6043124</v>
      </c>
      <c r="K79">
        <v>6043720</v>
      </c>
      <c r="L79" s="7"/>
      <c r="M79">
        <v>6043640</v>
      </c>
      <c r="N79">
        <f>CMA_한투1836[[#This Row],[매도액]]-CMA_한투1836[[#This Row],[매도원금]]</f>
        <v>596</v>
      </c>
      <c r="O79" s="5">
        <f>CMA_한투1836[[#This Row],[매도액]]+CMA_한투1836[[#This Row],[이자배당액]]-CMA_한투1836[[#This Row],[현금수입]]</f>
        <v>80</v>
      </c>
      <c r="P79">
        <f>CMA_한투1836[[#This Row],[매매수익]]+CMA_한투1836[[#This Row],[이자배당액]]-CMA_한투1836[[#This Row],[매도비용]]-CMA_한투1836[[#This Row],[매입비용]]</f>
        <v>516</v>
      </c>
      <c r="R79" s="5">
        <f>CMA_한투1836[[#This Row],[입출금]]+CMA_한투1836[[#This Row],[현금수입]]-CMA_한투1836[[#This Row],[현금지출]]</f>
        <v>0</v>
      </c>
      <c r="S79">
        <f>SUM($R$2:R79)</f>
        <v>0</v>
      </c>
    </row>
    <row r="80" spans="1:19" x14ac:dyDescent="0.3">
      <c r="A80" s="3">
        <v>45156</v>
      </c>
      <c r="B80" s="5" t="s">
        <v>87</v>
      </c>
      <c r="C80" s="92" t="str">
        <f>VLOOKUP(CMA_한투1836[[#This Row],[종목코드]],표3[],2,FALSE)</f>
        <v>한투CMA</v>
      </c>
      <c r="D80" s="62" t="str">
        <f>VLOOKUP(CMA_한투1836[[#This Row],[종목코드]],표3[],4,FALSE)</f>
        <v>한국투자증권 CMA</v>
      </c>
      <c r="E80" s="75"/>
      <c r="F80" s="7">
        <v>6044156</v>
      </c>
      <c r="G80" s="7">
        <v>6044156</v>
      </c>
      <c r="H80" s="5">
        <f>CMA_한투1836[[#This Row],[현금지출]]-CMA_한투1836[[#This Row],[매입액]]</f>
        <v>0</v>
      </c>
      <c r="I80" s="64"/>
      <c r="J80" s="7">
        <v>6043640</v>
      </c>
      <c r="K80">
        <v>6044236</v>
      </c>
      <c r="L80" s="7"/>
      <c r="M80">
        <v>6044156</v>
      </c>
      <c r="N80">
        <f>CMA_한투1836[[#This Row],[매도액]]-CMA_한투1836[[#This Row],[매도원금]]</f>
        <v>596</v>
      </c>
      <c r="O80" s="5">
        <f>CMA_한투1836[[#This Row],[매도액]]+CMA_한투1836[[#This Row],[이자배당액]]-CMA_한투1836[[#This Row],[현금수입]]</f>
        <v>80</v>
      </c>
      <c r="P80">
        <f>CMA_한투1836[[#This Row],[매매수익]]+CMA_한투1836[[#This Row],[이자배당액]]-CMA_한투1836[[#This Row],[매도비용]]-CMA_한투1836[[#This Row],[매입비용]]</f>
        <v>516</v>
      </c>
      <c r="R80" s="5">
        <f>CMA_한투1836[[#This Row],[입출금]]+CMA_한투1836[[#This Row],[현금수입]]-CMA_한투1836[[#This Row],[현금지출]]</f>
        <v>0</v>
      </c>
      <c r="S80">
        <f>SUM($R$2:R80)</f>
        <v>0</v>
      </c>
    </row>
    <row r="81" spans="1:19" x14ac:dyDescent="0.3">
      <c r="A81" s="3">
        <v>45157</v>
      </c>
      <c r="B81" s="5" t="s">
        <v>87</v>
      </c>
      <c r="C81" s="92" t="str">
        <f>VLOOKUP(CMA_한투1836[[#This Row],[종목코드]],표3[],2,FALSE)</f>
        <v>한투CMA</v>
      </c>
      <c r="D81" s="62" t="str">
        <f>VLOOKUP(CMA_한투1836[[#This Row],[종목코드]],표3[],4,FALSE)</f>
        <v>한국투자증권 CMA</v>
      </c>
      <c r="E81" s="75"/>
      <c r="F81" s="7">
        <v>6044672</v>
      </c>
      <c r="G81" s="7">
        <v>6044672</v>
      </c>
      <c r="H81" s="5">
        <f>CMA_한투1836[[#This Row],[현금지출]]-CMA_한투1836[[#This Row],[매입액]]</f>
        <v>0</v>
      </c>
      <c r="I81" s="64"/>
      <c r="J81" s="7">
        <v>6044156</v>
      </c>
      <c r="K81">
        <v>6044752</v>
      </c>
      <c r="L81" s="7"/>
      <c r="M81">
        <v>6044672</v>
      </c>
      <c r="N81">
        <f>CMA_한투1836[[#This Row],[매도액]]-CMA_한투1836[[#This Row],[매도원금]]</f>
        <v>596</v>
      </c>
      <c r="O81" s="5">
        <f>CMA_한투1836[[#This Row],[매도액]]+CMA_한투1836[[#This Row],[이자배당액]]-CMA_한투1836[[#This Row],[현금수입]]</f>
        <v>80</v>
      </c>
      <c r="P81">
        <f>CMA_한투1836[[#This Row],[매매수익]]+CMA_한투1836[[#This Row],[이자배당액]]-CMA_한투1836[[#This Row],[매도비용]]-CMA_한투1836[[#This Row],[매입비용]]</f>
        <v>516</v>
      </c>
      <c r="R81" s="5">
        <f>CMA_한투1836[[#This Row],[입출금]]+CMA_한투1836[[#This Row],[현금수입]]-CMA_한투1836[[#This Row],[현금지출]]</f>
        <v>0</v>
      </c>
      <c r="S81">
        <f>SUM($R$2:R81)</f>
        <v>0</v>
      </c>
    </row>
    <row r="82" spans="1:19" x14ac:dyDescent="0.3">
      <c r="A82" s="3">
        <v>45158</v>
      </c>
      <c r="B82" s="5" t="s">
        <v>87</v>
      </c>
      <c r="C82" s="92" t="str">
        <f>VLOOKUP(CMA_한투1836[[#This Row],[종목코드]],표3[],2,FALSE)</f>
        <v>한투CMA</v>
      </c>
      <c r="D82" s="62" t="str">
        <f>VLOOKUP(CMA_한투1836[[#This Row],[종목코드]],표3[],4,FALSE)</f>
        <v>한국투자증권 CMA</v>
      </c>
      <c r="E82" s="75"/>
      <c r="F82" s="7">
        <v>6045188</v>
      </c>
      <c r="G82" s="7">
        <v>6045188</v>
      </c>
      <c r="H82" s="5">
        <f>CMA_한투1836[[#This Row],[현금지출]]-CMA_한투1836[[#This Row],[매입액]]</f>
        <v>0</v>
      </c>
      <c r="I82" s="64"/>
      <c r="J82" s="7">
        <v>6044672</v>
      </c>
      <c r="K82">
        <v>6045268</v>
      </c>
      <c r="L82" s="7"/>
      <c r="M82">
        <v>6045188</v>
      </c>
      <c r="N82">
        <f>CMA_한투1836[[#This Row],[매도액]]-CMA_한투1836[[#This Row],[매도원금]]</f>
        <v>596</v>
      </c>
      <c r="O82" s="5">
        <f>CMA_한투1836[[#This Row],[매도액]]+CMA_한투1836[[#This Row],[이자배당액]]-CMA_한투1836[[#This Row],[현금수입]]</f>
        <v>80</v>
      </c>
      <c r="P82">
        <f>CMA_한투1836[[#This Row],[매매수익]]+CMA_한투1836[[#This Row],[이자배당액]]-CMA_한투1836[[#This Row],[매도비용]]-CMA_한투1836[[#This Row],[매입비용]]</f>
        <v>516</v>
      </c>
      <c r="R82" s="5">
        <f>CMA_한투1836[[#This Row],[입출금]]+CMA_한투1836[[#This Row],[현금수입]]-CMA_한투1836[[#This Row],[현금지출]]</f>
        <v>0</v>
      </c>
      <c r="S82">
        <f>SUM($R$2:R82)</f>
        <v>0</v>
      </c>
    </row>
    <row r="83" spans="1:19" x14ac:dyDescent="0.3">
      <c r="A83" s="3">
        <v>45159</v>
      </c>
      <c r="B83" s="5" t="s">
        <v>87</v>
      </c>
      <c r="C83" s="92" t="str">
        <f>VLOOKUP(CMA_한투1836[[#This Row],[종목코드]],표3[],2,FALSE)</f>
        <v>한투CMA</v>
      </c>
      <c r="D83" s="62" t="str">
        <f>VLOOKUP(CMA_한투1836[[#This Row],[종목코드]],표3[],4,FALSE)</f>
        <v>한국투자증권 CMA</v>
      </c>
      <c r="E83" s="75"/>
      <c r="F83" s="7">
        <v>13045704</v>
      </c>
      <c r="G83" s="7">
        <v>13045704</v>
      </c>
      <c r="H83" s="5">
        <f>CMA_한투1836[[#This Row],[현금지출]]-CMA_한투1836[[#This Row],[매입액]]</f>
        <v>0</v>
      </c>
      <c r="I83" s="64"/>
      <c r="J83" s="7">
        <v>6045188</v>
      </c>
      <c r="K83">
        <v>6045784</v>
      </c>
      <c r="L83" s="7"/>
      <c r="M83">
        <v>6045704</v>
      </c>
      <c r="N83">
        <f>CMA_한투1836[[#This Row],[매도액]]-CMA_한투1836[[#This Row],[매도원금]]</f>
        <v>596</v>
      </c>
      <c r="O83" s="5">
        <f>CMA_한투1836[[#This Row],[매도액]]+CMA_한투1836[[#This Row],[이자배당액]]-CMA_한투1836[[#This Row],[현금수입]]</f>
        <v>80</v>
      </c>
      <c r="P83">
        <f>CMA_한투1836[[#This Row],[매매수익]]+CMA_한투1836[[#This Row],[이자배당액]]-CMA_한투1836[[#This Row],[매도비용]]-CMA_한투1836[[#This Row],[매입비용]]</f>
        <v>516</v>
      </c>
      <c r="Q83">
        <v>7000000</v>
      </c>
      <c r="R83" s="5">
        <f>CMA_한투1836[[#This Row],[입출금]]+CMA_한투1836[[#This Row],[현금수입]]-CMA_한투1836[[#This Row],[현금지출]]</f>
        <v>0</v>
      </c>
      <c r="S83">
        <f>SUM($R$2:R83)</f>
        <v>0</v>
      </c>
    </row>
    <row r="84" spans="1:19" x14ac:dyDescent="0.3">
      <c r="A84" s="3">
        <v>45160</v>
      </c>
      <c r="B84" s="5" t="s">
        <v>87</v>
      </c>
      <c r="C84" s="92" t="str">
        <f>VLOOKUP(CMA_한투1836[[#This Row],[종목코드]],표3[],2,FALSE)</f>
        <v>한투CMA</v>
      </c>
      <c r="D84" s="62" t="str">
        <f>VLOOKUP(CMA_한투1836[[#This Row],[종목코드]],표3[],4,FALSE)</f>
        <v>한국투자증권 CMA</v>
      </c>
      <c r="E84" s="75"/>
      <c r="F84" s="7">
        <v>13046800</v>
      </c>
      <c r="G84" s="7">
        <v>13046800</v>
      </c>
      <c r="H84" s="5">
        <f>CMA_한투1836[[#This Row],[현금지출]]-CMA_한투1836[[#This Row],[매입액]]</f>
        <v>0</v>
      </c>
      <c r="I84" s="64"/>
      <c r="J84" s="7">
        <v>13045704</v>
      </c>
      <c r="K84">
        <v>13046990</v>
      </c>
      <c r="L84" s="7"/>
      <c r="M84">
        <v>13046800</v>
      </c>
      <c r="N84">
        <f>CMA_한투1836[[#This Row],[매도액]]-CMA_한투1836[[#This Row],[매도원금]]</f>
        <v>1286</v>
      </c>
      <c r="O84" s="5">
        <f>CMA_한투1836[[#This Row],[매도액]]+CMA_한투1836[[#This Row],[이자배당액]]-CMA_한투1836[[#This Row],[현금수입]]</f>
        <v>190</v>
      </c>
      <c r="P84">
        <f>CMA_한투1836[[#This Row],[매매수익]]+CMA_한투1836[[#This Row],[이자배당액]]-CMA_한투1836[[#This Row],[매도비용]]-CMA_한투1836[[#This Row],[매입비용]]</f>
        <v>1096</v>
      </c>
      <c r="R84" s="5">
        <f>CMA_한투1836[[#This Row],[입출금]]+CMA_한투1836[[#This Row],[현금수입]]-CMA_한투1836[[#This Row],[현금지출]]</f>
        <v>0</v>
      </c>
      <c r="S84">
        <f>SUM($R$2:R84)</f>
        <v>0</v>
      </c>
    </row>
    <row r="85" spans="1:19" x14ac:dyDescent="0.3">
      <c r="A85" s="3">
        <v>45161</v>
      </c>
      <c r="B85" s="5" t="s">
        <v>87</v>
      </c>
      <c r="C85" s="92" t="str">
        <f>VLOOKUP(CMA_한투1836[[#This Row],[종목코드]],표3[],2,FALSE)</f>
        <v>한투CMA</v>
      </c>
      <c r="D85" s="62" t="str">
        <f>VLOOKUP(CMA_한투1836[[#This Row],[종목코드]],표3[],4,FALSE)</f>
        <v>한국투자증권 CMA</v>
      </c>
      <c r="E85" s="75"/>
      <c r="F85" s="7">
        <v>3047896</v>
      </c>
      <c r="G85" s="7">
        <v>3047896</v>
      </c>
      <c r="H85" s="5">
        <f>CMA_한투1836[[#This Row],[현금지출]]-CMA_한투1836[[#This Row],[매입액]]</f>
        <v>0</v>
      </c>
      <c r="I85" s="64"/>
      <c r="J85" s="7">
        <v>13046800</v>
      </c>
      <c r="K85">
        <v>13048086</v>
      </c>
      <c r="L85" s="7"/>
      <c r="M85">
        <v>13047896</v>
      </c>
      <c r="N85">
        <f>CMA_한투1836[[#This Row],[매도액]]-CMA_한투1836[[#This Row],[매도원금]]</f>
        <v>1286</v>
      </c>
      <c r="O85" s="5">
        <f>CMA_한투1836[[#This Row],[매도액]]+CMA_한투1836[[#This Row],[이자배당액]]-CMA_한투1836[[#This Row],[현금수입]]</f>
        <v>190</v>
      </c>
      <c r="P85">
        <f>CMA_한투1836[[#This Row],[매매수익]]+CMA_한투1836[[#This Row],[이자배당액]]-CMA_한투1836[[#This Row],[매도비용]]-CMA_한투1836[[#This Row],[매입비용]]</f>
        <v>1096</v>
      </c>
      <c r="Q85">
        <v>-10000000</v>
      </c>
      <c r="R85" s="5">
        <f>CMA_한투1836[[#This Row],[입출금]]+CMA_한투1836[[#This Row],[현금수입]]-CMA_한투1836[[#This Row],[현금지출]]</f>
        <v>0</v>
      </c>
      <c r="S85">
        <f>SUM($R$2:R85)</f>
        <v>0</v>
      </c>
    </row>
    <row r="86" spans="1:19" x14ac:dyDescent="0.3">
      <c r="A86" s="3">
        <v>45162</v>
      </c>
      <c r="B86" s="5" t="s">
        <v>87</v>
      </c>
      <c r="C86" s="9" t="str">
        <f>VLOOKUP(CMA_한투1836[[#This Row],[종목코드]],표3[],2,FALSE)</f>
        <v>한투CMA</v>
      </c>
      <c r="D86" s="62" t="str">
        <f>VLOOKUP(CMA_한투1836[[#This Row],[종목코드]],표3[],4,FALSE)</f>
        <v>한국투자증권 CMA</v>
      </c>
      <c r="E86" s="75"/>
      <c r="F86" s="7"/>
      <c r="G86" s="5"/>
      <c r="H86" s="5">
        <f>CMA_한투1836[[#This Row],[현금지출]]-CMA_한투1836[[#This Row],[매입액]]</f>
        <v>0</v>
      </c>
      <c r="I86" s="64">
        <v>1</v>
      </c>
      <c r="J86" s="7">
        <v>3047896</v>
      </c>
      <c r="K86">
        <v>3048196</v>
      </c>
      <c r="L86" s="7"/>
      <c r="M86">
        <v>3048156</v>
      </c>
      <c r="N86">
        <f>CMA_한투1836[[#This Row],[매도액]]-CMA_한투1836[[#This Row],[매도원금]]</f>
        <v>300</v>
      </c>
      <c r="O86" s="5">
        <f>CMA_한투1836[[#This Row],[매도액]]+CMA_한투1836[[#This Row],[이자배당액]]-CMA_한투1836[[#This Row],[현금수입]]</f>
        <v>40</v>
      </c>
      <c r="P86">
        <f>CMA_한투1836[[#This Row],[매매수익]]+CMA_한투1836[[#This Row],[이자배당액]]-CMA_한투1836[[#This Row],[매도비용]]-CMA_한투1836[[#This Row],[매입비용]]</f>
        <v>260</v>
      </c>
      <c r="Q86">
        <f>-1999158-842-1048156</f>
        <v>-3048156</v>
      </c>
      <c r="R86" s="5">
        <f>CMA_한투1836[[#This Row],[입출금]]+CMA_한투1836[[#This Row],[현금수입]]-CMA_한투1836[[#This Row],[현금지출]]</f>
        <v>0</v>
      </c>
      <c r="S86">
        <f>SUM($R$2:R86)</f>
        <v>0</v>
      </c>
    </row>
  </sheetData>
  <phoneticPr fontId="4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zoomScale="85" zoomScaleNormal="85" workbookViewId="0">
      <selection activeCell="D10" sqref="D10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22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9" t="s">
        <v>133</v>
      </c>
      <c r="F1" s="16" t="s">
        <v>57</v>
      </c>
      <c r="G1" s="16" t="s">
        <v>56</v>
      </c>
      <c r="H1" s="16" t="s">
        <v>28</v>
      </c>
      <c r="I1" s="65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22" x14ac:dyDescent="0.3">
      <c r="A2" s="3">
        <v>45085</v>
      </c>
      <c r="B2" s="5" t="s">
        <v>202</v>
      </c>
      <c r="C2" s="9" t="str">
        <f>VLOOKUP(CMA_한투18361112[[#This Row],[종목코드]],표3[],2,FALSE)</f>
        <v>한투ISA예수금</v>
      </c>
      <c r="D2" s="62" t="str">
        <f>VLOOKUP(CMA_한투18361112[[#This Row],[종목코드]],표3[],4,FALSE)</f>
        <v>한국투자증권 ISA 원화예수금</v>
      </c>
      <c r="E2" s="75"/>
      <c r="H2" s="5">
        <f>CMA_한투18361112[[#This Row],[현금지출]]-CMA_한투18361112[[#This Row],[매입액]]</f>
        <v>0</v>
      </c>
      <c r="N2">
        <f>CMA_한투18361112[[#This Row],[매도액]]-CMA_한투18361112[[#This Row],[매도원금]]</f>
        <v>0</v>
      </c>
      <c r="O2" s="5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1</v>
      </c>
      <c r="R2" s="5">
        <f>CMA_한투18361112[[#This Row],[입출금]]+CMA_한투18361112[[#This Row],[현금수입]]-CMA_한투18361112[[#This Row],[현금지출]]</f>
        <v>1</v>
      </c>
      <c r="S2">
        <f>SUM($R$2:R2)</f>
        <v>1</v>
      </c>
    </row>
    <row r="3" spans="1:22" x14ac:dyDescent="0.3">
      <c r="A3" s="3">
        <v>45103</v>
      </c>
      <c r="B3" s="5" t="s">
        <v>202</v>
      </c>
      <c r="C3" s="9" t="str">
        <f>VLOOKUP(CMA_한투18361112[[#This Row],[종목코드]],표3[],2,FALSE)</f>
        <v>한투ISA예수금</v>
      </c>
      <c r="D3" s="62" t="str">
        <f>VLOOKUP(CMA_한투18361112[[#This Row],[종목코드]],표3[],4,FALSE)</f>
        <v>한국투자증권 ISA 원화예수금</v>
      </c>
      <c r="E3" s="75"/>
      <c r="H3" s="5">
        <f>CMA_한투18361112[[#This Row],[현금지출]]-CMA_한투18361112[[#This Row],[매입액]]</f>
        <v>0</v>
      </c>
      <c r="N3">
        <f>CMA_한투18361112[[#This Row],[매도액]]-CMA_한투18361112[[#This Row],[매도원금]]</f>
        <v>0</v>
      </c>
      <c r="O3" s="5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-1</v>
      </c>
      <c r="R3" s="5">
        <f>CMA_한투18361112[[#This Row],[입출금]]+CMA_한투18361112[[#This Row],[현금수입]]-CMA_한투18361112[[#This Row],[현금지출]]</f>
        <v>-1</v>
      </c>
      <c r="S3" s="5">
        <f>SUM($R$2:R3)</f>
        <v>0</v>
      </c>
    </row>
    <row r="4" spans="1:22" x14ac:dyDescent="0.3">
      <c r="A4" s="3">
        <v>45225</v>
      </c>
      <c r="B4" s="5" t="s">
        <v>155</v>
      </c>
      <c r="C4" s="9" t="str">
        <f>VLOOKUP(CMA_한투18361112[[#This Row],[종목코드]],표3[],2,FALSE)</f>
        <v>삼척블루파워9</v>
      </c>
      <c r="D4" s="62" t="str">
        <f>VLOOKUP(CMA_한투18361112[[#This Row],[종목코드]],표3[],4,FALSE)</f>
        <v>삼척블루파워9</v>
      </c>
      <c r="E4" s="75">
        <v>1</v>
      </c>
      <c r="F4" s="7">
        <v>1484900</v>
      </c>
      <c r="G4" s="5">
        <v>1485420</v>
      </c>
      <c r="H4" s="5">
        <f>CMA_한투18361112[[#This Row],[현금지출]]-CMA_한투18361112[[#This Row],[매입액]]</f>
        <v>520</v>
      </c>
      <c r="N4">
        <f>CMA_한투18361112[[#This Row],[매도액]]-CMA_한투18361112[[#This Row],[매도원금]]</f>
        <v>0</v>
      </c>
      <c r="O4" s="5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-520</v>
      </c>
      <c r="Q4">
        <v>1489440</v>
      </c>
      <c r="R4" s="5">
        <f>CMA_한투18361112[[#This Row],[입출금]]+CMA_한투18361112[[#This Row],[현금수입]]-CMA_한투18361112[[#This Row],[현금지출]]</f>
        <v>4020</v>
      </c>
      <c r="S4">
        <f>SUM($R$2:R4)</f>
        <v>4020</v>
      </c>
    </row>
    <row r="5" spans="1:22" x14ac:dyDescent="0.3">
      <c r="A5" s="3">
        <v>45232</v>
      </c>
      <c r="B5" s="5" t="s">
        <v>163</v>
      </c>
      <c r="C5" s="9" t="str">
        <f>VLOOKUP(CMA_한투18361112[[#This Row],[종목코드]],표3[],2,FALSE)</f>
        <v>메리츠캐피탈235-1</v>
      </c>
      <c r="D5" s="62" t="str">
        <f>VLOOKUP(CMA_한투18361112[[#This Row],[종목코드]],표3[],4,FALSE)</f>
        <v>메리츠캐피탈235-1</v>
      </c>
      <c r="E5" s="75">
        <v>1</v>
      </c>
      <c r="F5" s="7">
        <v>1049029</v>
      </c>
      <c r="G5" s="7">
        <v>1049029</v>
      </c>
      <c r="H5" s="5">
        <f>CMA_한투18361112[[#This Row],[현금지출]]-CMA_한투18361112[[#This Row],[매입액]]</f>
        <v>0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0</v>
      </c>
      <c r="Q5">
        <v>1046153</v>
      </c>
      <c r="R5" s="5">
        <f>CMA_한투18361112[[#This Row],[입출금]]+CMA_한투18361112[[#This Row],[현금수입]]-CMA_한투18361112[[#This Row],[현금지출]]</f>
        <v>-2876</v>
      </c>
      <c r="S5">
        <f>SUM($R$2:R5)</f>
        <v>1144</v>
      </c>
      <c r="U5">
        <v>1144</v>
      </c>
      <c r="V5">
        <v>956140</v>
      </c>
    </row>
    <row r="6" spans="1:22" x14ac:dyDescent="0.3">
      <c r="A6" s="3">
        <v>45245</v>
      </c>
      <c r="B6" s="5" t="s">
        <v>155</v>
      </c>
      <c r="C6" s="9" t="str">
        <f>VLOOKUP(CMA_한투18361112[[#This Row],[종목코드]],표3[],2,FALSE)</f>
        <v>삼척블루파워9</v>
      </c>
      <c r="D6" s="62" t="str">
        <f>VLOOKUP(CMA_한투18361112[[#This Row],[종목코드]],표3[],4,FALSE)</f>
        <v>삼척블루파워9</v>
      </c>
      <c r="E6" s="75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10138</v>
      </c>
    </row>
    <row r="7" spans="1:22" x14ac:dyDescent="0.3">
      <c r="A7" s="3">
        <v>45252</v>
      </c>
      <c r="B7" s="5" t="s">
        <v>163</v>
      </c>
      <c r="C7" s="9" t="str">
        <f>VLOOKUP(CMA_한투18361112[[#This Row],[종목코드]],표3[],2,FALSE)</f>
        <v>메리츠캐피탈235-1</v>
      </c>
      <c r="D7" s="62" t="str">
        <f>VLOOKUP(CMA_한투18361112[[#This Row],[종목코드]],표3[],4,FALSE)</f>
        <v>메리츠캐피탈235-1</v>
      </c>
      <c r="E7" s="75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24332</v>
      </c>
      <c r="U7">
        <v>3202451</v>
      </c>
    </row>
    <row r="8" spans="1:22" x14ac:dyDescent="0.3">
      <c r="A8" s="3">
        <v>45260</v>
      </c>
      <c r="B8" s="5" t="s">
        <v>202</v>
      </c>
      <c r="C8" s="9" t="str">
        <f>VLOOKUP(CMA_한투18361112[[#This Row],[종목코드]],표3[],2,FALSE)</f>
        <v>한투ISA예수금</v>
      </c>
      <c r="D8" s="62" t="str">
        <f>VLOOKUP(CMA_한투18361112[[#This Row],[종목코드]],표3[],4,FALSE)</f>
        <v>한국투자증권 ISA 원화예수금</v>
      </c>
      <c r="E8" s="75"/>
      <c r="H8" s="5">
        <f>CMA_한투18361112[[#This Row],[현금지출]]-CMA_한투18361112[[#This Row],[매입액]]</f>
        <v>0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0</v>
      </c>
      <c r="Q8">
        <v>-24332</v>
      </c>
      <c r="R8" s="5">
        <f>CMA_한투18361112[[#This Row],[입출금]]+CMA_한투18361112[[#This Row],[현금수입]]-CMA_한투18361112[[#This Row],[현금지출]]</f>
        <v>-24332</v>
      </c>
      <c r="S8">
        <f>SUM($R$2:R8)</f>
        <v>0</v>
      </c>
    </row>
  </sheetData>
  <phoneticPr fontId="4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자산정보</vt:lpstr>
      <vt:lpstr>불리오달러</vt:lpstr>
      <vt:lpstr>한투달러</vt:lpstr>
      <vt:lpstr>한투엔화</vt:lpstr>
      <vt:lpstr>외화자산평가</vt:lpstr>
      <vt:lpstr>나무원화</vt:lpstr>
      <vt:lpstr>한투원화</vt:lpstr>
      <vt:lpstr>한투CMA</vt:lpstr>
      <vt:lpstr>한투ISA</vt:lpstr>
      <vt:lpstr>별도원화</vt:lpstr>
      <vt:lpstr>현금흐름</vt:lpstr>
      <vt:lpstr>급여및지출</vt:lpstr>
      <vt:lpstr>각종정보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2023-12-11T12:37:32Z</dcterms:modified>
</cp:coreProperties>
</file>