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infomax\Desktop\programming\my_asset\"/>
    </mc:Choice>
  </mc:AlternateContent>
  <xr:revisionPtr revIDLastSave="0" documentId="13_ncr:1_{7625A776-AD96-47BF-8DC0-F7A59CF1DB3B}" xr6:coauthVersionLast="36" xr6:coauthVersionMax="36" xr10:uidLastSave="{00000000-0000-0000-0000-000000000000}"/>
  <bookViews>
    <workbookView xWindow="0" yWindow="0" windowWidth="17250" windowHeight="5610" tabRatio="810" activeTab="4" xr2:uid="{00000000-000D-0000-FFFF-FFFF00000000}"/>
  </bookViews>
  <sheets>
    <sheet name="자산정보" sheetId="2" r:id="rId1"/>
    <sheet name="연금종목정보" sheetId="15" r:id="rId2"/>
    <sheet name="농협IRP" sheetId="18" r:id="rId3"/>
    <sheet name="농협IRP (2)" sheetId="19" r:id="rId4"/>
    <sheet name="삼성DC (2)" sheetId="20" r:id="rId5"/>
    <sheet name="삼성DC" sheetId="17" r:id="rId6"/>
    <sheet name="엔투저축연금" sheetId="16" r:id="rId7"/>
    <sheet name="불리오달러" sheetId="1" r:id="rId8"/>
    <sheet name="한투달러" sheetId="4" r:id="rId9"/>
    <sheet name="한투엔화" sheetId="10" r:id="rId10"/>
    <sheet name="외화자산평가" sheetId="6" r:id="rId11"/>
    <sheet name="한투원화" sheetId="11" r:id="rId12"/>
    <sheet name="한투ISA" sheetId="12" r:id="rId13"/>
    <sheet name="별도원화" sheetId="3" r:id="rId14"/>
    <sheet name="한투CMA" sheetId="5" r:id="rId15"/>
    <sheet name="나무원화" sheetId="7" r:id="rId16"/>
    <sheet name="현금흐름" sheetId="9" r:id="rId17"/>
    <sheet name="급여및지출" sheetId="13" r:id="rId18"/>
    <sheet name="각종정보" sheetId="8" r:id="rId19"/>
    <sheet name="Sheet1" sheetId="14" r:id="rId20"/>
  </sheets>
  <definedNames>
    <definedName name="_xlnm._FilterDatabase" localSheetId="4" hidden="1">'삼성DC (2)'!$I$5:$M$40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20" l="1"/>
  <c r="L44" i="20"/>
  <c r="F11" i="20"/>
  <c r="F12" i="20"/>
  <c r="F13" i="20"/>
  <c r="F14" i="20"/>
  <c r="F15" i="20"/>
  <c r="F16" i="20"/>
  <c r="F17" i="20"/>
  <c r="F10" i="20"/>
  <c r="G40" i="19"/>
  <c r="G39" i="19"/>
  <c r="G38" i="19"/>
  <c r="E29" i="19"/>
  <c r="F37" i="19"/>
  <c r="G37" i="19" s="1"/>
  <c r="G36" i="19"/>
  <c r="G35" i="19"/>
  <c r="G34" i="19" l="1"/>
  <c r="G33" i="19"/>
  <c r="G32" i="19"/>
  <c r="G31" i="19" l="1"/>
  <c r="F11" i="19" l="1"/>
  <c r="G11" i="19" s="1"/>
  <c r="F8" i="19"/>
  <c r="F9" i="19" s="1"/>
  <c r="G1" i="19"/>
  <c r="F29" i="19"/>
  <c r="G28" i="19"/>
  <c r="G27" i="19"/>
  <c r="G26" i="19"/>
  <c r="F24" i="19"/>
  <c r="G25" i="19" s="1"/>
  <c r="J21" i="18"/>
  <c r="K21" i="18" s="1"/>
  <c r="G23" i="19"/>
  <c r="G22" i="19"/>
  <c r="G29" i="19" l="1"/>
  <c r="G30" i="19"/>
  <c r="G10" i="19"/>
  <c r="G9" i="19"/>
  <c r="G8" i="19"/>
  <c r="G24" i="19"/>
  <c r="J3" i="19"/>
  <c r="N1" i="19"/>
  <c r="N5" i="19"/>
  <c r="K3" i="19"/>
  <c r="K4" i="19" s="1"/>
  <c r="F12" i="19" l="1"/>
  <c r="F13" i="19" s="1"/>
  <c r="G21" i="19"/>
  <c r="G20" i="19"/>
  <c r="G19" i="19"/>
  <c r="G18" i="19"/>
  <c r="G17" i="19"/>
  <c r="G12" i="19" l="1"/>
  <c r="G42" i="11"/>
  <c r="G43" i="11"/>
  <c r="H43" i="11" s="1"/>
  <c r="G41" i="11"/>
  <c r="H41" i="11" s="1"/>
  <c r="C43" i="11"/>
  <c r="D43" i="11"/>
  <c r="N43" i="11"/>
  <c r="O43" i="11"/>
  <c r="R43" i="11"/>
  <c r="C42" i="11"/>
  <c r="D42" i="11"/>
  <c r="H42" i="11"/>
  <c r="N42" i="11"/>
  <c r="O42" i="11"/>
  <c r="R42" i="11"/>
  <c r="C41" i="11"/>
  <c r="D41" i="11"/>
  <c r="N41" i="11"/>
  <c r="O41" i="11"/>
  <c r="R41" i="11"/>
  <c r="C40" i="11"/>
  <c r="D40" i="11"/>
  <c r="H40" i="11"/>
  <c r="N40" i="11"/>
  <c r="O40" i="11"/>
  <c r="R40" i="11"/>
  <c r="C39" i="11"/>
  <c r="D39" i="11"/>
  <c r="H39" i="11"/>
  <c r="N39" i="11"/>
  <c r="O39" i="11"/>
  <c r="R39" i="11"/>
  <c r="C38" i="11"/>
  <c r="D38" i="11"/>
  <c r="H38" i="11"/>
  <c r="N38" i="11"/>
  <c r="O38" i="11"/>
  <c r="R38" i="11"/>
  <c r="C40" i="1"/>
  <c r="D40" i="1"/>
  <c r="H40" i="1"/>
  <c r="N40" i="1"/>
  <c r="O40" i="1"/>
  <c r="R40" i="1"/>
  <c r="C39" i="1"/>
  <c r="D39" i="1"/>
  <c r="H39" i="1"/>
  <c r="N39" i="1"/>
  <c r="O39" i="1"/>
  <c r="R39" i="1"/>
  <c r="C38" i="1"/>
  <c r="D38" i="1"/>
  <c r="H38" i="1"/>
  <c r="N38" i="1"/>
  <c r="O38" i="1"/>
  <c r="R38" i="1"/>
  <c r="P38" i="11" l="1"/>
  <c r="P42" i="11"/>
  <c r="P43" i="11"/>
  <c r="P41" i="11"/>
  <c r="P40" i="11"/>
  <c r="P39" i="11"/>
  <c r="P40" i="1"/>
  <c r="P39" i="1"/>
  <c r="P38" i="1"/>
  <c r="C8" i="12"/>
  <c r="D8" i="12"/>
  <c r="H8" i="12"/>
  <c r="N8" i="12"/>
  <c r="O8" i="12"/>
  <c r="R8" i="12"/>
  <c r="C37" i="11"/>
  <c r="D37" i="11"/>
  <c r="H37" i="11"/>
  <c r="N37" i="11"/>
  <c r="O37" i="11"/>
  <c r="R37" i="11"/>
  <c r="C36" i="11"/>
  <c r="D36" i="11"/>
  <c r="H36" i="11"/>
  <c r="N36" i="11"/>
  <c r="O36" i="11"/>
  <c r="R36" i="11"/>
  <c r="C35" i="11"/>
  <c r="D35" i="11"/>
  <c r="H35" i="11"/>
  <c r="N35" i="11"/>
  <c r="O35" i="11"/>
  <c r="R35" i="11"/>
  <c r="C34" i="11"/>
  <c r="D34" i="11"/>
  <c r="H34" i="11"/>
  <c r="N34" i="11"/>
  <c r="O34" i="11"/>
  <c r="R34" i="11"/>
  <c r="P36" i="11" l="1"/>
  <c r="P8" i="12"/>
  <c r="P37" i="11"/>
  <c r="P35" i="11"/>
  <c r="P34" i="11"/>
  <c r="G16" i="19"/>
  <c r="C18" i="18"/>
  <c r="D18" i="18"/>
  <c r="H18" i="18"/>
  <c r="N18" i="18"/>
  <c r="O18" i="18"/>
  <c r="R18" i="18"/>
  <c r="C17" i="18"/>
  <c r="D17" i="18"/>
  <c r="H17" i="18"/>
  <c r="N17" i="18"/>
  <c r="O17" i="18"/>
  <c r="R17" i="18"/>
  <c r="G15" i="19"/>
  <c r="G14" i="19"/>
  <c r="C16" i="18"/>
  <c r="D16" i="18"/>
  <c r="H16" i="18"/>
  <c r="N16" i="18"/>
  <c r="O16" i="18"/>
  <c r="R16" i="18"/>
  <c r="C15" i="18"/>
  <c r="D15" i="18"/>
  <c r="H15" i="18"/>
  <c r="N15" i="18"/>
  <c r="O15" i="18"/>
  <c r="R15" i="18"/>
  <c r="B15" i="19"/>
  <c r="B16" i="19"/>
  <c r="C13" i="18"/>
  <c r="D13" i="18"/>
  <c r="H13" i="18"/>
  <c r="N13" i="18"/>
  <c r="O13" i="18"/>
  <c r="R13" i="18"/>
  <c r="G13" i="19"/>
  <c r="C9" i="18"/>
  <c r="D9" i="18"/>
  <c r="H9" i="18"/>
  <c r="N9" i="18"/>
  <c r="O9" i="18"/>
  <c r="R9" i="18"/>
  <c r="C10" i="18"/>
  <c r="D10" i="18"/>
  <c r="H10" i="18"/>
  <c r="N10" i="18"/>
  <c r="O10" i="18"/>
  <c r="R10" i="18"/>
  <c r="C11" i="18"/>
  <c r="D11" i="18"/>
  <c r="H11" i="18"/>
  <c r="N11" i="18"/>
  <c r="O11" i="18"/>
  <c r="R11" i="18"/>
  <c r="C12" i="18"/>
  <c r="D12" i="18"/>
  <c r="H12" i="18"/>
  <c r="N12" i="18"/>
  <c r="O12" i="18"/>
  <c r="R12" i="18"/>
  <c r="C6" i="18"/>
  <c r="D6" i="18"/>
  <c r="H6" i="18"/>
  <c r="N6" i="18"/>
  <c r="O6" i="18"/>
  <c r="R6" i="18"/>
  <c r="C5" i="18"/>
  <c r="D5" i="18"/>
  <c r="H5" i="18"/>
  <c r="N5" i="18"/>
  <c r="O5" i="18"/>
  <c r="R5" i="18"/>
  <c r="C7" i="18"/>
  <c r="D7" i="18"/>
  <c r="H7" i="18"/>
  <c r="N7" i="18"/>
  <c r="O7" i="18"/>
  <c r="R7" i="18"/>
  <c r="G7" i="19"/>
  <c r="C14" i="18"/>
  <c r="D14" i="18"/>
  <c r="H14" i="18"/>
  <c r="N14" i="18"/>
  <c r="O14" i="18"/>
  <c r="R14" i="18"/>
  <c r="U4" i="16"/>
  <c r="C3" i="16"/>
  <c r="D3" i="16"/>
  <c r="H3" i="16"/>
  <c r="N3" i="16"/>
  <c r="O3" i="16"/>
  <c r="R3" i="16"/>
  <c r="R2" i="16"/>
  <c r="S2" i="16" s="1"/>
  <c r="R4" i="16"/>
  <c r="R5" i="16"/>
  <c r="R7" i="16"/>
  <c r="R8" i="16"/>
  <c r="R9" i="16"/>
  <c r="R10" i="16"/>
  <c r="R11" i="16"/>
  <c r="R12" i="16"/>
  <c r="R13" i="16"/>
  <c r="R14" i="16"/>
  <c r="O2" i="16"/>
  <c r="O4" i="16"/>
  <c r="O5" i="16"/>
  <c r="O6" i="16"/>
  <c r="O7" i="16"/>
  <c r="O8" i="16"/>
  <c r="O9" i="16"/>
  <c r="O10" i="16"/>
  <c r="O11" i="16"/>
  <c r="O12" i="16"/>
  <c r="O13" i="16"/>
  <c r="O14" i="16"/>
  <c r="N2" i="16"/>
  <c r="N4" i="16"/>
  <c r="N5" i="16"/>
  <c r="N6" i="16"/>
  <c r="N7" i="16"/>
  <c r="N8" i="16"/>
  <c r="N9" i="16"/>
  <c r="N10" i="16"/>
  <c r="N11" i="16"/>
  <c r="N12" i="16"/>
  <c r="N13" i="16"/>
  <c r="N14" i="16"/>
  <c r="G6" i="16"/>
  <c r="R6" i="16" s="1"/>
  <c r="F6" i="16"/>
  <c r="P18" i="18" l="1"/>
  <c r="P17" i="18"/>
  <c r="P16" i="18"/>
  <c r="P15" i="18"/>
  <c r="P13" i="18"/>
  <c r="P10" i="18"/>
  <c r="P11" i="18"/>
  <c r="P12" i="18"/>
  <c r="P9" i="18"/>
  <c r="P5" i="18"/>
  <c r="P6" i="18"/>
  <c r="P7" i="18"/>
  <c r="P14" i="18"/>
  <c r="S4" i="16"/>
  <c r="S3" i="16"/>
  <c r="S9" i="16"/>
  <c r="S12" i="16"/>
  <c r="S11" i="16"/>
  <c r="S5" i="16"/>
  <c r="S10" i="16"/>
  <c r="P3" i="16"/>
  <c r="S8" i="16"/>
  <c r="S7" i="16"/>
  <c r="S14" i="16"/>
  <c r="S6" i="16"/>
  <c r="S13" i="16"/>
  <c r="C33" i="11"/>
  <c r="D33" i="11"/>
  <c r="H33" i="11"/>
  <c r="N33" i="11"/>
  <c r="O33" i="11"/>
  <c r="R33" i="11"/>
  <c r="P33" i="11" l="1"/>
  <c r="C7" i="12"/>
  <c r="D7" i="12"/>
  <c r="H7" i="12"/>
  <c r="N7" i="12"/>
  <c r="O7" i="12"/>
  <c r="R7" i="12"/>
  <c r="C6" i="12"/>
  <c r="D6" i="12"/>
  <c r="H6" i="12"/>
  <c r="N6" i="12"/>
  <c r="O6" i="12"/>
  <c r="P6" i="12" s="1"/>
  <c r="R6" i="12"/>
  <c r="P7" i="12" l="1"/>
  <c r="H2" i="16"/>
  <c r="P2" i="16" s="1"/>
  <c r="H4" i="16"/>
  <c r="P4" i="16" s="1"/>
  <c r="H5" i="16"/>
  <c r="P5" i="16" s="1"/>
  <c r="H6" i="16"/>
  <c r="P6" i="16" s="1"/>
  <c r="H7" i="16"/>
  <c r="P7" i="16" s="1"/>
  <c r="H8" i="16"/>
  <c r="P8" i="16" s="1"/>
  <c r="H9" i="16"/>
  <c r="P9" i="16" s="1"/>
  <c r="H10" i="16"/>
  <c r="P10" i="16" s="1"/>
  <c r="H11" i="16"/>
  <c r="P11" i="16" s="1"/>
  <c r="H12" i="16"/>
  <c r="P12" i="16" s="1"/>
  <c r="H13" i="16"/>
  <c r="P13" i="16" s="1"/>
  <c r="H14" i="16"/>
  <c r="P14" i="16" s="1"/>
  <c r="C14" i="16"/>
  <c r="D14" i="16"/>
  <c r="C13" i="16"/>
  <c r="D13" i="16"/>
  <c r="C12" i="16"/>
  <c r="D12" i="16"/>
  <c r="C11" i="16"/>
  <c r="D11" i="16"/>
  <c r="C10" i="16"/>
  <c r="D10" i="16"/>
  <c r="C9" i="16"/>
  <c r="D9" i="16"/>
  <c r="C8" i="16"/>
  <c r="D8" i="16"/>
  <c r="C7" i="16"/>
  <c r="D7" i="16"/>
  <c r="C6" i="16"/>
  <c r="D6" i="16"/>
  <c r="C5" i="16"/>
  <c r="D5" i="16"/>
  <c r="C4" i="16"/>
  <c r="D4" i="16"/>
  <c r="C6" i="4" l="1"/>
  <c r="D6" i="4"/>
  <c r="H6" i="4"/>
  <c r="N6" i="4"/>
  <c r="O6" i="4"/>
  <c r="R6" i="4"/>
  <c r="P6" i="4" l="1"/>
  <c r="C32" i="11"/>
  <c r="D32" i="11"/>
  <c r="H32" i="11"/>
  <c r="N32" i="11"/>
  <c r="O32" i="11"/>
  <c r="R32" i="11"/>
  <c r="C28" i="11"/>
  <c r="D28" i="11"/>
  <c r="H28" i="11"/>
  <c r="N28" i="11"/>
  <c r="O28" i="11"/>
  <c r="R28" i="11"/>
  <c r="C9" i="4"/>
  <c r="D9" i="4"/>
  <c r="D2" i="4"/>
  <c r="D3" i="4"/>
  <c r="D4" i="4"/>
  <c r="D5" i="4"/>
  <c r="D7" i="4"/>
  <c r="D8" i="4"/>
  <c r="D10" i="4"/>
  <c r="D11" i="4"/>
  <c r="C2" i="4"/>
  <c r="C3" i="4"/>
  <c r="C4" i="4"/>
  <c r="C5" i="4"/>
  <c r="C7" i="4"/>
  <c r="C8" i="4"/>
  <c r="C10" i="4"/>
  <c r="C11" i="4"/>
  <c r="H9" i="4"/>
  <c r="N9" i="4"/>
  <c r="O9" i="4"/>
  <c r="R9" i="4"/>
  <c r="H10" i="4"/>
  <c r="H11" i="4"/>
  <c r="N10" i="4"/>
  <c r="N11" i="4"/>
  <c r="O10" i="4"/>
  <c r="O11" i="4"/>
  <c r="R10" i="4"/>
  <c r="R11" i="4"/>
  <c r="F37" i="1"/>
  <c r="H37" i="1" s="1"/>
  <c r="H35" i="1"/>
  <c r="H34" i="1"/>
  <c r="C37" i="1"/>
  <c r="D37" i="1"/>
  <c r="N37" i="1"/>
  <c r="O37" i="1"/>
  <c r="R37" i="1"/>
  <c r="C36" i="1"/>
  <c r="D36" i="1"/>
  <c r="H36" i="1"/>
  <c r="N36" i="1"/>
  <c r="O36" i="1"/>
  <c r="R36" i="1"/>
  <c r="C35" i="1"/>
  <c r="D35" i="1"/>
  <c r="N35" i="1"/>
  <c r="O35" i="1"/>
  <c r="R35" i="1"/>
  <c r="C34" i="1"/>
  <c r="D34" i="1"/>
  <c r="N34" i="1"/>
  <c r="O34" i="1"/>
  <c r="R34" i="1"/>
  <c r="P32" i="11" l="1"/>
  <c r="P28" i="11"/>
  <c r="P9" i="4"/>
  <c r="P11" i="4"/>
  <c r="P10" i="4"/>
  <c r="P37" i="1"/>
  <c r="P36" i="1"/>
  <c r="P35" i="1"/>
  <c r="P34" i="1"/>
  <c r="Q26" i="11"/>
  <c r="C33" i="1" l="1"/>
  <c r="D33" i="1"/>
  <c r="H33" i="1"/>
  <c r="N33" i="1"/>
  <c r="O33" i="1"/>
  <c r="R33" i="1"/>
  <c r="C32" i="1"/>
  <c r="D32" i="1"/>
  <c r="H32" i="1"/>
  <c r="N32" i="1"/>
  <c r="O32" i="1"/>
  <c r="R32" i="1"/>
  <c r="C31" i="1"/>
  <c r="D31" i="1"/>
  <c r="H31" i="1"/>
  <c r="N31" i="1"/>
  <c r="O31" i="1"/>
  <c r="R31" i="1"/>
  <c r="C30" i="1"/>
  <c r="D30" i="1"/>
  <c r="H30" i="1"/>
  <c r="N30" i="1"/>
  <c r="O30" i="1"/>
  <c r="R30" i="1"/>
  <c r="C29" i="1"/>
  <c r="D29" i="1"/>
  <c r="H29" i="1"/>
  <c r="N29" i="1"/>
  <c r="O29" i="1"/>
  <c r="R29" i="1"/>
  <c r="H31" i="11"/>
  <c r="R30" i="11"/>
  <c r="C31" i="11"/>
  <c r="D31" i="11"/>
  <c r="N31" i="11"/>
  <c r="O31" i="11"/>
  <c r="R31" i="11"/>
  <c r="C30" i="11"/>
  <c r="D30" i="11"/>
  <c r="N30" i="11"/>
  <c r="O30" i="11"/>
  <c r="C29" i="11"/>
  <c r="D29" i="11"/>
  <c r="H29" i="11"/>
  <c r="N29" i="11"/>
  <c r="O29" i="11"/>
  <c r="R29" i="11"/>
  <c r="C4" i="10"/>
  <c r="H8" i="4"/>
  <c r="N8" i="4"/>
  <c r="O8" i="4"/>
  <c r="R8" i="4"/>
  <c r="R7" i="4"/>
  <c r="K7" i="4"/>
  <c r="O7" i="4" s="1"/>
  <c r="H7" i="4"/>
  <c r="D4" i="10"/>
  <c r="H4" i="10"/>
  <c r="N4" i="10"/>
  <c r="O4" i="10"/>
  <c r="R4" i="10"/>
  <c r="N7" i="4" l="1"/>
  <c r="P7" i="4" s="1"/>
  <c r="P33" i="1"/>
  <c r="P32" i="1"/>
  <c r="P31" i="1"/>
  <c r="P29" i="1"/>
  <c r="P30" i="1"/>
  <c r="P31" i="11"/>
  <c r="H30" i="11"/>
  <c r="P30" i="11" s="1"/>
  <c r="P29" i="11"/>
  <c r="P4" i="10"/>
  <c r="P8" i="4"/>
  <c r="C4" i="6" l="1"/>
  <c r="D4" i="6"/>
  <c r="H4" i="6"/>
  <c r="N4" i="6"/>
  <c r="O4" i="6"/>
  <c r="R4" i="6"/>
  <c r="N26" i="11"/>
  <c r="H26" i="11"/>
  <c r="C26" i="11"/>
  <c r="D26" i="11"/>
  <c r="O26" i="11"/>
  <c r="R26" i="11"/>
  <c r="C27" i="11"/>
  <c r="D27" i="11"/>
  <c r="H27" i="11"/>
  <c r="N27" i="11"/>
  <c r="O27" i="11"/>
  <c r="R27" i="11"/>
  <c r="P4" i="6" l="1"/>
  <c r="P26" i="11"/>
  <c r="P27" i="11"/>
  <c r="H2" i="18"/>
  <c r="H3" i="18"/>
  <c r="H4" i="18"/>
  <c r="H8" i="18"/>
  <c r="R2" i="18"/>
  <c r="R3" i="18"/>
  <c r="R4" i="18"/>
  <c r="R8" i="18"/>
  <c r="O2" i="18"/>
  <c r="O3" i="18"/>
  <c r="O4" i="18"/>
  <c r="O8" i="18"/>
  <c r="N2" i="18"/>
  <c r="N3" i="18"/>
  <c r="N4" i="18"/>
  <c r="N8" i="18"/>
  <c r="R2" i="17"/>
  <c r="S2" i="17" s="1"/>
  <c r="R3" i="17"/>
  <c r="R4" i="17"/>
  <c r="R5" i="17"/>
  <c r="R6" i="17"/>
  <c r="R7" i="17"/>
  <c r="R8" i="17"/>
  <c r="R9" i="17"/>
  <c r="R10" i="17"/>
  <c r="R11" i="17"/>
  <c r="R12" i="17"/>
  <c r="O2" i="17"/>
  <c r="O3" i="17"/>
  <c r="O4" i="17"/>
  <c r="O5" i="17"/>
  <c r="O6" i="17"/>
  <c r="O7" i="17"/>
  <c r="O8" i="17"/>
  <c r="O9" i="17"/>
  <c r="O10" i="17"/>
  <c r="O11" i="17"/>
  <c r="O12" i="17"/>
  <c r="N2" i="17"/>
  <c r="N3" i="17"/>
  <c r="N4" i="17"/>
  <c r="N5" i="17"/>
  <c r="N6" i="17"/>
  <c r="N7" i="17"/>
  <c r="N8" i="17"/>
  <c r="N9" i="17"/>
  <c r="N10" i="17"/>
  <c r="N11" i="17"/>
  <c r="N12" i="17"/>
  <c r="H2" i="17"/>
  <c r="H3" i="17"/>
  <c r="H4" i="17"/>
  <c r="H5" i="17"/>
  <c r="H6" i="17"/>
  <c r="H7" i="17"/>
  <c r="H8" i="17"/>
  <c r="H9" i="17"/>
  <c r="H10" i="17"/>
  <c r="H11" i="17"/>
  <c r="H12" i="17"/>
  <c r="S12" i="18" l="1"/>
  <c r="S13" i="18"/>
  <c r="S14" i="18"/>
  <c r="S15" i="18"/>
  <c r="S16" i="18"/>
  <c r="S17" i="18"/>
  <c r="S18" i="18"/>
  <c r="S10" i="18"/>
  <c r="S11" i="18"/>
  <c r="S8" i="18"/>
  <c r="S9" i="18"/>
  <c r="S7" i="18"/>
  <c r="S5" i="18"/>
  <c r="S6" i="18"/>
  <c r="S2" i="18"/>
  <c r="S3" i="18"/>
  <c r="S4" i="18"/>
  <c r="P2" i="18"/>
  <c r="P12" i="17"/>
  <c r="P11" i="17"/>
  <c r="P5" i="17"/>
  <c r="P6" i="17"/>
  <c r="S6" i="17"/>
  <c r="P9" i="17"/>
  <c r="P3" i="17"/>
  <c r="P4" i="18"/>
  <c r="S10" i="17"/>
  <c r="S8" i="17"/>
  <c r="S7" i="17"/>
  <c r="P8" i="17"/>
  <c r="P7" i="17"/>
  <c r="S4" i="17"/>
  <c r="P2" i="17"/>
  <c r="P10" i="17"/>
  <c r="P4" i="17"/>
  <c r="S3" i="17"/>
  <c r="P8" i="18"/>
  <c r="P3" i="18"/>
  <c r="S12" i="17"/>
  <c r="S11" i="17"/>
  <c r="S5" i="17"/>
  <c r="S9" i="17"/>
  <c r="D2" i="16"/>
  <c r="D2" i="17"/>
  <c r="D3" i="17"/>
  <c r="D4" i="17"/>
  <c r="D5" i="17"/>
  <c r="D6" i="17"/>
  <c r="D7" i="17"/>
  <c r="D8" i="17"/>
  <c r="D9" i="17"/>
  <c r="D10" i="17"/>
  <c r="D11" i="17"/>
  <c r="D12" i="17"/>
  <c r="D2" i="18"/>
  <c r="D3" i="18"/>
  <c r="D4" i="18"/>
  <c r="D8" i="18"/>
  <c r="C2" i="16"/>
  <c r="B39" i="19" l="1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4" i="19"/>
  <c r="B13" i="19"/>
  <c r="B12" i="19"/>
  <c r="B11" i="19"/>
  <c r="B9" i="19"/>
  <c r="B8" i="19"/>
  <c r="B7" i="19"/>
  <c r="B6" i="19"/>
  <c r="C25" i="11"/>
  <c r="D25" i="11"/>
  <c r="H25" i="11"/>
  <c r="N25" i="11"/>
  <c r="O25" i="11"/>
  <c r="R25" i="11"/>
  <c r="C24" i="11"/>
  <c r="D24" i="11"/>
  <c r="H24" i="11"/>
  <c r="N24" i="11"/>
  <c r="O24" i="11"/>
  <c r="R24" i="11"/>
  <c r="C23" i="11"/>
  <c r="D23" i="11"/>
  <c r="H23" i="11"/>
  <c r="N23" i="11"/>
  <c r="O23" i="11"/>
  <c r="R23" i="11"/>
  <c r="C22" i="1"/>
  <c r="C23" i="1"/>
  <c r="C24" i="1"/>
  <c r="C25" i="1"/>
  <c r="C26" i="1"/>
  <c r="C27" i="1"/>
  <c r="C28" i="1"/>
  <c r="D22" i="1"/>
  <c r="D23" i="1"/>
  <c r="D24" i="1"/>
  <c r="D25" i="1"/>
  <c r="D26" i="1"/>
  <c r="D27" i="1"/>
  <c r="D28" i="1"/>
  <c r="H22" i="1"/>
  <c r="H23" i="1"/>
  <c r="H24" i="1"/>
  <c r="H25" i="1"/>
  <c r="H26" i="1"/>
  <c r="H27" i="1"/>
  <c r="H28" i="1"/>
  <c r="N22" i="1"/>
  <c r="N23" i="1"/>
  <c r="N24" i="1"/>
  <c r="N25" i="1"/>
  <c r="N26" i="1"/>
  <c r="N27" i="1"/>
  <c r="N28" i="1"/>
  <c r="O22" i="1"/>
  <c r="O23" i="1"/>
  <c r="O24" i="1"/>
  <c r="O25" i="1"/>
  <c r="O26" i="1"/>
  <c r="O27" i="1"/>
  <c r="O28" i="1"/>
  <c r="R22" i="1"/>
  <c r="R23" i="1"/>
  <c r="R24" i="1"/>
  <c r="R25" i="1"/>
  <c r="R26" i="1"/>
  <c r="R27" i="1"/>
  <c r="R28" i="1"/>
  <c r="C21" i="1"/>
  <c r="D21" i="1"/>
  <c r="H21" i="1"/>
  <c r="N21" i="1"/>
  <c r="O21" i="1"/>
  <c r="R21" i="1"/>
  <c r="C20" i="1"/>
  <c r="D20" i="1"/>
  <c r="H20" i="1"/>
  <c r="N20" i="1"/>
  <c r="O20" i="1"/>
  <c r="R20" i="1"/>
  <c r="C19" i="1"/>
  <c r="D19" i="1"/>
  <c r="H19" i="1"/>
  <c r="N19" i="1"/>
  <c r="O19" i="1"/>
  <c r="R19" i="1"/>
  <c r="C18" i="1"/>
  <c r="D18" i="1"/>
  <c r="H18" i="1"/>
  <c r="N18" i="1"/>
  <c r="O18" i="1"/>
  <c r="R18" i="1"/>
  <c r="C17" i="1"/>
  <c r="D17" i="1"/>
  <c r="H17" i="1"/>
  <c r="N17" i="1"/>
  <c r="O17" i="1"/>
  <c r="R17" i="1"/>
  <c r="C16" i="1"/>
  <c r="D16" i="1"/>
  <c r="H16" i="1"/>
  <c r="N16" i="1"/>
  <c r="O16" i="1"/>
  <c r="R16" i="1"/>
  <c r="P26" i="1" l="1"/>
  <c r="P25" i="11"/>
  <c r="P24" i="1"/>
  <c r="P24" i="11"/>
  <c r="P23" i="11"/>
  <c r="P28" i="1"/>
  <c r="P27" i="1"/>
  <c r="P25" i="1"/>
  <c r="P23" i="1"/>
  <c r="P22" i="1"/>
  <c r="P20" i="1"/>
  <c r="P21" i="1"/>
  <c r="P16" i="1"/>
  <c r="P17" i="1"/>
  <c r="P18" i="1"/>
  <c r="P19" i="1"/>
  <c r="C2" i="18"/>
  <c r="C3" i="18"/>
  <c r="C4" i="18"/>
  <c r="C8" i="18"/>
  <c r="C3" i="17"/>
  <c r="C4" i="17"/>
  <c r="C5" i="17"/>
  <c r="C6" i="17"/>
  <c r="C7" i="17"/>
  <c r="C8" i="17"/>
  <c r="C9" i="17"/>
  <c r="C10" i="17"/>
  <c r="C11" i="17"/>
  <c r="C12" i="17"/>
  <c r="C2" i="17"/>
  <c r="C5" i="12" l="1"/>
  <c r="D5" i="12"/>
  <c r="H5" i="12"/>
  <c r="N5" i="12"/>
  <c r="O5" i="12"/>
  <c r="R5" i="12"/>
  <c r="C22" i="11"/>
  <c r="D22" i="11"/>
  <c r="H22" i="11"/>
  <c r="N22" i="11"/>
  <c r="O22" i="11"/>
  <c r="R22" i="11"/>
  <c r="C21" i="11"/>
  <c r="D21" i="11"/>
  <c r="H21" i="11"/>
  <c r="N21" i="11"/>
  <c r="O21" i="11"/>
  <c r="R21" i="11"/>
  <c r="C20" i="11"/>
  <c r="D20" i="11"/>
  <c r="H20" i="11"/>
  <c r="N20" i="11"/>
  <c r="O20" i="11"/>
  <c r="R20" i="11"/>
  <c r="C19" i="11"/>
  <c r="D19" i="11"/>
  <c r="H19" i="11"/>
  <c r="N19" i="11"/>
  <c r="O19" i="11"/>
  <c r="R19" i="11"/>
  <c r="C18" i="11"/>
  <c r="D18" i="11"/>
  <c r="H18" i="11"/>
  <c r="N18" i="11"/>
  <c r="O18" i="11"/>
  <c r="R18" i="11"/>
  <c r="C17" i="11"/>
  <c r="D17" i="11"/>
  <c r="H17" i="11"/>
  <c r="N17" i="11"/>
  <c r="O17" i="11"/>
  <c r="R17" i="11"/>
  <c r="C16" i="11"/>
  <c r="D16" i="11"/>
  <c r="H16" i="11"/>
  <c r="N16" i="11"/>
  <c r="O16" i="11"/>
  <c r="R16" i="11"/>
  <c r="J15" i="11"/>
  <c r="N15" i="11" s="1"/>
  <c r="C15" i="11"/>
  <c r="D15" i="11"/>
  <c r="H15" i="11"/>
  <c r="O15" i="11"/>
  <c r="R15" i="11"/>
  <c r="M14" i="11"/>
  <c r="O14" i="11" s="1"/>
  <c r="C14" i="11"/>
  <c r="D14" i="11"/>
  <c r="H14" i="11"/>
  <c r="N14" i="11"/>
  <c r="M13" i="11"/>
  <c r="O13" i="11" s="1"/>
  <c r="C13" i="11"/>
  <c r="D13" i="11"/>
  <c r="H13" i="11"/>
  <c r="N13" i="11"/>
  <c r="P5" i="12" l="1"/>
  <c r="R13" i="11"/>
  <c r="R14" i="11"/>
  <c r="P22" i="11"/>
  <c r="P20" i="11"/>
  <c r="P21" i="11"/>
  <c r="P18" i="11"/>
  <c r="P19" i="11"/>
  <c r="P16" i="11"/>
  <c r="P17" i="11"/>
  <c r="P15" i="11"/>
  <c r="P14" i="11"/>
  <c r="P13" i="11"/>
  <c r="D2" i="9" l="1"/>
  <c r="C2" i="6" l="1"/>
  <c r="D2" i="6"/>
  <c r="H2" i="6"/>
  <c r="N2" i="6"/>
  <c r="O2" i="6"/>
  <c r="R2" i="6"/>
  <c r="C3" i="6"/>
  <c r="D3" i="6"/>
  <c r="H3" i="6"/>
  <c r="N3" i="6"/>
  <c r="R3" i="6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S6" i="12" l="1"/>
  <c r="S8" i="12"/>
  <c r="S7" i="12"/>
  <c r="S41" i="11"/>
  <c r="S36" i="11"/>
  <c r="S42" i="11"/>
  <c r="S37" i="11"/>
  <c r="S43" i="11"/>
  <c r="S38" i="11"/>
  <c r="S39" i="11"/>
  <c r="S40" i="11"/>
  <c r="S32" i="11"/>
  <c r="S33" i="11"/>
  <c r="S34" i="11"/>
  <c r="S35" i="11"/>
  <c r="S5" i="12"/>
  <c r="S9" i="11"/>
  <c r="S17" i="11"/>
  <c r="S25" i="11"/>
  <c r="S28" i="11"/>
  <c r="S29" i="11"/>
  <c r="S14" i="11"/>
  <c r="S15" i="11"/>
  <c r="S16" i="11"/>
  <c r="S10" i="11"/>
  <c r="S18" i="11"/>
  <c r="S26" i="11"/>
  <c r="S12" i="11"/>
  <c r="S13" i="11"/>
  <c r="S22" i="11"/>
  <c r="S23" i="11"/>
  <c r="S8" i="11"/>
  <c r="S11" i="11"/>
  <c r="S19" i="11"/>
  <c r="S27" i="11"/>
  <c r="S21" i="11"/>
  <c r="S30" i="11"/>
  <c r="S31" i="11"/>
  <c r="S24" i="11"/>
  <c r="S20" i="11"/>
  <c r="S2" i="6"/>
  <c r="S3" i="6"/>
  <c r="S4" i="6"/>
  <c r="S6" i="11"/>
  <c r="S7" i="11"/>
  <c r="S4" i="11"/>
  <c r="S5" i="11"/>
  <c r="S2" i="11"/>
  <c r="S3" i="11"/>
  <c r="S3" i="12"/>
  <c r="S4" i="12"/>
  <c r="S2" i="12"/>
  <c r="P2" i="6"/>
  <c r="O3" i="6"/>
  <c r="P3" i="6" s="1"/>
  <c r="P10" i="11"/>
  <c r="P2" i="11"/>
  <c r="P4" i="11"/>
  <c r="P9" i="11"/>
  <c r="P12" i="11"/>
  <c r="P8" i="11"/>
  <c r="P5" i="11"/>
  <c r="P4" i="12"/>
  <c r="P2" i="12"/>
  <c r="P3" i="12"/>
  <c r="P7" i="11"/>
  <c r="P6" i="11"/>
  <c r="P11" i="11"/>
  <c r="P3" i="11"/>
  <c r="H2" i="4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37" i="1" l="1"/>
  <c r="S38" i="1"/>
  <c r="S39" i="1"/>
  <c r="S40" i="1"/>
  <c r="S6" i="4"/>
  <c r="S3" i="4"/>
  <c r="S10" i="4"/>
  <c r="S4" i="4"/>
  <c r="S11" i="4"/>
  <c r="S5" i="4"/>
  <c r="S7" i="4"/>
  <c r="S8" i="4"/>
  <c r="S9" i="4"/>
  <c r="S18" i="1"/>
  <c r="S24" i="1"/>
  <c r="S30" i="1"/>
  <c r="S36" i="1"/>
  <c r="S32" i="1"/>
  <c r="S21" i="1"/>
  <c r="S22" i="1"/>
  <c r="S35" i="1"/>
  <c r="S19" i="1"/>
  <c r="S25" i="1"/>
  <c r="S31" i="1"/>
  <c r="S26" i="1"/>
  <c r="S33" i="1"/>
  <c r="S28" i="1"/>
  <c r="S34" i="1"/>
  <c r="S20" i="1"/>
  <c r="S29" i="1"/>
  <c r="S27" i="1"/>
  <c r="S23" i="1"/>
  <c r="S4" i="1"/>
  <c r="S10" i="1"/>
  <c r="S16" i="1"/>
  <c r="S5" i="1"/>
  <c r="S11" i="1"/>
  <c r="S6" i="1"/>
  <c r="S12" i="1"/>
  <c r="S13" i="1"/>
  <c r="S7" i="1"/>
  <c r="S2" i="1"/>
  <c r="S8" i="1"/>
  <c r="S14" i="1"/>
  <c r="S3" i="1"/>
  <c r="S9" i="1"/>
  <c r="S15" i="1"/>
  <c r="S17" i="1"/>
  <c r="P2" i="4"/>
  <c r="P13" i="1"/>
  <c r="P6" i="1"/>
  <c r="P4" i="1"/>
  <c r="P12" i="1"/>
  <c r="P3" i="1"/>
  <c r="P10" i="1"/>
  <c r="P2" i="1"/>
  <c r="P8" i="1"/>
  <c r="P7" i="1"/>
  <c r="P5" i="1"/>
  <c r="P11" i="1"/>
  <c r="P3" i="4"/>
  <c r="P5" i="4"/>
  <c r="P4" i="4"/>
  <c r="S2" i="4"/>
  <c r="P9" i="1"/>
  <c r="P15" i="1"/>
  <c r="P14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 s="1"/>
  <c r="G13" i="13" s="1"/>
  <c r="D13" i="13"/>
  <c r="D12" i="13"/>
  <c r="D11" i="13"/>
  <c r="D10" i="13"/>
  <c r="D9" i="13"/>
  <c r="D8" i="13"/>
  <c r="D7" i="13"/>
  <c r="D6" i="13"/>
  <c r="D5" i="13"/>
  <c r="D4" i="13"/>
  <c r="D3" i="13"/>
  <c r="D2" i="13"/>
  <c r="R2" i="10"/>
  <c r="R3" i="10"/>
  <c r="C3" i="10"/>
  <c r="D3" i="10"/>
  <c r="H3" i="10"/>
  <c r="N3" i="10"/>
  <c r="O3" i="10"/>
  <c r="O2" i="10"/>
  <c r="N2" i="10"/>
  <c r="H2" i="10"/>
  <c r="D2" i="10"/>
  <c r="C2" i="10"/>
  <c r="B1" i="8"/>
  <c r="P2" i="10" l="1"/>
  <c r="F3" i="13"/>
  <c r="G3" i="13" s="1"/>
  <c r="D14" i="13"/>
  <c r="F10" i="13"/>
  <c r="G10" i="13" s="1"/>
  <c r="F9" i="13"/>
  <c r="G9" i="13" s="1"/>
  <c r="F6" i="13"/>
  <c r="G6" i="13" s="1"/>
  <c r="S3" i="10"/>
  <c r="S4" i="10"/>
  <c r="F12" i="13"/>
  <c r="G12" i="13" s="1"/>
  <c r="F7" i="13"/>
  <c r="G7" i="13" s="1"/>
  <c r="F5" i="13"/>
  <c r="G5" i="13" s="1"/>
  <c r="F11" i="13"/>
  <c r="G11" i="13" s="1"/>
  <c r="F4" i="13"/>
  <c r="G4" i="13" s="1"/>
  <c r="F2" i="13"/>
  <c r="G2" i="13" s="1"/>
  <c r="F8" i="13"/>
  <c r="G8" i="13" s="1"/>
  <c r="P3" i="10"/>
  <c r="S2" i="10"/>
</calcChain>
</file>

<file path=xl/sharedStrings.xml><?xml version="1.0" encoding="utf-8"?>
<sst xmlns="http://schemas.openxmlformats.org/spreadsheetml/2006/main" count="1599" uniqueCount="564">
  <si>
    <t>거래일자</t>
    <phoneticPr fontId="7" type="noConversion"/>
  </si>
  <si>
    <t>종목명</t>
    <phoneticPr fontId="7" type="noConversion"/>
  </si>
  <si>
    <t>한투</t>
    <phoneticPr fontId="7" type="noConversion"/>
  </si>
  <si>
    <t>신협</t>
    <phoneticPr fontId="7" type="noConversion"/>
  </si>
  <si>
    <t>해외투자</t>
    <phoneticPr fontId="7" type="noConversion"/>
  </si>
  <si>
    <t>외화자산</t>
    <phoneticPr fontId="7" type="noConversion"/>
  </si>
  <si>
    <t>계좌</t>
    <phoneticPr fontId="7" type="noConversion"/>
  </si>
  <si>
    <t>나무</t>
    <phoneticPr fontId="7" type="noConversion"/>
  </si>
  <si>
    <t>한증금</t>
    <phoneticPr fontId="7" type="noConversion"/>
  </si>
  <si>
    <t>국내주식</t>
    <phoneticPr fontId="7" type="noConversion"/>
  </si>
  <si>
    <t>롯데케미칼</t>
    <phoneticPr fontId="7" type="noConversion"/>
  </si>
  <si>
    <t>불리오</t>
    <phoneticPr fontId="7" type="noConversion"/>
  </si>
  <si>
    <t>상품</t>
    <phoneticPr fontId="7" type="noConversion"/>
  </si>
  <si>
    <t>외환</t>
    <phoneticPr fontId="7" type="noConversion"/>
  </si>
  <si>
    <t>해외주식</t>
    <phoneticPr fontId="7" type="noConversion"/>
  </si>
  <si>
    <t>해외채권</t>
    <phoneticPr fontId="7" type="noConversion"/>
  </si>
  <si>
    <t>통화</t>
    <phoneticPr fontId="7" type="noConversion"/>
  </si>
  <si>
    <t>원화</t>
    <phoneticPr fontId="7" type="noConversion"/>
  </si>
  <si>
    <t>달러</t>
    <phoneticPr fontId="7" type="noConversion"/>
  </si>
  <si>
    <t>자산군</t>
    <phoneticPr fontId="7" type="noConversion"/>
  </si>
  <si>
    <t>세부자산군</t>
    <phoneticPr fontId="7" type="noConversion"/>
  </si>
  <si>
    <t>현금성</t>
    <phoneticPr fontId="7" type="noConversion"/>
  </si>
  <si>
    <t>단기자금</t>
    <phoneticPr fontId="7" type="noConversion"/>
  </si>
  <si>
    <t>채권</t>
    <phoneticPr fontId="7" type="noConversion"/>
  </si>
  <si>
    <t>주식</t>
    <phoneticPr fontId="7" type="noConversion"/>
  </si>
  <si>
    <t>대체자산</t>
    <phoneticPr fontId="7" type="noConversion"/>
  </si>
  <si>
    <t>상품명</t>
    <phoneticPr fontId="7" type="noConversion"/>
  </si>
  <si>
    <t>매입비용</t>
    <phoneticPr fontId="7" type="noConversion"/>
  </si>
  <si>
    <t>순수익</t>
    <phoneticPr fontId="7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</si>
  <si>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</si>
  <si>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</si>
  <si>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</si>
  <si>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</si>
  <si>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</si>
  <si>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</si>
  <si>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</si>
  <si>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</si>
  <si>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</si>
  <si>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</si>
  <si>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</si>
  <si>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</si>
  <si>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</si>
  <si>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</si>
  <si>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</si>
  <si>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</si>
  <si>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</si>
  <si>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7" type="noConversion"/>
  </si>
  <si>
    <t>한국투자증권 CMA</t>
    <phoneticPr fontId="7" type="noConversion"/>
  </si>
  <si>
    <t>나무증권 발행어음</t>
    <phoneticPr fontId="7" type="noConversion"/>
  </si>
  <si>
    <t>신협 정기예금 6개월</t>
    <phoneticPr fontId="7" type="noConversion"/>
  </si>
  <si>
    <t>신협 정기예금 1년</t>
    <phoneticPr fontId="7" type="noConversion"/>
  </si>
  <si>
    <t>우리사주 롯데케미칼</t>
    <phoneticPr fontId="7" type="noConversion"/>
  </si>
  <si>
    <t>한국투자증권 불리오계좌 달러예수금</t>
    <phoneticPr fontId="7" type="noConversion"/>
  </si>
  <si>
    <t>매도원금</t>
    <phoneticPr fontId="7" type="noConversion"/>
  </si>
  <si>
    <t>현금수입</t>
    <phoneticPr fontId="7" type="noConversion"/>
  </si>
  <si>
    <t>현금지출</t>
    <phoneticPr fontId="7" type="noConversion"/>
  </si>
  <si>
    <t>매입액</t>
    <phoneticPr fontId="7" type="noConversion"/>
  </si>
  <si>
    <t>매도액</t>
    <phoneticPr fontId="7" type="noConversion"/>
  </si>
  <si>
    <t>이자배당액</t>
    <phoneticPr fontId="7" type="noConversion"/>
  </si>
  <si>
    <t>매도비용</t>
    <phoneticPr fontId="7" type="noConversion"/>
  </si>
  <si>
    <t>매매수익</t>
    <phoneticPr fontId="7" type="noConversion"/>
  </si>
  <si>
    <t>순현금수입</t>
    <phoneticPr fontId="7" type="noConversion"/>
  </si>
  <si>
    <t>누적</t>
    <phoneticPr fontId="7" type="noConversion"/>
  </si>
  <si>
    <t>한국투자증권 직접투자계좌 달러예수금</t>
    <phoneticPr fontId="7" type="noConversion"/>
  </si>
  <si>
    <t>한국투자증권 직접투자계좌 외화RP</t>
    <phoneticPr fontId="7" type="noConversion"/>
  </si>
  <si>
    <t>입출금</t>
    <phoneticPr fontId="7" type="noConversion"/>
  </si>
  <si>
    <t>달러자산</t>
    <phoneticPr fontId="7" type="noConversion"/>
  </si>
  <si>
    <t>달러자산 원화평가</t>
    <phoneticPr fontId="7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</si>
  <si>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</si>
  <si>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</si>
  <si>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</si>
  <si>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</si>
  <si>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</si>
  <si>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</si>
  <si>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</si>
  <si>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</si>
  <si>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</si>
  <si>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</si>
  <si>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</si>
  <si>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</si>
  <si>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</si>
  <si>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</si>
  <si>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</si>
  <si>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</si>
  <si>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</si>
  <si>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</si>
  <si>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</si>
  <si>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</si>
  <si>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</si>
  <si>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</si>
  <si>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</si>
  <si>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</si>
  <si>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</si>
  <si>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</si>
  <si>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</si>
  <si>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</si>
  <si>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</si>
  <si>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</si>
  <si>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</si>
  <si>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</si>
  <si>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</si>
  <si>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</si>
  <si>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</si>
  <si>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</si>
  <si>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</si>
  <si>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</si>
  <si>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</si>
  <si>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</si>
  <si>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</si>
  <si>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</si>
  <si>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</si>
  <si>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</si>
  <si>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</si>
  <si>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</si>
  <si>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</si>
  <si>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</si>
  <si>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</si>
  <si>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</si>
  <si>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</si>
  <si>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</si>
  <si>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</si>
  <si>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</si>
  <si>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</si>
  <si>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</si>
  <si>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</si>
  <si>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</si>
  <si>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</si>
  <si>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</si>
  <si>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</si>
  <si>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</si>
  <si>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</si>
  <si>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</si>
  <si>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</si>
  <si>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</si>
  <si>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</si>
  <si>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</si>
  <si>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</si>
  <si>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</si>
  <si>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</si>
  <si>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</si>
  <si>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</si>
  <si>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</si>
  <si>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</si>
  <si>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</si>
  <si>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</si>
  <si>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</si>
  <si>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</si>
  <si>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</si>
  <si>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</si>
  <si>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</si>
  <si>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</si>
  <si>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</si>
  <si>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</si>
  <si>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</si>
  <si>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</si>
  <si>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</si>
  <si>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</si>
  <si>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</si>
  <si>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</si>
  <si>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</si>
  <si>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7" type="noConversion"/>
  </si>
  <si>
    <t>메리츠캐피탈235-1</t>
    <phoneticPr fontId="7" type="noConversion"/>
  </si>
  <si>
    <t>(약정)한투원화발행어음</t>
    <phoneticPr fontId="7" type="noConversion"/>
  </si>
  <si>
    <t>(약정)한투외화발행어음</t>
    <phoneticPr fontId="7" type="noConversion"/>
  </si>
  <si>
    <t>(수시)한투외화발행어음</t>
    <phoneticPr fontId="7" type="noConversion"/>
  </si>
  <si>
    <t>(수시)한투원화발행어음</t>
    <phoneticPr fontId="7" type="noConversion"/>
  </si>
  <si>
    <t>한국투자증권 직접투자계좌 외화발행어음(약정)</t>
    <phoneticPr fontId="7" type="noConversion"/>
  </si>
  <si>
    <t>한국투자증권 직접투자계좌 외화발행어음(수시)</t>
    <phoneticPr fontId="7" type="noConversion"/>
  </si>
  <si>
    <t>한국투자증권 직접투자계좌 원화발행어음(수시)</t>
    <phoneticPr fontId="7" type="noConversion"/>
  </si>
  <si>
    <t>한국투자증권 직접투자계좌 원화발행어음(약정)</t>
    <phoneticPr fontId="7" type="noConversion"/>
  </si>
  <si>
    <t>세부자산군2</t>
    <phoneticPr fontId="7" type="noConversion"/>
  </si>
  <si>
    <t>선진국</t>
    <phoneticPr fontId="7" type="noConversion"/>
  </si>
  <si>
    <t>신흥국</t>
    <phoneticPr fontId="7" type="noConversion"/>
  </si>
  <si>
    <t>하이일드</t>
    <phoneticPr fontId="7" type="noConversion"/>
  </si>
  <si>
    <t>물가연동</t>
    <phoneticPr fontId="7" type="noConversion"/>
  </si>
  <si>
    <t>원자재</t>
    <phoneticPr fontId="7" type="noConversion"/>
  </si>
  <si>
    <t>에너지</t>
    <phoneticPr fontId="7" type="noConversion"/>
  </si>
  <si>
    <t>현금</t>
    <phoneticPr fontId="7" type="noConversion"/>
  </si>
  <si>
    <t>한투예수금</t>
    <phoneticPr fontId="7" type="noConversion"/>
  </si>
  <si>
    <t>나무예수금</t>
    <phoneticPr fontId="7" type="noConversion"/>
  </si>
  <si>
    <t>나무증권 원화예수금</t>
    <phoneticPr fontId="7" type="noConversion"/>
  </si>
  <si>
    <t>엔화자산</t>
    <phoneticPr fontId="7" type="noConversion"/>
  </si>
  <si>
    <t>엔화자산 원화평가</t>
    <phoneticPr fontId="7" type="noConversion"/>
  </si>
  <si>
    <t>엔화</t>
    <phoneticPr fontId="7" type="noConversion"/>
  </si>
  <si>
    <t>직접운용엔</t>
    <phoneticPr fontId="7" type="noConversion"/>
  </si>
  <si>
    <t>MYWN_KOIN</t>
    <phoneticPr fontId="7" type="noConversion"/>
  </si>
  <si>
    <t>한국투자증권 직접투자계화 엔화예수금</t>
    <phoneticPr fontId="7" type="noConversion"/>
  </si>
  <si>
    <t>일본리츠</t>
    <phoneticPr fontId="7" type="noConversion"/>
  </si>
  <si>
    <t>ISHARES JAPAN REIT ETF</t>
    <phoneticPr fontId="7" type="noConversion"/>
  </si>
  <si>
    <t>부동산</t>
    <phoneticPr fontId="7" type="noConversion"/>
  </si>
  <si>
    <t>외화입출금</t>
    <phoneticPr fontId="7" type="noConversion"/>
  </si>
  <si>
    <t>CASH_KOIN1</t>
    <phoneticPr fontId="7" type="noConversion"/>
  </si>
  <si>
    <t>한투CMA예수금</t>
    <phoneticPr fontId="7" type="noConversion"/>
  </si>
  <si>
    <t>한투ISA예수금</t>
    <phoneticPr fontId="7" type="noConversion"/>
  </si>
  <si>
    <t>한국투자증권 직접투자 원화예수금</t>
    <phoneticPr fontId="7" type="noConversion"/>
  </si>
  <si>
    <t>한국투자증권 CMA 원화예수금</t>
    <phoneticPr fontId="7" type="noConversion"/>
  </si>
  <si>
    <t>한국투자증권 ISA 원화예수금</t>
    <phoneticPr fontId="7" type="noConversion"/>
  </si>
  <si>
    <t>한투CMA</t>
    <phoneticPr fontId="7" type="noConversion"/>
  </si>
  <si>
    <t>한투ISA</t>
    <phoneticPr fontId="7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</si>
  <si>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</si>
  <si>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</si>
  <si>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</si>
  <si>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</si>
  <si>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</si>
  <si>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</si>
  <si>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</si>
  <si>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</si>
  <si>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</si>
  <si>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</si>
  <si>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</si>
  <si>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</si>
  <si>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</si>
  <si>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</si>
  <si>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>5월</t>
    <phoneticPr fontId="7" type="noConversion"/>
  </si>
  <si>
    <t>6월</t>
  </si>
  <si>
    <t>7월</t>
  </si>
  <si>
    <t>8월</t>
  </si>
  <si>
    <t>9월</t>
  </si>
  <si>
    <t>10월</t>
  </si>
  <si>
    <t>11월</t>
  </si>
  <si>
    <t>12월</t>
    <phoneticPr fontId="7" type="noConversion"/>
  </si>
  <si>
    <t>급여</t>
    <phoneticPr fontId="7" type="noConversion"/>
  </si>
  <si>
    <t>지출</t>
    <phoneticPr fontId="7" type="noConversion"/>
  </si>
  <si>
    <t>순수입</t>
    <phoneticPr fontId="7" type="noConversion"/>
  </si>
  <si>
    <t>합계</t>
    <phoneticPr fontId="7" type="noConversion"/>
  </si>
  <si>
    <t>비중</t>
    <phoneticPr fontId="7" type="noConversion"/>
  </si>
  <si>
    <t>예상순수입분배</t>
    <phoneticPr fontId="7" type="noConversion"/>
  </si>
  <si>
    <t>1476</t>
  </si>
  <si>
    <t>원화투자지출</t>
    <phoneticPr fontId="7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</si>
  <si>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</si>
  <si>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</si>
  <si>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</si>
  <si>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</si>
  <si>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</si>
  <si>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</si>
  <si>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</si>
  <si>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</si>
  <si>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</si>
  <si>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</si>
  <si>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</si>
  <si>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</si>
  <si>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</si>
  <si>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</si>
  <si>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</si>
  <si>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</si>
  <si>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</si>
  <si>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</si>
  <si>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</si>
  <si>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</si>
  <si>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</si>
  <si>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</si>
  <si>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</si>
  <si>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</si>
  <si>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</si>
  <si>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</si>
  <si>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</si>
  <si>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</si>
  <si>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</si>
  <si>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</si>
  <si>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</si>
  <si>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</si>
  <si>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</si>
  <si>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</si>
  <si>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</si>
  <si>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</si>
  <si>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</si>
  <si>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</si>
  <si>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</si>
  <si>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</si>
  <si>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</si>
  <si>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</si>
  <si>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</si>
  <si>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</si>
  <si>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</si>
  <si>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</si>
  <si>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</si>
  <si>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</si>
  <si>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</si>
  <si>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</si>
  <si>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</si>
  <si>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</si>
  <si>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</si>
  <si>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</si>
  <si>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</si>
  <si>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</si>
  <si>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</si>
  <si>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</si>
  <si>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</si>
  <si>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</si>
  <si>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</si>
  <si>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</si>
  <si>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</si>
  <si>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</si>
  <si>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</si>
  <si>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</si>
  <si>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</si>
  <si>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</si>
  <si>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</si>
  <si>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</si>
  <si>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</si>
  <si>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</si>
  <si>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</si>
  <si>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</si>
  <si>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</si>
  <si>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</si>
  <si>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</si>
  <si>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</si>
  <si>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</si>
  <si>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</si>
  <si>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</si>
  <si>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7" type="noConversion"/>
  </si>
  <si>
    <t>평가금액</t>
    <phoneticPr fontId="7" type="noConversion"/>
  </si>
  <si>
    <t>코스피 TR</t>
    <phoneticPr fontId="7" type="noConversion"/>
  </si>
  <si>
    <t>KODEX 코스피 TR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</si>
  <si>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</si>
  <si>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</si>
  <si>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</si>
  <si>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국내주식</t>
    <phoneticPr fontId="7" type="noConversion"/>
  </si>
  <si>
    <t>종목코드</t>
    <phoneticPr fontId="7" type="noConversion"/>
  </si>
  <si>
    <t>종목명</t>
    <phoneticPr fontId="7" type="noConversion"/>
  </si>
  <si>
    <t>상품명</t>
    <phoneticPr fontId="7" type="noConversion"/>
  </si>
  <si>
    <t>계좌</t>
    <phoneticPr fontId="7" type="noConversion"/>
  </si>
  <si>
    <t>자산군</t>
    <phoneticPr fontId="7" type="noConversion"/>
  </si>
  <si>
    <t>세부자산군</t>
    <phoneticPr fontId="7" type="noConversion"/>
  </si>
  <si>
    <t>CASH_NHB</t>
    <phoneticPr fontId="7" type="noConversion"/>
  </si>
  <si>
    <t>농협현금성자산</t>
    <phoneticPr fontId="7" type="noConversion"/>
  </si>
  <si>
    <t>농협IRP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</si>
  <si>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</si>
  <si>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</si>
  <si>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</si>
  <si>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신한정기예금1Y</t>
    <phoneticPr fontId="7" type="noConversion"/>
  </si>
  <si>
    <t>다올정기예금1Y</t>
    <phoneticPr fontId="7" type="noConversion"/>
  </si>
  <si>
    <t>D1Y_SHB</t>
    <phoneticPr fontId="7" type="noConversion"/>
  </si>
  <si>
    <t>D1Y_DOB</t>
    <phoneticPr fontId="7" type="noConversion"/>
  </si>
  <si>
    <t>KODEX 코스피</t>
    <phoneticPr fontId="7" type="noConversion"/>
  </si>
  <si>
    <t>주식</t>
    <phoneticPr fontId="7" type="noConversion"/>
  </si>
  <si>
    <t>국내주식</t>
    <phoneticPr fontId="7" type="noConversion"/>
  </si>
  <si>
    <t>평가금액</t>
    <phoneticPr fontId="7" type="noConversion"/>
  </si>
  <si>
    <t>삼성화재 금리연동형</t>
    <phoneticPr fontId="7" type="noConversion"/>
  </si>
  <si>
    <t>삼성화재 이율보증형 1Y</t>
    <phoneticPr fontId="7" type="noConversion"/>
  </si>
  <si>
    <t>삼성퇴직연금Active채권종합증권자투자신탁 제1호(채권)_Ce</t>
    <phoneticPr fontId="7" type="noConversion"/>
  </si>
  <si>
    <t>미래에셋퇴직플랜KRX100인덱스안정형40증권자투자신탁1호(채권혼합)_C-P2e</t>
    <phoneticPr fontId="7" type="noConversion"/>
  </si>
  <si>
    <t>신영퇴직연금배당40증권자투자신탁(채권혼합)_C-E</t>
    <phoneticPr fontId="7" type="noConversion"/>
  </si>
  <si>
    <t>신영퇴직연금배당주식증권자투자신탁(주식)_C-E</t>
    <phoneticPr fontId="7" type="noConversion"/>
  </si>
  <si>
    <t>한국투자TDF알아서2045증권투자신탁(주식혼합-재간접형)_C-Re</t>
    <phoneticPr fontId="7" type="noConversion"/>
  </si>
  <si>
    <t>KB미국대표성장주증권자투자신탁(주식)(H)C-퇴직e</t>
    <phoneticPr fontId="7" type="noConversion"/>
  </si>
  <si>
    <t>삼성미국인덱스증권자투자신탁H(주식)_Cpe(퇴직연금)</t>
    <phoneticPr fontId="7" type="noConversion"/>
  </si>
  <si>
    <t>삼성DC</t>
    <phoneticPr fontId="7" type="noConversion"/>
  </si>
  <si>
    <t>삼성화재신탁 대기자금</t>
    <phoneticPr fontId="7" type="noConversion"/>
  </si>
  <si>
    <t>삼성퇴직연금인덱스증권투자신탁제1호(주식)_Ce</t>
    <phoneticPr fontId="7" type="noConversion"/>
  </si>
  <si>
    <t>주식</t>
    <phoneticPr fontId="7" type="noConversion"/>
  </si>
  <si>
    <t>국내주식</t>
    <phoneticPr fontId="7" type="noConversion"/>
  </si>
  <si>
    <t>혼합</t>
    <phoneticPr fontId="7" type="noConversion"/>
  </si>
  <si>
    <t>혼합</t>
    <phoneticPr fontId="7" type="noConversion"/>
  </si>
  <si>
    <t>주식</t>
    <phoneticPr fontId="7" type="noConversion"/>
  </si>
  <si>
    <t>해외주식</t>
    <phoneticPr fontId="7" type="noConversion"/>
  </si>
  <si>
    <t>FUND1</t>
  </si>
  <si>
    <t>FUND1</t>
    <phoneticPr fontId="7" type="noConversion"/>
  </si>
  <si>
    <t>FUND2</t>
  </si>
  <si>
    <t>FUND2</t>
    <phoneticPr fontId="7" type="noConversion"/>
  </si>
  <si>
    <t>FUND3</t>
  </si>
  <si>
    <t>FUND3</t>
    <phoneticPr fontId="7" type="noConversion"/>
  </si>
  <si>
    <t>FUND4</t>
  </si>
  <si>
    <t>FUND5</t>
  </si>
  <si>
    <t>FUND6</t>
  </si>
  <si>
    <t>FUND7</t>
  </si>
  <si>
    <t>FUND8</t>
  </si>
  <si>
    <t>CASH_SHI</t>
  </si>
  <si>
    <t>CASH_SHI</t>
    <phoneticPr fontId="7" type="noConversion"/>
  </si>
  <si>
    <t>DF_SHI</t>
  </si>
  <si>
    <t>DF_SHI</t>
    <phoneticPr fontId="7" type="noConversion"/>
  </si>
  <si>
    <t>D1Y_SHI</t>
  </si>
  <si>
    <t>D1Y_SHI</t>
    <phoneticPr fontId="7" type="noConversion"/>
  </si>
  <si>
    <t>삼성정기예금1년</t>
    <phoneticPr fontId="7" type="noConversion"/>
  </si>
  <si>
    <t>삼성변동예금</t>
    <phoneticPr fontId="7" type="noConversion"/>
  </si>
  <si>
    <t>삼성주가지수펀드</t>
    <phoneticPr fontId="7" type="noConversion"/>
  </si>
  <si>
    <t>삼성채권혼합펀드</t>
    <phoneticPr fontId="7" type="noConversion"/>
  </si>
  <si>
    <t>미래채권혼합펀드</t>
    <phoneticPr fontId="7" type="noConversion"/>
  </si>
  <si>
    <t>신영채권혼합펀드</t>
    <phoneticPr fontId="7" type="noConversion"/>
  </si>
  <si>
    <t>신영주식혼합펀드</t>
    <phoneticPr fontId="7" type="noConversion"/>
  </si>
  <si>
    <t>한투TDF</t>
    <phoneticPr fontId="7" type="noConversion"/>
  </si>
  <si>
    <t>KB미국성장주펀드</t>
    <phoneticPr fontId="7" type="noConversion"/>
  </si>
  <si>
    <t>삼성미국주가지수펀드</t>
    <phoneticPr fontId="7" type="noConversion"/>
  </si>
  <si>
    <t>삼성현금</t>
    <phoneticPr fontId="7" type="noConversion"/>
  </si>
  <si>
    <t>농협현금</t>
    <phoneticPr fontId="7" type="noConversion"/>
  </si>
  <si>
    <t>CASH_NHB</t>
  </si>
  <si>
    <t>D1Y_SHB</t>
  </si>
  <si>
    <t>D1Y_DOB</t>
  </si>
  <si>
    <t>다올</t>
    <phoneticPr fontId="7" type="noConversion"/>
  </si>
  <si>
    <t>가입일</t>
    <phoneticPr fontId="7" type="noConversion"/>
  </si>
  <si>
    <t>만기일</t>
    <phoneticPr fontId="7" type="noConversion"/>
  </si>
  <si>
    <t>원금</t>
    <phoneticPr fontId="7" type="noConversion"/>
  </si>
  <si>
    <t>평가금</t>
    <phoneticPr fontId="7" type="noConversion"/>
  </si>
  <si>
    <t>거래일자</t>
    <phoneticPr fontId="7" type="noConversion"/>
  </si>
  <si>
    <t>종목명</t>
    <phoneticPr fontId="7" type="noConversion"/>
  </si>
  <si>
    <t>매입비용</t>
    <phoneticPr fontId="7" type="noConversion"/>
  </si>
  <si>
    <t>매도액</t>
    <phoneticPr fontId="7" type="noConversion"/>
  </si>
  <si>
    <t>이자배당액</t>
    <phoneticPr fontId="7" type="noConversion"/>
  </si>
  <si>
    <t>현금수입</t>
    <phoneticPr fontId="7" type="noConversion"/>
  </si>
  <si>
    <t>매매수익</t>
    <phoneticPr fontId="7" type="noConversion"/>
  </si>
  <si>
    <t>매도비용</t>
    <phoneticPr fontId="7" type="noConversion"/>
  </si>
  <si>
    <t>순수익</t>
    <phoneticPr fontId="7" type="noConversion"/>
  </si>
  <si>
    <t>입출금</t>
    <phoneticPr fontId="7" type="noConversion"/>
  </si>
  <si>
    <t>누적</t>
    <phoneticPr fontId="7" type="noConversion"/>
  </si>
  <si>
    <t>매입일</t>
    <phoneticPr fontId="7" type="noConversion"/>
  </si>
  <si>
    <t>만기일</t>
    <phoneticPr fontId="7" type="noConversion"/>
  </si>
  <si>
    <t>매입금액</t>
    <phoneticPr fontId="7" type="noConversion"/>
  </si>
  <si>
    <t>예금1년</t>
    <phoneticPr fontId="7" type="noConversion"/>
  </si>
  <si>
    <t>금리연동형</t>
    <phoneticPr fontId="7" type="noConversion"/>
  </si>
  <si>
    <t>엔투저축연금</t>
    <phoneticPr fontId="7" type="noConversion"/>
  </si>
  <si>
    <t>현금성</t>
    <phoneticPr fontId="7" type="noConversion"/>
  </si>
  <si>
    <t>원화</t>
    <phoneticPr fontId="7" type="noConversion"/>
  </si>
  <si>
    <t>CASH_NHI</t>
    <phoneticPr fontId="7" type="noConversion"/>
  </si>
  <si>
    <t>엔투현금</t>
    <phoneticPr fontId="7" type="noConversion"/>
  </si>
  <si>
    <t>NH투자증권 예수금</t>
    <phoneticPr fontId="7" type="noConversion"/>
  </si>
  <si>
    <t>통화</t>
    <phoneticPr fontId="7" type="noConversion"/>
  </si>
  <si>
    <t>원화</t>
    <phoneticPr fontId="7" type="noConversion"/>
  </si>
  <si>
    <t>원화</t>
    <phoneticPr fontId="7" type="noConversion"/>
  </si>
  <si>
    <t>원화</t>
    <phoneticPr fontId="7" type="noConversion"/>
  </si>
  <si>
    <t>기초평가손익</t>
    <phoneticPr fontId="7" type="noConversion"/>
  </si>
  <si>
    <t>세부자산군2</t>
    <phoneticPr fontId="7" type="noConversion"/>
  </si>
  <si>
    <t>2084</t>
  </si>
  <si>
    <t>2084</t>
    <phoneticPr fontId="7" type="noConversion"/>
  </si>
  <si>
    <t>일본배당주</t>
    <phoneticPr fontId="7" type="noConversion"/>
  </si>
  <si>
    <t>NEXT FUNDS JAPAN HIGH DIVIDEND EQUITY ACTIVE EXCHANGE TRADED</t>
    <phoneticPr fontId="7" type="noConversion"/>
  </si>
  <si>
    <t>한투</t>
    <phoneticPr fontId="7" type="noConversion"/>
  </si>
  <si>
    <t>엔화</t>
    <phoneticPr fontId="7" type="noConversion"/>
  </si>
  <si>
    <t>주식</t>
    <phoneticPr fontId="7" type="noConversion"/>
  </si>
  <si>
    <t>해외주식</t>
    <phoneticPr fontId="7" type="noConversion"/>
  </si>
  <si>
    <t>359210</t>
  </si>
  <si>
    <t>KBSTAR 미국단기투자등급회사채액티비</t>
    <phoneticPr fontId="7" type="noConversion"/>
  </si>
  <si>
    <t>미국단기회사채</t>
    <phoneticPr fontId="7" type="noConversion"/>
  </si>
  <si>
    <t>글로벌AI주식</t>
    <phoneticPr fontId="7" type="noConversion"/>
  </si>
  <si>
    <t>TIMEFOLIO 글로벌AI인공지능액티브</t>
    <phoneticPr fontId="7" type="noConversion"/>
  </si>
  <si>
    <t>미국배당주</t>
    <phoneticPr fontId="7" type="noConversion"/>
  </si>
  <si>
    <t>TIGER 미국배당다우존스</t>
    <phoneticPr fontId="7" type="noConversion"/>
  </si>
  <si>
    <t>437350</t>
  </si>
  <si>
    <t>456600</t>
  </si>
  <si>
    <t>458730</t>
  </si>
  <si>
    <t>EWH</t>
    <phoneticPr fontId="7" type="noConversion"/>
  </si>
  <si>
    <t>EWZ</t>
    <phoneticPr fontId="7" type="noConversion"/>
  </si>
  <si>
    <t>FXI</t>
    <phoneticPr fontId="7" type="noConversion"/>
  </si>
  <si>
    <t>SCHE</t>
    <phoneticPr fontId="7" type="noConversion"/>
  </si>
  <si>
    <t>SPHY</t>
    <phoneticPr fontId="7" type="noConversion"/>
  </si>
  <si>
    <t>EWW</t>
    <phoneticPr fontId="7" type="noConversion"/>
  </si>
  <si>
    <t>SPTL</t>
    <phoneticPr fontId="7" type="noConversion"/>
  </si>
  <si>
    <t>EWC</t>
    <phoneticPr fontId="7" type="noConversion"/>
  </si>
  <si>
    <t>EZU</t>
    <phoneticPr fontId="7" type="noConversion"/>
  </si>
  <si>
    <t>PAVE</t>
    <phoneticPr fontId="7" type="noConversion"/>
  </si>
  <si>
    <t>VNQ</t>
    <phoneticPr fontId="7" type="noConversion"/>
  </si>
  <si>
    <t>미국부동산</t>
    <phoneticPr fontId="7" type="noConversion"/>
  </si>
  <si>
    <t>VANGUARD REAL ESTATE ETF</t>
    <phoneticPr fontId="7" type="noConversion"/>
  </si>
  <si>
    <t>한투</t>
    <phoneticPr fontId="7" type="noConversion"/>
  </si>
  <si>
    <t>대체자산</t>
    <phoneticPr fontId="7" type="noConversion"/>
  </si>
  <si>
    <t>부동산</t>
    <phoneticPr fontId="7" type="noConversion"/>
  </si>
  <si>
    <t>GLOBAL X US INFRASTRUCTURE DEVELOPMENT ETF</t>
    <phoneticPr fontId="7" type="noConversion"/>
  </si>
  <si>
    <t>인프라</t>
    <phoneticPr fontId="7" type="noConversion"/>
  </si>
  <si>
    <t>미국인프라</t>
    <phoneticPr fontId="7" type="noConversion"/>
  </si>
  <si>
    <t>US91282CCG4</t>
    <phoneticPr fontId="7" type="noConversion"/>
  </si>
  <si>
    <t>MYDO_KOIN</t>
    <phoneticPr fontId="7" type="noConversion"/>
  </si>
  <si>
    <t>153130</t>
    <phoneticPr fontId="7" type="noConversion"/>
  </si>
  <si>
    <t>437080</t>
    <phoneticPr fontId="7" type="noConversion"/>
  </si>
  <si>
    <t>411060</t>
    <phoneticPr fontId="7" type="noConversion"/>
  </si>
  <si>
    <t>329200</t>
    <phoneticPr fontId="7" type="noConversion"/>
  </si>
  <si>
    <t>182480</t>
    <phoneticPr fontId="7" type="noConversion"/>
  </si>
  <si>
    <t>310960</t>
    <phoneticPr fontId="7" type="noConversion"/>
  </si>
  <si>
    <t>455850</t>
    <phoneticPr fontId="7" type="noConversion"/>
  </si>
  <si>
    <t>437350</t>
    <phoneticPr fontId="7" type="noConversion"/>
  </si>
  <si>
    <t>456600</t>
    <phoneticPr fontId="7" type="noConversion"/>
  </si>
  <si>
    <t>458730</t>
    <phoneticPr fontId="7" type="noConversion"/>
  </si>
  <si>
    <t>KODEX 단기채권</t>
    <phoneticPr fontId="7" type="noConversion"/>
  </si>
  <si>
    <t>KODEX 미국종합채권ESG액티브(H)</t>
    <phoneticPr fontId="7" type="noConversion"/>
  </si>
  <si>
    <t>ACE KRX 금현물</t>
    <phoneticPr fontId="7" type="noConversion"/>
  </si>
  <si>
    <t>TIGER 리츠부동산인프라</t>
    <phoneticPr fontId="7" type="noConversion"/>
  </si>
  <si>
    <t>SOL 반도체소부장루</t>
    <phoneticPr fontId="7" type="noConversion"/>
  </si>
  <si>
    <t>KBSTAR 미국단기투자등급회사채액티브</t>
    <phoneticPr fontId="7" type="noConversion"/>
  </si>
  <si>
    <t>KODEX 미국S&amp;P500(H)</t>
    <phoneticPr fontId="7" type="noConversion"/>
  </si>
  <si>
    <t>TIMEFOLIO 글로벌AI인공지능액티브</t>
    <phoneticPr fontId="7" type="noConversion"/>
  </si>
  <si>
    <t>TIGER 미국배당다우존스</t>
    <phoneticPr fontId="7" type="noConversion"/>
  </si>
  <si>
    <t>TIGER 200TR</t>
    <phoneticPr fontId="7" type="noConversion"/>
  </si>
  <si>
    <t>금</t>
    <phoneticPr fontId="7" type="noConversion"/>
  </si>
  <si>
    <t>리츠</t>
    <phoneticPr fontId="7" type="noConversion"/>
  </si>
  <si>
    <t>국내주식 반도체</t>
    <phoneticPr fontId="7" type="noConversion"/>
  </si>
  <si>
    <t>국내주식 대형주</t>
    <phoneticPr fontId="7" type="noConversion"/>
  </si>
  <si>
    <t>국내채권 단기</t>
    <phoneticPr fontId="7" type="noConversion"/>
  </si>
  <si>
    <t>미국채권 종합</t>
    <phoneticPr fontId="7" type="noConversion"/>
  </si>
  <si>
    <t>미국채권 투자등급</t>
    <phoneticPr fontId="7" type="noConversion"/>
  </si>
  <si>
    <t>미국주식 S&amp;P</t>
    <phoneticPr fontId="7" type="noConversion"/>
  </si>
  <si>
    <t>글로벌 인공지능</t>
    <phoneticPr fontId="7" type="noConversion"/>
  </si>
  <si>
    <t>미국배당주</t>
    <phoneticPr fontId="7" type="noConversion"/>
  </si>
  <si>
    <t>채권</t>
    <phoneticPr fontId="7" type="noConversion"/>
  </si>
  <si>
    <t>채권</t>
    <phoneticPr fontId="7" type="noConversion"/>
  </si>
  <si>
    <t>채권</t>
    <phoneticPr fontId="7" type="noConversion"/>
  </si>
  <si>
    <t>대체자산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</si>
  <si>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</si>
  <si>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</si>
  <si>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</si>
  <si>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</si>
  <si>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국내채권</t>
    <phoneticPr fontId="7" type="noConversion"/>
  </si>
  <si>
    <t>해외채권</t>
    <phoneticPr fontId="7" type="noConversion"/>
  </si>
  <si>
    <t>국내주식</t>
    <phoneticPr fontId="7" type="noConversion"/>
  </si>
  <si>
    <t>해외주식</t>
    <phoneticPr fontId="7" type="noConversion"/>
  </si>
  <si>
    <t>부동산</t>
    <phoneticPr fontId="7" type="noConversion"/>
  </si>
  <si>
    <t>상품</t>
    <phoneticPr fontId="7" type="noConversion"/>
  </si>
  <si>
    <t>CASH_NHI</t>
  </si>
  <si>
    <t>114260</t>
  </si>
  <si>
    <t>153130</t>
  </si>
  <si>
    <t>437080</t>
  </si>
  <si>
    <t>411060</t>
  </si>
  <si>
    <t>329200</t>
  </si>
  <si>
    <t>182480</t>
  </si>
  <si>
    <t>310960</t>
  </si>
  <si>
    <t>455850</t>
  </si>
  <si>
    <t>KODEX 코스피</t>
    <phoneticPr fontId="7" type="noConversion"/>
  </si>
  <si>
    <t>엔투저축연금</t>
    <phoneticPr fontId="7" type="noConversion"/>
  </si>
  <si>
    <t>114260</t>
    <phoneticPr fontId="7" type="noConversion"/>
  </si>
  <si>
    <t>국내채권 중기</t>
    <phoneticPr fontId="7" type="noConversion"/>
  </si>
  <si>
    <t>KODEX 국고채3년</t>
    <phoneticPr fontId="7" type="noConversion"/>
  </si>
  <si>
    <t>KR6068922B46</t>
    <phoneticPr fontId="7" type="noConversion"/>
  </si>
  <si>
    <t>한화239-2(녹)</t>
    <phoneticPr fontId="7" type="noConversion"/>
  </si>
  <si>
    <t>한투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</si>
  <si>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</si>
  <si>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</si>
  <si>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</si>
  <si>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인도주식</t>
    <phoneticPr fontId="7" type="noConversion"/>
  </si>
  <si>
    <t>TIGER 인도니프티50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</si>
  <si>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</si>
  <si>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</si>
  <si>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</si>
  <si>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해외주식</t>
    <phoneticPr fontId="7" type="noConversion"/>
  </si>
  <si>
    <t>잔액</t>
    <phoneticPr fontId="7" type="noConversion"/>
  </si>
  <si>
    <t>변동</t>
    <phoneticPr fontId="7" type="noConversion"/>
  </si>
  <si>
    <t>일자</t>
    <phoneticPr fontId="7" type="noConversion"/>
  </si>
  <si>
    <t>사유</t>
    <phoneticPr fontId="7" type="noConversion"/>
  </si>
  <si>
    <t>복지연금 적립</t>
    <phoneticPr fontId="7" type="noConversion"/>
  </si>
  <si>
    <t>코스피 ETF 매입</t>
    <phoneticPr fontId="7" type="noConversion"/>
  </si>
  <si>
    <t>미국배당다우존스 ETF 매입</t>
    <phoneticPr fontId="7" type="noConversion"/>
  </si>
  <si>
    <t>월말 결산</t>
    <phoneticPr fontId="7" type="noConversion"/>
  </si>
  <si>
    <t>신한예금 만기</t>
    <phoneticPr fontId="7" type="noConversion"/>
  </si>
  <si>
    <t>일본반도체 ETF 매입</t>
    <phoneticPr fontId="7" type="noConversion"/>
  </si>
  <si>
    <t>월말 결산</t>
    <phoneticPr fontId="7" type="noConversion"/>
  </si>
  <si>
    <t>미국배당ETF 배당금입금</t>
    <phoneticPr fontId="7" type="noConversion"/>
  </si>
  <si>
    <t>미국배당/코스피ETF 배당금입금</t>
    <phoneticPr fontId="7" type="noConversion"/>
  </si>
  <si>
    <t>신한예금 신규</t>
    <phoneticPr fontId="7" type="noConversion"/>
  </si>
  <si>
    <t>미래에셋 AI로보틱스</t>
    <phoneticPr fontId="7" type="noConversion"/>
  </si>
  <si>
    <t>신한예금 만기</t>
  </si>
  <si>
    <t>삼성주가지수펀드</t>
  </si>
  <si>
    <t>삼성채권혼합펀드</t>
  </si>
  <si>
    <t>미래채권혼합펀드</t>
  </si>
  <si>
    <t>신영채권혼합펀드</t>
  </si>
  <si>
    <t>신영주식혼합펀드</t>
  </si>
  <si>
    <t>한투TDF</t>
  </si>
  <si>
    <t>KB미국성장주펀드</t>
  </si>
  <si>
    <t>삼성미국주가지수펀드</t>
  </si>
  <si>
    <t>상품명</t>
    <phoneticPr fontId="7" type="noConversion"/>
  </si>
  <si>
    <t>예금1년</t>
    <phoneticPr fontId="7" type="noConversion"/>
  </si>
  <si>
    <t>매도</t>
    <phoneticPr fontId="7" type="noConversion"/>
  </si>
  <si>
    <t>매입</t>
    <phoneticPr fontId="7" type="noConversion"/>
  </si>
  <si>
    <t>금리연동</t>
    <phoneticPr fontId="7" type="noConversion"/>
  </si>
  <si>
    <t>한투AI반도체</t>
    <phoneticPr fontId="7" type="noConversion"/>
  </si>
  <si>
    <t>날짜</t>
    <phoneticPr fontId="7" type="noConversion"/>
  </si>
  <si>
    <t>적요</t>
    <phoneticPr fontId="7" type="noConversion"/>
  </si>
  <si>
    <t>교체매도</t>
    <phoneticPr fontId="7" type="noConversion"/>
  </si>
  <si>
    <t>교체매수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</si>
</sst>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  <numFmt numFmtId="179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/>
    <xf numFmtId="0" fontId="1" fillId="0" borderId="0"/>
    <xf numFmtId="41" fontId="6" fillId="0" borderId="0" applyFont="0" applyFill="0" applyBorder="0" applyAlignment="0" applyProtection="0">
      <alignment vertical="center"/>
    </xf>
    <xf numFmtId="0" fontId="1" fillId="0" borderId="0"/>
    <xf numFmtId="9" fontId="6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left" vertical="center"/>
    </xf>
    <xf numFmtId="0" fontId="9" fillId="2" borderId="3" xfId="1" applyNumberFormat="1" applyFont="1" applyFill="1" applyBorder="1" applyAlignment="1">
      <alignment horizontal="center" vertical="center"/>
    </xf>
    <xf numFmtId="41" fontId="9" fillId="2" borderId="3" xfId="1" applyNumberFormat="1" applyFont="1" applyFill="1" applyBorder="1" applyAlignment="1">
      <alignment horizontal="center" vertical="center"/>
    </xf>
    <xf numFmtId="41" fontId="9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5" fillId="2" borderId="3" xfId="1" applyFont="1" applyFill="1" applyBorder="1" applyAlignment="1">
      <alignment horizontal="center" vertical="center"/>
    </xf>
    <xf numFmtId="41" fontId="5" fillId="2" borderId="4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8" fillId="0" borderId="1" xfId="1" applyNumberFormat="1" applyFont="1" applyFill="1" applyBorder="1">
      <alignment vertical="center"/>
    </xf>
    <xf numFmtId="0" fontId="8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8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9" fillId="2" borderId="3" xfId="1" applyNumberFormat="1" applyFont="1" applyFill="1" applyBorder="1" applyAlignment="1">
      <alignment horizontal="center" vertical="center"/>
    </xf>
    <xf numFmtId="177" fontId="4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2" borderId="3" xfId="1" applyNumberFormat="1" applyFont="1" applyFill="1" applyBorder="1" applyAlignment="1">
      <alignment vertical="center"/>
    </xf>
    <xf numFmtId="0" fontId="9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9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3" fillId="0" borderId="0" xfId="2"/>
    <xf numFmtId="178" fontId="3" fillId="0" borderId="0" xfId="2" applyNumberFormat="1"/>
    <xf numFmtId="0" fontId="10" fillId="0" borderId="7" xfId="2" applyFont="1" applyBorder="1" applyAlignment="1">
      <alignment horizontal="center" vertical="top"/>
    </xf>
    <xf numFmtId="49" fontId="10" fillId="0" borderId="7" xfId="2" applyNumberFormat="1" applyFont="1" applyBorder="1" applyAlignment="1">
      <alignment horizontal="center" vertical="top"/>
    </xf>
    <xf numFmtId="49" fontId="3" fillId="0" borderId="0" xfId="2" applyNumberFormat="1"/>
    <xf numFmtId="0" fontId="8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Border="1">
      <alignment vertical="center"/>
    </xf>
    <xf numFmtId="177" fontId="9" fillId="2" borderId="3" xfId="1" applyNumberFormat="1" applyFont="1" applyFill="1" applyBorder="1" applyAlignment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left" vertical="center"/>
    </xf>
    <xf numFmtId="177" fontId="0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vertical="center"/>
    </xf>
    <xf numFmtId="0" fontId="0" fillId="3" borderId="5" xfId="0" applyFont="1" applyFill="1" applyBorder="1">
      <alignment vertical="center"/>
    </xf>
    <xf numFmtId="14" fontId="0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left" vertical="center"/>
    </xf>
    <xf numFmtId="177" fontId="0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vertical="center"/>
    </xf>
    <xf numFmtId="0" fontId="0" fillId="3" borderId="0" xfId="0" applyFont="1" applyFill="1" applyBorder="1">
      <alignment vertical="center"/>
    </xf>
    <xf numFmtId="0" fontId="0" fillId="4" borderId="0" xfId="0" applyFill="1">
      <alignment vertical="center"/>
    </xf>
    <xf numFmtId="176" fontId="8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1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2" fontId="12" fillId="0" borderId="0" xfId="1" applyNumberFormat="1" applyFont="1" applyFill="1">
      <alignment vertical="center"/>
    </xf>
    <xf numFmtId="0" fontId="12" fillId="0" borderId="0" xfId="1" applyNumberFormat="1" applyFont="1" applyAlignment="1">
      <alignment horizontal="left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12" fillId="0" borderId="5" xfId="1" applyNumberFormat="1" applyFont="1" applyFill="1" applyBorder="1" applyAlignment="1">
      <alignment vertical="center"/>
    </xf>
    <xf numFmtId="14" fontId="11" fillId="0" borderId="5" xfId="0" applyNumberFormat="1" applyFont="1" applyFill="1" applyBorder="1">
      <alignment vertical="center"/>
    </xf>
    <xf numFmtId="0" fontId="11" fillId="0" borderId="5" xfId="0" applyNumberFormat="1" applyFont="1" applyFill="1" applyBorder="1" applyAlignment="1">
      <alignment horizontal="left" vertical="center"/>
    </xf>
    <xf numFmtId="0" fontId="11" fillId="0" borderId="5" xfId="1" applyNumberFormat="1" applyFont="1" applyFill="1" applyBorder="1">
      <alignment vertical="center"/>
    </xf>
    <xf numFmtId="0" fontId="12" fillId="0" borderId="5" xfId="1" applyNumberFormat="1" applyFont="1" applyFill="1" applyBorder="1">
      <alignment vertical="center"/>
    </xf>
    <xf numFmtId="0" fontId="12" fillId="0" borderId="6" xfId="1" applyNumberFormat="1" applyFont="1" applyFill="1" applyBorder="1">
      <alignment vertical="center"/>
    </xf>
    <xf numFmtId="14" fontId="11" fillId="0" borderId="5" xfId="0" applyNumberFormat="1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left" vertical="center"/>
    </xf>
    <xf numFmtId="49" fontId="11" fillId="0" borderId="5" xfId="0" applyNumberFormat="1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left" vertical="center"/>
    </xf>
    <xf numFmtId="0" fontId="12" fillId="0" borderId="0" xfId="1" applyNumberFormat="1" applyFont="1" applyAlignment="1">
      <alignment vertical="center"/>
    </xf>
    <xf numFmtId="0" fontId="11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176" fontId="12" fillId="0" borderId="0" xfId="1" applyNumberFormat="1" applyFont="1" applyAlignment="1">
      <alignment vertical="center"/>
    </xf>
    <xf numFmtId="14" fontId="11" fillId="0" borderId="1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>
      <alignment vertical="center"/>
    </xf>
    <xf numFmtId="0" fontId="12" fillId="0" borderId="1" xfId="1" applyNumberFormat="1" applyFont="1" applyFill="1" applyBorder="1">
      <alignment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2" xfId="1" applyNumberFormat="1" applyFont="1" applyFill="1" applyBorder="1">
      <alignment vertical="center"/>
    </xf>
    <xf numFmtId="14" fontId="11" fillId="0" borderId="1" xfId="0" applyNumberFormat="1" applyFont="1" applyFill="1" applyBorder="1">
      <alignment vertical="center"/>
    </xf>
    <xf numFmtId="0" fontId="0" fillId="0" borderId="0" xfId="1" applyNumberFormat="1" applyFont="1" applyFill="1">
      <alignment vertical="center"/>
    </xf>
    <xf numFmtId="49" fontId="9" fillId="2" borderId="3" xfId="0" applyNumberFormat="1" applyFont="1" applyFill="1" applyBorder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3" fontId="0" fillId="0" borderId="0" xfId="0" applyNumberFormat="1">
      <alignment vertical="center"/>
    </xf>
    <xf numFmtId="3" fontId="13" fillId="0" borderId="0" xfId="0" applyNumberFormat="1" applyFont="1">
      <alignment vertical="center"/>
    </xf>
    <xf numFmtId="41" fontId="0" fillId="5" borderId="0" xfId="1" applyFon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41" fontId="13" fillId="5" borderId="0" xfId="1" applyFont="1" applyFill="1">
      <alignment vertical="center"/>
    </xf>
    <xf numFmtId="179" fontId="0" fillId="0" borderId="0" xfId="0" applyNumberFormat="1">
      <alignment vertical="center"/>
    </xf>
    <xf numFmtId="0" fontId="0" fillId="0" borderId="5" xfId="0" applyBorder="1">
      <alignment vertical="center"/>
    </xf>
    <xf numFmtId="41" fontId="0" fillId="4" borderId="0" xfId="1" applyFont="1" applyFill="1">
      <alignment vertical="center"/>
    </xf>
    <xf numFmtId="10" fontId="0" fillId="0" borderId="0" xfId="6" applyNumberFormat="1" applyFont="1">
      <alignment vertical="center"/>
    </xf>
    <xf numFmtId="41" fontId="0" fillId="0" borderId="0" xfId="1" applyFont="1" applyFill="1">
      <alignment vertical="center"/>
    </xf>
    <xf numFmtId="0" fontId="1" fillId="3" borderId="0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0" fillId="6" borderId="0" xfId="1" applyFont="1" applyFill="1">
      <alignment vertical="center"/>
    </xf>
    <xf numFmtId="14" fontId="0" fillId="0" borderId="8" xfId="0" applyNumberFormat="1" applyBorder="1">
      <alignment vertical="center"/>
    </xf>
    <xf numFmtId="0" fontId="0" fillId="0" borderId="9" xfId="0" applyBorder="1">
      <alignment vertical="center"/>
    </xf>
    <xf numFmtId="41" fontId="0" fillId="0" borderId="9" xfId="1" applyFont="1" applyBorder="1">
      <alignment vertical="center"/>
    </xf>
    <xf numFmtId="0" fontId="0" fillId="0" borderId="10" xfId="0" applyBorder="1">
      <alignment vertical="center"/>
    </xf>
    <xf numFmtId="14" fontId="0" fillId="0" borderId="11" xfId="0" applyNumberFormat="1" applyBorder="1">
      <alignment vertical="center"/>
    </xf>
    <xf numFmtId="41" fontId="0" fillId="0" borderId="0" xfId="1" applyFont="1" applyBorder="1">
      <alignment vertical="center"/>
    </xf>
    <xf numFmtId="0" fontId="0" fillId="0" borderId="12" xfId="0" applyBorder="1">
      <alignment vertical="center"/>
    </xf>
    <xf numFmtId="41" fontId="0" fillId="5" borderId="0" xfId="1" applyFont="1" applyFill="1" applyBorder="1">
      <alignment vertical="center"/>
    </xf>
    <xf numFmtId="41" fontId="0" fillId="4" borderId="0" xfId="1" applyFont="1" applyFill="1" applyBorder="1">
      <alignment vertical="center"/>
    </xf>
    <xf numFmtId="41" fontId="6" fillId="5" borderId="0" xfId="1" applyFont="1" applyFill="1" applyBorder="1">
      <alignment vertical="center"/>
    </xf>
    <xf numFmtId="14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41" fontId="0" fillId="0" borderId="14" xfId="1" applyFont="1" applyBorder="1">
      <alignment vertical="center"/>
    </xf>
    <xf numFmtId="0" fontId="0" fillId="0" borderId="15" xfId="0" applyBorder="1">
      <alignment vertical="center"/>
    </xf>
  </cellXfs>
  <cellStyles count="7">
    <cellStyle name="백분율" xfId="6" builtinId="5"/>
    <cellStyle name="쉼표 [0]" xfId="1" builtinId="6"/>
    <cellStyle name="쉼표 [0] 2" xfId="4" xr:uid="{00000000-0005-0000-0000-000001000000}"/>
    <cellStyle name="표준" xfId="0" builtinId="0"/>
    <cellStyle name="표준 2" xfId="2" xr:uid="{00000000-0005-0000-0000-000003000000}"/>
    <cellStyle name="표준 2 2" xfId="5" xr:uid="{00000000-0005-0000-0000-000004000000}"/>
    <cellStyle name="표준 3" xfId="3" xr:uid="{00000000-0005-0000-0000-000005000000}"/>
  </cellStyles>
  <dxfs count="255"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표3" displayName="표3" ref="A1:J66" totalsRowShown="0">
  <autoFilter ref="A1:J66" xr:uid="{00000000-0009-0000-0100-000003000000}"/>
  <tableColumns count="10">
    <tableColumn id="8" xr3:uid="{00000000-0010-0000-0000-000008000000}" name="종목코드" dataDxfId="254"/>
    <tableColumn id="9" xr3:uid="{00000000-0010-0000-0000-000009000000}" name="종목명" dataDxfId="253">
      <calculatedColumnFormula>LEFT(#REF!,SEARCH("_",#REF!)-1)</calculatedColumnFormula>
    </tableColumn>
    <tableColumn id="14" xr3:uid="{00000000-0010-0000-0000-00000E000000}" name="평가금액"/>
    <tableColumn id="7" xr3:uid="{00000000-0010-0000-0000-000007000000}" name="상품명"/>
    <tableColumn id="2" xr3:uid="{00000000-0010-0000-0000-000002000000}" name="계좌"/>
    <tableColumn id="3" xr3:uid="{00000000-0010-0000-0000-000003000000}" name="통화"/>
    <tableColumn id="6" xr3:uid="{00000000-0010-0000-0000-000006000000}" name="자산군"/>
    <tableColumn id="4" xr3:uid="{00000000-0010-0000-0000-000004000000}" name="세부자산군"/>
    <tableColumn id="5" xr3:uid="{00000000-0010-0000-0000-000005000000}" name="세부자산군2"/>
    <tableColumn id="10" xr3:uid="{00000000-0010-0000-0000-00000A000000}" name="기초평가손익" dataDxfId="2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CMA_한투183611" displayName="CMA_한투183611" ref="A1:S43" totalsRowShown="0" headerRowDxfId="82" headerRowCellStyle="쉼표 [0]">
  <autoFilter ref="A1:S43" xr:uid="{00000000-0009-0000-0100-00000A000000}"/>
  <tableColumns count="19">
    <tableColumn id="1" xr3:uid="{00000000-0010-0000-0900-000001000000}" name="거래일자" dataDxfId="81"/>
    <tableColumn id="5" xr3:uid="{00000000-0010-0000-0900-000005000000}" name="종목코드" dataDxfId="80"/>
    <tableColumn id="9" xr3:uid="{00000000-0010-0000-0900-000009000000}" name="종목명" dataDxfId="79">
      <calculatedColumnFormula>VLOOKUP(CMA_한투183611[[#This Row],[종목코드]],표3[],2,FALSE)</calculatedColumnFormula>
    </tableColumn>
    <tableColumn id="10" xr3:uid="{00000000-0010-0000-0900-00000A000000}" name="상품명" dataDxfId="78">
      <calculatedColumnFormula>VLOOKUP(CMA_한투183611[[#This Row],[종목코드]],표3[],4,FALSE)</calculatedColumnFormula>
    </tableColumn>
    <tableColumn id="6" xr3:uid="{00000000-0010-0000-0900-000006000000}" name="매입수량" dataDxfId="77"/>
    <tableColumn id="2" xr3:uid="{00000000-0010-0000-0900-000002000000}" name="매입액" dataDxfId="76" dataCellStyle="쉼표 [0]"/>
    <tableColumn id="12" xr3:uid="{00000000-0010-0000-0900-00000C000000}" name="현금지출" dataDxfId="75" dataCellStyle="쉼표 [0]"/>
    <tableColumn id="16" xr3:uid="{00000000-0010-0000-0900-000010000000}" name="매입비용" dataDxfId="74">
      <calculatedColumnFormula>CMA_한투183611[[#This Row],[현금지출]]-CMA_한투183611[[#This Row],[매입액]]</calculatedColumnFormula>
    </tableColumn>
    <tableColumn id="7" xr3:uid="{00000000-0010-0000-0900-000007000000}" name="매도수량" dataDxfId="73"/>
    <tableColumn id="3" xr3:uid="{00000000-0010-0000-0900-000003000000}" name="매도원금"/>
    <tableColumn id="15" xr3:uid="{00000000-0010-0000-0900-00000F000000}" name="매도액"/>
    <tableColumn id="14" xr3:uid="{00000000-0010-0000-0900-00000E000000}" name="이자배당액"/>
    <tableColumn id="13" xr3:uid="{00000000-0010-0000-0900-00000D000000}" name="현금수입"/>
    <tableColumn id="17" xr3:uid="{00000000-0010-0000-0900-000011000000}" name="매매수익">
      <calculatedColumnFormula>CMA_한투183611[[#This Row],[매도액]]-CMA_한투183611[[#This Row],[매도원금]]</calculatedColumnFormula>
    </tableColumn>
    <tableColumn id="18" xr3:uid="{00000000-0010-0000-0900-000012000000}" name="매도비용">
      <calculatedColumnFormula>CMA_한투183611[[#This Row],[매도액]]+CMA_한투183611[[#This Row],[이자배당액]]-CMA_한투183611[[#This Row],[현금수입]]</calculatedColumnFormula>
    </tableColumn>
    <tableColumn id="19" xr3:uid="{00000000-0010-0000-0900-000013000000}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xr3:uid="{00000000-0010-0000-0900-000004000000}" name="입출금"/>
    <tableColumn id="21" xr3:uid="{00000000-0010-0000-0900-000015000000}" name="순현금수입" dataDxfId="72">
      <calculatedColumnFormula>CMA_한투183611[[#This Row],[입출금]]+CMA_한투183611[[#This Row],[현금수입]]-CMA_한투183611[[#This Row],[현금지출]]</calculatedColumnFormula>
    </tableColumn>
    <tableColumn id="22" xr3:uid="{00000000-0010-0000-0900-000016000000}" name="누적" dataDxfId="7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MA_한투18361112" displayName="CMA_한투18361112" ref="A1:S8" totalsRowShown="0" headerRowDxfId="70" headerRowCellStyle="쉼표 [0]">
  <autoFilter ref="A1:S8" xr:uid="{00000000-0009-0000-0100-00000B000000}"/>
  <tableColumns count="19">
    <tableColumn id="1" xr3:uid="{00000000-0010-0000-0A00-000001000000}" name="거래일자" dataDxfId="69"/>
    <tableColumn id="5" xr3:uid="{00000000-0010-0000-0A00-000005000000}" name="종목코드" dataDxfId="68"/>
    <tableColumn id="9" xr3:uid="{00000000-0010-0000-0A00-000009000000}" name="종목명" dataDxfId="67">
      <calculatedColumnFormula>VLOOKUP(CMA_한투18361112[[#This Row],[종목코드]],표3[],2,FALSE)</calculatedColumnFormula>
    </tableColumn>
    <tableColumn id="10" xr3:uid="{00000000-0010-0000-0A00-00000A000000}" name="상품명" dataDxfId="66">
      <calculatedColumnFormula>VLOOKUP(CMA_한투18361112[[#This Row],[종목코드]],표3[],4,FALSE)</calculatedColumnFormula>
    </tableColumn>
    <tableColumn id="6" xr3:uid="{00000000-0010-0000-0A00-000006000000}" name="매입수량" dataDxfId="65"/>
    <tableColumn id="2" xr3:uid="{00000000-0010-0000-0A00-000002000000}" name="매입액"/>
    <tableColumn id="12" xr3:uid="{00000000-0010-0000-0A00-00000C000000}" name="현금지출"/>
    <tableColumn id="16" xr3:uid="{00000000-0010-0000-0A00-000010000000}" name="매입비용" dataDxfId="64">
      <calculatedColumnFormula>CMA_한투18361112[[#This Row],[현금지출]]-CMA_한투18361112[[#This Row],[매입액]]</calculatedColumnFormula>
    </tableColumn>
    <tableColumn id="7" xr3:uid="{00000000-0010-0000-0A00-000007000000}" name="매도수량" dataDxfId="63"/>
    <tableColumn id="3" xr3:uid="{00000000-0010-0000-0A00-000003000000}" name="매도원금"/>
    <tableColumn id="15" xr3:uid="{00000000-0010-0000-0A00-00000F000000}" name="매도액"/>
    <tableColumn id="14" xr3:uid="{00000000-0010-0000-0A00-00000E000000}" name="이자배당액"/>
    <tableColumn id="13" xr3:uid="{00000000-0010-0000-0A00-00000D000000}" name="현금수입"/>
    <tableColumn id="17" xr3:uid="{00000000-0010-0000-0A00-000011000000}" name="매매수익">
      <calculatedColumnFormula>CMA_한투18361112[[#This Row],[매도액]]-CMA_한투18361112[[#This Row],[매도원금]]</calculatedColumnFormula>
    </tableColumn>
    <tableColumn id="18" xr3:uid="{00000000-0010-0000-0A00-000012000000}" name="매도비용">
      <calculatedColumnFormula>CMA_한투18361112[[#This Row],[매도액]]+CMA_한투18361112[[#This Row],[이자배당액]]-CMA_한투18361112[[#This Row],[현금수입]]</calculatedColumnFormula>
    </tableColumn>
    <tableColumn id="19" xr3:uid="{00000000-0010-0000-0A00-000013000000}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xr3:uid="{00000000-0010-0000-0A00-000004000000}" name="입출금"/>
    <tableColumn id="21" xr3:uid="{00000000-0010-0000-0A00-000015000000}" name="순현금수입" dataDxfId="62">
      <calculatedColumnFormula>CMA_한투18361112[[#This Row],[입출금]]+CMA_한투18361112[[#This Row],[현금수입]]-CMA_한투18361112[[#This Row],[현금지출]]</calculatedColumnFormula>
    </tableColumn>
    <tableColumn id="22" xr3:uid="{00000000-0010-0000-0A00-000016000000}" name="누적" dataDxfId="6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CMA_한투183" displayName="CMA_한투183" ref="A1:S2" totalsRowShown="0" headerRowDxfId="60" dataDxfId="59" headerRowCellStyle="쉼표 [0]" dataCellStyle="쉼표 [0]">
  <autoFilter ref="A1:S2" xr:uid="{00000000-0009-0000-0100-000002000000}"/>
  <tableColumns count="19">
    <tableColumn id="1" xr3:uid="{00000000-0010-0000-0B00-000001000000}" name="거래일자" dataDxfId="58"/>
    <tableColumn id="5" xr3:uid="{00000000-0010-0000-0B00-000005000000}" name="종목코드" dataDxfId="57"/>
    <tableColumn id="9" xr3:uid="{00000000-0010-0000-0B00-000009000000}" name="종목명" dataDxfId="56"/>
    <tableColumn id="10" xr3:uid="{00000000-0010-0000-0B00-00000A000000}" name="상품명" dataDxfId="55"/>
    <tableColumn id="6" xr3:uid="{00000000-0010-0000-0B00-000006000000}" name="매입수량" dataDxfId="54"/>
    <tableColumn id="2" xr3:uid="{00000000-0010-0000-0B00-000002000000}" name="매입액" dataDxfId="53" dataCellStyle="쉼표 [0]"/>
    <tableColumn id="12" xr3:uid="{00000000-0010-0000-0B00-00000C000000}" name="현금지출" dataDxfId="52" dataCellStyle="쉼표 [0]"/>
    <tableColumn id="16" xr3:uid="{00000000-0010-0000-0B00-000010000000}" name="매입비용" dataDxfId="51" dataCellStyle="쉼표 [0]"/>
    <tableColumn id="7" xr3:uid="{00000000-0010-0000-0B00-000007000000}" name="매도수량" dataDxfId="50" dataCellStyle="쉼표 [0]"/>
    <tableColumn id="3" xr3:uid="{00000000-0010-0000-0B00-000003000000}" name="매도원금" dataDxfId="49" dataCellStyle="쉼표 [0]"/>
    <tableColumn id="15" xr3:uid="{00000000-0010-0000-0B00-00000F000000}" name="매도액" dataDxfId="48" dataCellStyle="쉼표 [0]"/>
    <tableColumn id="14" xr3:uid="{00000000-0010-0000-0B00-00000E000000}" name="이자배당액" dataDxfId="47" dataCellStyle="쉼표 [0]"/>
    <tableColumn id="13" xr3:uid="{00000000-0010-0000-0B00-00000D000000}" name="현금수입" dataDxfId="46" dataCellStyle="쉼표 [0]"/>
    <tableColumn id="17" xr3:uid="{00000000-0010-0000-0B00-000011000000}" name="매매수익" dataDxfId="45" dataCellStyle="쉼표 [0]"/>
    <tableColumn id="18" xr3:uid="{00000000-0010-0000-0B00-000012000000}" name="매도비용" dataDxfId="44" dataCellStyle="쉼표 [0]"/>
    <tableColumn id="19" xr3:uid="{00000000-0010-0000-0B00-000013000000}" name="순수익" dataDxfId="43" dataCellStyle="쉼표 [0]"/>
    <tableColumn id="4" xr3:uid="{00000000-0010-0000-0B00-000004000000}" name="입출금" dataDxfId="42" dataCellStyle="쉼표 [0]"/>
    <tableColumn id="21" xr3:uid="{00000000-0010-0000-0B00-000015000000}" name="순현금수입" dataDxfId="41" dataCellStyle="쉼표 [0]"/>
    <tableColumn id="22" xr3:uid="{00000000-0010-0000-0B00-000016000000}" name="누적" dataDxfId="40" dataCellStyle="쉼표 [0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C000000}" name="CMA_한투1836" displayName="CMA_한투1836" ref="A1:S2" insertRow="1" totalsRowShown="0" headerRowDxfId="39" headerRowCellStyle="쉼표 [0]">
  <autoFilter ref="A1:S2" xr:uid="{00000000-0009-0000-0100-000005000000}"/>
  <tableColumns count="19">
    <tableColumn id="1" xr3:uid="{00000000-0010-0000-0C00-000001000000}" name="거래일자" dataDxfId="38"/>
    <tableColumn id="5" xr3:uid="{00000000-0010-0000-0C00-000005000000}" name="종목코드" dataDxfId="37"/>
    <tableColumn id="9" xr3:uid="{00000000-0010-0000-0C00-000009000000}" name="종목명" dataDxfId="36">
      <calculatedColumnFormula>VLOOKUP(CMA_한투1836[[#This Row],[종목코드]],표3[],2,FALSE)</calculatedColumnFormula>
    </tableColumn>
    <tableColumn id="10" xr3:uid="{00000000-0010-0000-0C00-00000A000000}" name="상품명" dataDxfId="35">
      <calculatedColumnFormula>VLOOKUP(CMA_한투1836[[#This Row],[종목코드]],표3[],4,FALSE)</calculatedColumnFormula>
    </tableColumn>
    <tableColumn id="6" xr3:uid="{00000000-0010-0000-0C00-000006000000}" name="매입수량" dataDxfId="34"/>
    <tableColumn id="2" xr3:uid="{00000000-0010-0000-0C00-000002000000}" name="매입액"/>
    <tableColumn id="12" xr3:uid="{00000000-0010-0000-0C00-00000C000000}" name="현금지출"/>
    <tableColumn id="16" xr3:uid="{00000000-0010-0000-0C00-000010000000}" name="매입비용" dataDxfId="33">
      <calculatedColumnFormula>CMA_한투1836[[#This Row],[현금지출]]-CMA_한투1836[[#This Row],[매입액]]</calculatedColumnFormula>
    </tableColumn>
    <tableColumn id="7" xr3:uid="{00000000-0010-0000-0C00-000007000000}" name="매도수량" dataDxfId="32"/>
    <tableColumn id="3" xr3:uid="{00000000-0010-0000-0C00-000003000000}" name="매도원금"/>
    <tableColumn id="15" xr3:uid="{00000000-0010-0000-0C00-00000F000000}" name="매도액"/>
    <tableColumn id="14" xr3:uid="{00000000-0010-0000-0C00-00000E000000}" name="이자배당액"/>
    <tableColumn id="13" xr3:uid="{00000000-0010-0000-0C00-00000D000000}" name="현금수입"/>
    <tableColumn id="17" xr3:uid="{00000000-0010-0000-0C00-000011000000}" name="매매수익">
      <calculatedColumnFormula>CMA_한투1836[[#This Row],[매도액]]-CMA_한투1836[[#This Row],[매도원금]]</calculatedColumnFormula>
    </tableColumn>
    <tableColumn id="18" xr3:uid="{00000000-0010-0000-0C00-000012000000}" name="매도비용">
      <calculatedColumnFormula>CMA_한투1836[[#This Row],[매도액]]+CMA_한투1836[[#This Row],[이자배당액]]-CMA_한투1836[[#This Row],[현금수입]]</calculatedColumnFormula>
    </tableColumn>
    <tableColumn id="19" xr3:uid="{00000000-0010-0000-0C00-000013000000}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xr3:uid="{00000000-0010-0000-0C00-000004000000}" name="입출금"/>
    <tableColumn id="21" xr3:uid="{00000000-0010-0000-0C00-000015000000}" name="순현금수입" dataDxfId="31">
      <calculatedColumnFormula>CMA_한투1836[[#This Row],[입출금]]+CMA_한투1836[[#This Row],[현금수입]]-CMA_한투1836[[#This Row],[현금지출]]</calculatedColumnFormula>
    </tableColumn>
    <tableColumn id="22" xr3:uid="{00000000-0010-0000-0C00-000016000000}" name="누적" dataDxfId="30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D000000}" name="CMA_한투1838" displayName="CMA_한투1838" ref="A1:S2" insertRow="1" totalsRowShown="0" headerRowDxfId="29" dataDxfId="28" headerRowCellStyle="쉼표 [0]" dataCellStyle="쉼표 [0]">
  <autoFilter ref="A1:S2" xr:uid="{00000000-0009-0000-0100-000007000000}"/>
  <tableColumns count="19">
    <tableColumn id="1" xr3:uid="{00000000-0010-0000-0D00-000001000000}" name="거래일자" dataDxfId="27"/>
    <tableColumn id="5" xr3:uid="{00000000-0010-0000-0D00-000005000000}" name="종목코드" dataDxfId="26"/>
    <tableColumn id="9" xr3:uid="{00000000-0010-0000-0D00-000009000000}" name="종목명" dataDxfId="25">
      <calculatedColumnFormula>VLOOKUP(CMA_한투1838[[#This Row],[종목코드]],표3[],2,FALSE)</calculatedColumnFormula>
    </tableColumn>
    <tableColumn id="10" xr3:uid="{00000000-0010-0000-0D00-00000A000000}" name="상품명" dataDxfId="24">
      <calculatedColumnFormula>VLOOKUP(CMA_한투1838[[#This Row],[종목코드]],표3[],4,FALSE)</calculatedColumnFormula>
    </tableColumn>
    <tableColumn id="6" xr3:uid="{00000000-0010-0000-0D00-000006000000}" name="매입수량" dataDxfId="23"/>
    <tableColumn id="2" xr3:uid="{00000000-0010-0000-0D00-000002000000}" name="매입액" dataDxfId="22" dataCellStyle="쉼표 [0]"/>
    <tableColumn id="12" xr3:uid="{00000000-0010-0000-0D00-00000C000000}" name="현금지출" dataDxfId="21" dataCellStyle="쉼표 [0]"/>
    <tableColumn id="16" xr3:uid="{00000000-0010-0000-0D00-000010000000}" name="매입비용" dataDxfId="20" dataCellStyle="쉼표 [0]">
      <calculatedColumnFormula>CMA_한투1838[[#This Row],[현금지출]]-CMA_한투1838[[#This Row],[매입액]]</calculatedColumnFormula>
    </tableColumn>
    <tableColumn id="7" xr3:uid="{00000000-0010-0000-0D00-000007000000}" name="매도수량" dataDxfId="19" dataCellStyle="쉼표 [0]"/>
    <tableColumn id="3" xr3:uid="{00000000-0010-0000-0D00-000003000000}" name="매도원금" dataDxfId="18" dataCellStyle="쉼표 [0]"/>
    <tableColumn id="15" xr3:uid="{00000000-0010-0000-0D00-00000F000000}" name="매도액" dataDxfId="17" dataCellStyle="쉼표 [0]"/>
    <tableColumn id="14" xr3:uid="{00000000-0010-0000-0D00-00000E000000}" name="이자배당액" dataDxfId="16" dataCellStyle="쉼표 [0]"/>
    <tableColumn id="13" xr3:uid="{00000000-0010-0000-0D00-00000D000000}" name="현금수입" dataDxfId="15" dataCellStyle="쉼표 [0]"/>
    <tableColumn id="17" xr3:uid="{00000000-0010-0000-0D00-000011000000}" name="매매수익" dataDxfId="14" dataCellStyle="쉼표 [0]">
      <calculatedColumnFormula>CMA_한투1838[[#This Row],[매도액]]-CMA_한투1838[[#This Row],[매도원금]]</calculatedColumnFormula>
    </tableColumn>
    <tableColumn id="18" xr3:uid="{00000000-0010-0000-0D00-000012000000}" name="매도비용" dataDxfId="13" dataCellStyle="쉼표 [0]">
      <calculatedColumnFormula>CMA_한투1838[[#This Row],[매도액]]+CMA_한투1838[[#This Row],[이자배당액]]-CMA_한투1838[[#This Row],[현금수입]]</calculatedColumnFormula>
    </tableColumn>
    <tableColumn id="19" xr3:uid="{00000000-0010-0000-0D00-000013000000}" name="순수익" dataDxfId="12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xr3:uid="{00000000-0010-0000-0D00-000004000000}" name="입출금" dataDxfId="11" dataCellStyle="쉼표 [0]"/>
    <tableColumn id="21" xr3:uid="{00000000-0010-0000-0D00-000015000000}" name="순현금수입" dataDxfId="10" dataCellStyle="쉼표 [0]">
      <calculatedColumnFormula>CMA_한투1838[[#This Row],[입출금]]+CMA_한투1838[[#This Row],[현금수입]]-CMA_한투1838[[#This Row],[현금지출]]</calculatedColumnFormula>
    </tableColumn>
    <tableColumn id="22" xr3:uid="{00000000-0010-0000-0D00-000016000000}" name="누적" dataDxfId="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표8" displayName="표8" ref="A1:F340" totalsRowShown="0" headerRowDxfId="8">
  <autoFilter ref="A1:F340" xr:uid="{00000000-0009-0000-0100-000008000000}"/>
  <tableColumns count="6">
    <tableColumn id="1" xr3:uid="{00000000-0010-0000-0E00-000001000000}" name="거래일자" dataDxfId="7"/>
    <tableColumn id="4" xr3:uid="{00000000-0010-0000-0E00-000004000000}" name="원화자금유입" dataDxfId="6"/>
    <tableColumn id="2" xr3:uid="{00000000-0010-0000-0E00-000002000000}" name="원화투자회수" dataDxfId="5" dataCellStyle="쉼표 [0]"/>
    <tableColumn id="6" xr3:uid="{00000000-0010-0000-0E00-000006000000}" name="원화투자지출" dataDxfId="4" dataCellStyle="쉼표 [0]">
      <calculatedColumnFormula>IF(WEEKDAY(표8[[#This Row],[거래일자]])=4, 2000000,0)</calculatedColumnFormula>
    </tableColumn>
    <tableColumn id="3" xr3:uid="{00000000-0010-0000-0E00-000003000000}" name="원화자금유출" dataDxfId="3" dataCellStyle="쉼표 [0]"/>
    <tableColumn id="5" xr3:uid="{00000000-0010-0000-0E00-000005000000}" name="달러투자회수" dataDxfId="2" dataCellStyle="쉼표 [0]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F000000}" name="표1" displayName="표1" ref="A1:T57" totalsRowShown="0" headerRowDxfId="1">
  <autoFilter ref="A1:T57" xr:uid="{00000000-0009-0000-0100-00000C000000}"/>
  <tableColumns count="20">
    <tableColumn id="2" xr3:uid="{00000000-0010-0000-0F00-000002000000}" name="종목코드"/>
    <tableColumn id="3" xr3:uid="{00000000-0010-0000-0F00-000003000000}" name="거래일자" dataDxfId="0"/>
    <tableColumn id="4" xr3:uid="{00000000-0010-0000-0F00-000004000000}" name="종목명"/>
    <tableColumn id="5" xr3:uid="{00000000-0010-0000-0F00-000005000000}" name="통화"/>
    <tableColumn id="6" xr3:uid="{00000000-0010-0000-0F00-000006000000}" name="계좌"/>
    <tableColumn id="7" xr3:uid="{00000000-0010-0000-0F00-000007000000}" name="보유수량"/>
    <tableColumn id="8" xr3:uid="{00000000-0010-0000-0F00-000008000000}" name="장부금액"/>
    <tableColumn id="9" xr3:uid="{00000000-0010-0000-0F00-000009000000}" name="평잔"/>
    <tableColumn id="10" xr3:uid="{00000000-0010-0000-0F00-00000A000000}" name="수익"/>
    <tableColumn id="11" xr3:uid="{00000000-0010-0000-0F00-00000B000000}" name="비용"/>
    <tableColumn id="12" xr3:uid="{00000000-0010-0000-0F00-00000C000000}" name="실현손익"/>
    <tableColumn id="13" xr3:uid="{00000000-0010-0000-0F00-00000D000000}" name="실현수익률"/>
    <tableColumn id="14" xr3:uid="{00000000-0010-0000-0F00-00000E000000}" name="자산군"/>
    <tableColumn id="15" xr3:uid="{00000000-0010-0000-0F00-00000F000000}" name="세부자산군"/>
    <tableColumn id="16" xr3:uid="{00000000-0010-0000-0F00-000010000000}" name="세부자산군2"/>
    <tableColumn id="17" xr3:uid="{00000000-0010-0000-0F00-000011000000}" name="평가금액"/>
    <tableColumn id="18" xr3:uid="{00000000-0010-0000-0F00-000012000000}" name="평가손익"/>
    <tableColumn id="19" xr3:uid="{00000000-0010-0000-0F00-000013000000}" name="평가수익률"/>
    <tableColumn id="20" xr3:uid="{00000000-0010-0000-0F00-000014000000}" name="총손익"/>
    <tableColumn id="21" xr3:uid="{00000000-0010-0000-0F00-000015000000}" name="운용수익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1000000}" name="연금종목정보" displayName="연금종목정보" ref="A1:J28" totalsRowShown="0">
  <autoFilter ref="A1:J28" xr:uid="{00000000-0009-0000-0100-00000D000000}"/>
  <tableColumns count="10">
    <tableColumn id="1" xr3:uid="{00000000-0010-0000-0100-000001000000}" name="종목코드" dataDxfId="251"/>
    <tableColumn id="2" xr3:uid="{00000000-0010-0000-0100-000002000000}" name="종목명"/>
    <tableColumn id="3" xr3:uid="{00000000-0010-0000-0100-000003000000}" name="상품명"/>
    <tableColumn id="4" xr3:uid="{00000000-0010-0000-0100-000004000000}" name="계좌"/>
    <tableColumn id="11" xr3:uid="{00000000-0010-0000-0100-00000B000000}" name="통화"/>
    <tableColumn id="5" xr3:uid="{00000000-0010-0000-0100-000005000000}" name="자산군"/>
    <tableColumn id="6" xr3:uid="{00000000-0010-0000-0100-000006000000}" name="세부자산군"/>
    <tableColumn id="8" xr3:uid="{00000000-0010-0000-0100-000008000000}" name="평가금액" dataDxfId="250" dataCellStyle="쉼표 [0]"/>
    <tableColumn id="13" xr3:uid="{00000000-0010-0000-0100-00000D000000}" name="세부자산군2"/>
    <tableColumn id="12" xr3:uid="{00000000-0010-0000-0100-00000C000000}" name="기초평가손익" dataDxfId="249" dataCellStyle="쉼표 [0]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농협IRP" displayName="농협IRP" ref="A1:S18" totalsRowShown="0" headerRowDxfId="248" headerRowBorderDxfId="247" tableBorderDxfId="246" totalsRowBorderDxfId="245" headerRowCellStyle="쉼표 [0]">
  <autoFilter ref="A1:S18" xr:uid="{00000000-0009-0000-0100-00000F000000}"/>
  <tableColumns count="19">
    <tableColumn id="1" xr3:uid="{00000000-0010-0000-0200-000001000000}" name="거래일자" dataDxfId="244"/>
    <tableColumn id="2" xr3:uid="{00000000-0010-0000-0200-000002000000}" name="종목코드" dataDxfId="243"/>
    <tableColumn id="3" xr3:uid="{00000000-0010-0000-0200-000003000000}" name="종목명" dataDxfId="242">
      <calculatedColumnFormula>VLOOKUP(농협IRP[[#This Row],[종목코드]],연금종목정보[],2,FALSE)</calculatedColumnFormula>
    </tableColumn>
    <tableColumn id="4" xr3:uid="{00000000-0010-0000-0200-000004000000}" name="상품명" dataDxfId="241">
      <calculatedColumnFormula>VLOOKUP(농협IRP[[#This Row],[종목코드]],연금종목정보[],4,FALSE)</calculatedColumnFormula>
    </tableColumn>
    <tableColumn id="5" xr3:uid="{00000000-0010-0000-0200-000005000000}" name="매입수량" dataDxfId="240" dataCellStyle="쉼표 [0]"/>
    <tableColumn id="6" xr3:uid="{00000000-0010-0000-0200-000006000000}" name="매입액" dataDxfId="239" dataCellStyle="쉼표 [0]"/>
    <tableColumn id="7" xr3:uid="{00000000-0010-0000-0200-000007000000}" name="현금지출" dataDxfId="238" dataCellStyle="쉼표 [0]"/>
    <tableColumn id="8" xr3:uid="{00000000-0010-0000-0200-000008000000}" name="매입비용" dataDxfId="237" dataCellStyle="쉼표 [0]">
      <calculatedColumnFormula>농협IRP[[#This Row],[현금지출]]-농협IRP[[#This Row],[매입액]]</calculatedColumnFormula>
    </tableColumn>
    <tableColumn id="9" xr3:uid="{00000000-0010-0000-0200-000009000000}" name="매도수량" dataDxfId="236" dataCellStyle="쉼표 [0]"/>
    <tableColumn id="10" xr3:uid="{00000000-0010-0000-0200-00000A000000}" name="매도원금" dataDxfId="235" dataCellStyle="쉼표 [0]"/>
    <tableColumn id="11" xr3:uid="{00000000-0010-0000-0200-00000B000000}" name="매도액" dataDxfId="234" dataCellStyle="쉼표 [0]"/>
    <tableColumn id="12" xr3:uid="{00000000-0010-0000-0200-00000C000000}" name="이자배당액" dataDxfId="233" dataCellStyle="쉼표 [0]"/>
    <tableColumn id="13" xr3:uid="{00000000-0010-0000-0200-00000D000000}" name="현금수입" dataDxfId="232" dataCellStyle="쉼표 [0]"/>
    <tableColumn id="14" xr3:uid="{00000000-0010-0000-0200-00000E000000}" name="매매수익" dataDxfId="231" dataCellStyle="쉼표 [0]">
      <calculatedColumnFormula>농협IRP[[#This Row],[매도액]]-농협IRP[[#This Row],[매도원금]]</calculatedColumnFormula>
    </tableColumn>
    <tableColumn id="15" xr3:uid="{00000000-0010-0000-0200-00000F000000}" name="매도비용" dataDxfId="230" dataCellStyle="쉼표 [0]">
      <calculatedColumnFormula>농협IRP[[#This Row],[매도액]]+농협IRP[[#This Row],[이자배당액]]-농협IRP[[#This Row],[현금수입]]</calculatedColumnFormula>
    </tableColumn>
    <tableColumn id="16" xr3:uid="{00000000-0010-0000-0200-000010000000}" name="순수익" dataDxfId="229" dataCellStyle="쉼표 [0]">
      <calculatedColumnFormula>농협IRP[[#This Row],[매매수익]]+농협IRP[[#This Row],[이자배당액]]-농협IRP[[#This Row],[매도비용]]-농협IRP[[#This Row],[매입비용]]</calculatedColumnFormula>
    </tableColumn>
    <tableColumn id="17" xr3:uid="{00000000-0010-0000-0200-000011000000}" name="입출금" dataDxfId="228"/>
    <tableColumn id="18" xr3:uid="{00000000-0010-0000-0200-000012000000}" name="순현금수입" dataDxfId="227" dataCellStyle="쉼표 [0]">
      <calculatedColumnFormula>농협IRP[[#This Row],[입출금]]+농협IRP[[#This Row],[현금수입]]-농협IRP[[#This Row],[현금지출]]</calculatedColumnFormula>
    </tableColumn>
    <tableColumn id="19" xr3:uid="{00000000-0010-0000-0200-000013000000}" name="누적" dataDxfId="226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삼성DC" displayName="삼성DC" ref="A1:S12" totalsRowShown="0" headerRowDxfId="225" headerRowBorderDxfId="224" tableBorderDxfId="223" totalsRowBorderDxfId="222" headerRowCellStyle="쉼표 [0]">
  <autoFilter ref="A1:S12" xr:uid="{00000000-0009-0000-0100-00000E000000}"/>
  <tableColumns count="19">
    <tableColumn id="1" xr3:uid="{00000000-0010-0000-0300-000001000000}" name="거래일자" dataDxfId="221"/>
    <tableColumn id="2" xr3:uid="{00000000-0010-0000-0300-000002000000}" name="종목코드" dataDxfId="220"/>
    <tableColumn id="3" xr3:uid="{00000000-0010-0000-0300-000003000000}" name="종목명" dataDxfId="219">
      <calculatedColumnFormula>VLOOKUP(삼성DC[[#This Row],[종목코드]],연금종목정보[],2,FALSE)</calculatedColumnFormula>
    </tableColumn>
    <tableColumn id="4" xr3:uid="{00000000-0010-0000-0300-000004000000}" name="상품명" dataDxfId="218">
      <calculatedColumnFormula>VLOOKUP(삼성DC[[#This Row],[종목코드]],연금종목정보[],4,FALSE)</calculatedColumnFormula>
    </tableColumn>
    <tableColumn id="5" xr3:uid="{00000000-0010-0000-0300-000005000000}" name="매입수량" dataDxfId="217" dataCellStyle="쉼표 [0]"/>
    <tableColumn id="6" xr3:uid="{00000000-0010-0000-0300-000006000000}" name="매입액" dataDxfId="216" dataCellStyle="쉼표 [0]"/>
    <tableColumn id="7" xr3:uid="{00000000-0010-0000-0300-000007000000}" name="현금지출" dataDxfId="215" dataCellStyle="쉼표 [0]"/>
    <tableColumn id="8" xr3:uid="{00000000-0010-0000-0300-000008000000}" name="매입비용" dataDxfId="214" dataCellStyle="쉼표 [0]">
      <calculatedColumnFormula>삼성DC[[#This Row],[현금지출]]-삼성DC[[#This Row],[매입액]]</calculatedColumnFormula>
    </tableColumn>
    <tableColumn id="9" xr3:uid="{00000000-0010-0000-0300-000009000000}" name="매도수량" dataDxfId="213" dataCellStyle="쉼표 [0]"/>
    <tableColumn id="10" xr3:uid="{00000000-0010-0000-0300-00000A000000}" name="매도원금" dataDxfId="212" dataCellStyle="쉼표 [0]"/>
    <tableColumn id="11" xr3:uid="{00000000-0010-0000-0300-00000B000000}" name="매도액" dataDxfId="211" dataCellStyle="쉼표 [0]"/>
    <tableColumn id="12" xr3:uid="{00000000-0010-0000-0300-00000C000000}" name="이자배당액" dataDxfId="210" dataCellStyle="쉼표 [0]"/>
    <tableColumn id="13" xr3:uid="{00000000-0010-0000-0300-00000D000000}" name="현금수입" dataDxfId="209" dataCellStyle="쉼표 [0]"/>
    <tableColumn id="14" xr3:uid="{00000000-0010-0000-0300-00000E000000}" name="매매수익" dataDxfId="208" dataCellStyle="쉼표 [0]">
      <calculatedColumnFormula>삼성DC[[#This Row],[매도액]]-삼성DC[[#This Row],[매도원금]]</calculatedColumnFormula>
    </tableColumn>
    <tableColumn id="15" xr3:uid="{00000000-0010-0000-0300-00000F000000}" name="매도비용" dataDxfId="207" dataCellStyle="쉼표 [0]">
      <calculatedColumnFormula>삼성DC[[#This Row],[매도액]]+삼성DC[[#This Row],[이자배당액]]-삼성DC[[#This Row],[현금수입]]</calculatedColumnFormula>
    </tableColumn>
    <tableColumn id="16" xr3:uid="{00000000-0010-0000-0300-000010000000}" name="순수익" dataDxfId="206" dataCellStyle="쉼표 [0]">
      <calculatedColumnFormula>삼성DC[[#This Row],[매매수익]]+삼성DC[[#This Row],[이자배당액]]-삼성DC[[#This Row],[매도비용]]-삼성DC[[#This Row],[매입비용]]</calculatedColumnFormula>
    </tableColumn>
    <tableColumn id="17" xr3:uid="{00000000-0010-0000-0300-000011000000}" name="입출금" dataDxfId="205"/>
    <tableColumn id="18" xr3:uid="{00000000-0010-0000-0300-000012000000}" name="순현금수입" dataDxfId="204" dataCellStyle="쉼표 [0]">
      <calculatedColumnFormula>삼성DC[[#This Row],[입출금]]+삼성DC[[#This Row],[현금수입]]-삼성DC[[#This Row],[현금지출]]</calculatedColumnFormula>
    </tableColumn>
    <tableColumn id="19" xr3:uid="{00000000-0010-0000-0300-000013000000}" name="누적" dataDxfId="203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4000000}" name="농협IRP17" displayName="농협IRP17" ref="A1:S14" totalsRowShown="0" headerRowDxfId="202" headerRowBorderDxfId="201" tableBorderDxfId="200" totalsRowBorderDxfId="199" headerRowCellStyle="쉼표 [0]">
  <autoFilter ref="A1:S14" xr:uid="{00000000-0009-0000-0100-000012000000}"/>
  <tableColumns count="19">
    <tableColumn id="1" xr3:uid="{00000000-0010-0000-0400-000001000000}" name="거래일자" dataDxfId="198"/>
    <tableColumn id="2" xr3:uid="{00000000-0010-0000-0400-000002000000}" name="종목코드"/>
    <tableColumn id="3" xr3:uid="{00000000-0010-0000-0400-000003000000}" name="종목명">
      <calculatedColumnFormula>VLOOKUP(농협IRP17[[#This Row],[종목코드]],연금종목정보[],2,FALSE)</calculatedColumnFormula>
    </tableColumn>
    <tableColumn id="4" xr3:uid="{00000000-0010-0000-0400-000004000000}" name="상품명">
      <calculatedColumnFormula>VLOOKUP(농협IRP17[[#This Row],[종목코드]],연금종목정보[],4,FALSE)</calculatedColumnFormula>
    </tableColumn>
    <tableColumn id="5" xr3:uid="{00000000-0010-0000-0400-000005000000}" name="매입수량"/>
    <tableColumn id="6" xr3:uid="{00000000-0010-0000-0400-000006000000}" name="매입액"/>
    <tableColumn id="7" xr3:uid="{00000000-0010-0000-0400-000007000000}" name="현금지출"/>
    <tableColumn id="8" xr3:uid="{00000000-0010-0000-0400-000008000000}" name="매입비용" dataDxfId="197">
      <calculatedColumnFormula>농협IRP17[[#This Row],[현금지출]]-농협IRP17[[#This Row],[매입액]]</calculatedColumnFormula>
    </tableColumn>
    <tableColumn id="9" xr3:uid="{00000000-0010-0000-0400-000009000000}" name="매도수량"/>
    <tableColumn id="10" xr3:uid="{00000000-0010-0000-0400-00000A000000}" name="매도원금"/>
    <tableColumn id="11" xr3:uid="{00000000-0010-0000-0400-00000B000000}" name="매도액"/>
    <tableColumn id="12" xr3:uid="{00000000-0010-0000-0400-00000C000000}" name="이자배당액"/>
    <tableColumn id="13" xr3:uid="{00000000-0010-0000-0400-00000D000000}" name="현금수입"/>
    <tableColumn id="14" xr3:uid="{00000000-0010-0000-0400-00000E000000}" name="매매수익" dataDxfId="196">
      <calculatedColumnFormula>농협IRP17[[#This Row],[매도액]]-농협IRP17[[#This Row],[매도원금]]</calculatedColumnFormula>
    </tableColumn>
    <tableColumn id="15" xr3:uid="{00000000-0010-0000-0400-00000F000000}" name="매도비용" dataDxfId="195">
      <calculatedColumnFormula>농협IRP17[[#This Row],[매도액]]+농협IRP17[[#This Row],[이자배당액]]-농협IRP17[[#This Row],[현금수입]]</calculatedColumnFormula>
    </tableColumn>
    <tableColumn id="16" xr3:uid="{00000000-0010-0000-0400-000010000000}" name="순수익" dataDxfId="194">
      <calculatedColumnFormula>농협IRP17[[#This Row],[매매수익]]+농협IRP17[[#This Row],[이자배당액]]-농협IRP17[[#This Row],[매도비용]]-농협IRP17[[#This Row],[매입비용]]</calculatedColumnFormula>
    </tableColumn>
    <tableColumn id="17" xr3:uid="{00000000-0010-0000-0400-000011000000}" name="입출금"/>
    <tableColumn id="18" xr3:uid="{00000000-0010-0000-0400-000012000000}" name="순현금수입" dataDxfId="193">
      <calculatedColumnFormula>농협IRP17[[#This Row],[입출금]]+농협IRP17[[#This Row],[현금수입]]-농협IRP17[[#This Row],[현금지출]]</calculatedColumnFormula>
    </tableColumn>
    <tableColumn id="19" xr3:uid="{00000000-0010-0000-0400-000013000000}" name="누적" dataDxfId="192">
      <calculatedColumnFormula>SUM($R$2:R2)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불리오" displayName="불리오" ref="A1:S40" totalsRowShown="0" headerRowDxfId="191" dataDxfId="190" headerRowCellStyle="쉼표 [0]" dataCellStyle="쉼표 [0]">
  <autoFilter ref="A1:S40" xr:uid="{00000000-0009-0000-0100-000001000000}"/>
  <tableColumns count="19">
    <tableColumn id="1" xr3:uid="{00000000-0010-0000-0500-000001000000}" name="거래일자" dataDxfId="189"/>
    <tableColumn id="4" xr3:uid="{00000000-0010-0000-0500-000004000000}" name="종목코드" dataDxfId="188"/>
    <tableColumn id="9" xr3:uid="{00000000-0010-0000-0500-000009000000}" name="종목명" dataDxfId="187">
      <calculatedColumnFormula>VLOOKUP(불리오[[#This Row],[종목코드]],표3[],2,FALSE)</calculatedColumnFormula>
    </tableColumn>
    <tableColumn id="10" xr3:uid="{00000000-0010-0000-0500-00000A000000}" name="상품명" dataDxfId="186">
      <calculatedColumnFormula>VLOOKUP(불리오[[#This Row],[종목코드]],표3[],4,FALSE)</calculatedColumnFormula>
    </tableColumn>
    <tableColumn id="6" xr3:uid="{00000000-0010-0000-0500-000006000000}" name="매입수량" dataDxfId="185"/>
    <tableColumn id="2" xr3:uid="{00000000-0010-0000-0500-000002000000}" name="매입액" dataDxfId="184" dataCellStyle="쉼표 [0]"/>
    <tableColumn id="16" xr3:uid="{00000000-0010-0000-0500-000010000000}" name="현금지출" dataDxfId="183" dataCellStyle="쉼표 [0]"/>
    <tableColumn id="12" xr3:uid="{00000000-0010-0000-0500-00000C000000}" name="매입비용" dataDxfId="182" dataCellStyle="쉼표 [0]">
      <calculatedColumnFormula>불리오[[#This Row],[현금지출]]-불리오[[#This Row],[매입액]]</calculatedColumnFormula>
    </tableColumn>
    <tableColumn id="7" xr3:uid="{00000000-0010-0000-0500-000007000000}" name="매도수량" dataDxfId="181" dataCellStyle="쉼표 [0]"/>
    <tableColumn id="3" xr3:uid="{00000000-0010-0000-0500-000003000000}" name="매도원금" dataDxfId="180" dataCellStyle="쉼표 [0]"/>
    <tableColumn id="19" xr3:uid="{00000000-0010-0000-0500-000013000000}" name="매도액" dataDxfId="179" dataCellStyle="쉼표 [0]"/>
    <tableColumn id="14" xr3:uid="{00000000-0010-0000-0500-00000E000000}" name="이자배당액" dataDxfId="178" dataCellStyle="쉼표 [0]"/>
    <tableColumn id="17" xr3:uid="{00000000-0010-0000-0500-000011000000}" name="현금수입" dataDxfId="177" dataCellStyle="쉼표 [0]"/>
    <tableColumn id="18" xr3:uid="{00000000-0010-0000-0500-000012000000}" name="매매수익" dataDxfId="176" dataCellStyle="쉼표 [0]">
      <calculatedColumnFormula>불리오[[#This Row],[매도액]]-불리오[[#This Row],[매도원금]]</calculatedColumnFormula>
    </tableColumn>
    <tableColumn id="15" xr3:uid="{00000000-0010-0000-0500-00000F000000}" name="매도비용" dataDxfId="175" dataCellStyle="쉼표 [0]">
      <calculatedColumnFormula>불리오[[#This Row],[매도액]]+불리오[[#This Row],[이자배당액]]-불리오[[#This Row],[현금수입]]</calculatedColumnFormula>
    </tableColumn>
    <tableColumn id="13" xr3:uid="{00000000-0010-0000-0500-00000D000000}" name="순수익" dataDxfId="174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xr3:uid="{00000000-0010-0000-0500-000005000000}" name="입출금" dataDxfId="173" dataCellStyle="쉼표 [0]"/>
    <tableColumn id="22" xr3:uid="{00000000-0010-0000-0500-000016000000}" name="순현금수입" dataDxfId="172" dataCellStyle="쉼표 [0]">
      <calculatedColumnFormula>불리오[[#This Row],[입출금]]+불리오[[#This Row],[현금수입]]-불리오[[#This Row],[현금지출]]</calculatedColumnFormula>
    </tableColumn>
    <tableColumn id="23" xr3:uid="{00000000-0010-0000-0500-000017000000}" name="누적" dataDxfId="171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표4" displayName="표4" ref="A1:S11" totalsRowShown="0" headerRowDxfId="170" dataDxfId="168" headerRowBorderDxfId="169" tableBorderDxfId="167" headerRowCellStyle="쉼표 [0]">
  <autoFilter ref="A1:S11" xr:uid="{00000000-0009-0000-0100-000004000000}"/>
  <tableColumns count="19">
    <tableColumn id="1" xr3:uid="{00000000-0010-0000-0600-000001000000}" name="거래일자" dataDxfId="166"/>
    <tableColumn id="17" xr3:uid="{00000000-0010-0000-0600-000011000000}" name="종목코드" dataDxfId="165"/>
    <tableColumn id="2" xr3:uid="{00000000-0010-0000-0600-000002000000}" name="종목명" dataDxfId="164">
      <calculatedColumnFormula>VLOOKUP(표4[[#This Row],[종목코드]],표3[],2,FALSE)</calculatedColumnFormula>
    </tableColumn>
    <tableColumn id="3" xr3:uid="{00000000-0010-0000-0600-000003000000}" name="상품명" dataDxfId="163">
      <calculatedColumnFormula>VLOOKUP(표4[[#This Row],[종목코드]],표3[],4,FALSE)</calculatedColumnFormula>
    </tableColumn>
    <tableColumn id="18" xr3:uid="{00000000-0010-0000-0600-000012000000}" name="매입수량" dataDxfId="162"/>
    <tableColumn id="4" xr3:uid="{00000000-0010-0000-0600-000004000000}" name="매입액" dataDxfId="161" dataCellStyle="쉼표 [0]"/>
    <tableColumn id="5" xr3:uid="{00000000-0010-0000-0600-000005000000}" name="현금지출" dataDxfId="160" dataCellStyle="쉼표 [0]"/>
    <tableColumn id="6" xr3:uid="{00000000-0010-0000-0600-000006000000}" name="매입비용" dataDxfId="159" dataCellStyle="쉼표 [0]">
      <calculatedColumnFormula>표4[[#This Row],[현금지출]]-표4[[#This Row],[매입액]]</calculatedColumnFormula>
    </tableColumn>
    <tableColumn id="19" xr3:uid="{00000000-0010-0000-0600-000013000000}" name="매도수량" dataDxfId="158" dataCellStyle="쉼표 [0]"/>
    <tableColumn id="7" xr3:uid="{00000000-0010-0000-0600-000007000000}" name="매도원금" dataDxfId="157" dataCellStyle="쉼표 [0]"/>
    <tableColumn id="8" xr3:uid="{00000000-0010-0000-0600-000008000000}" name="매도액" dataDxfId="156" dataCellStyle="쉼표 [0]"/>
    <tableColumn id="9" xr3:uid="{00000000-0010-0000-0600-000009000000}" name="이자배당액" dataDxfId="155" dataCellStyle="쉼표 [0]"/>
    <tableColumn id="10" xr3:uid="{00000000-0010-0000-0600-00000A000000}" name="현금수입" dataDxfId="154" dataCellStyle="쉼표 [0]"/>
    <tableColumn id="11" xr3:uid="{00000000-0010-0000-0600-00000B000000}" name="매매수익" dataDxfId="153" dataCellStyle="쉼표 [0]">
      <calculatedColumnFormula>표4[[#This Row],[매도액]]-표4[[#This Row],[매도원금]]</calculatedColumnFormula>
    </tableColumn>
    <tableColumn id="12" xr3:uid="{00000000-0010-0000-0600-00000C000000}" name="매도비용" dataDxfId="152" dataCellStyle="쉼표 [0]">
      <calculatedColumnFormula>표4[[#This Row],[매도액]]+표4[[#This Row],[이자배당액]]-표4[[#This Row],[현금수입]]</calculatedColumnFormula>
    </tableColumn>
    <tableColumn id="13" xr3:uid="{00000000-0010-0000-0600-00000D000000}" name="순수익" dataDxfId="151" dataCellStyle="쉼표 [0]">
      <calculatedColumnFormula>표4[[#This Row],[매매수익]]+표4[[#This Row],[이자배당액]]-표4[[#This Row],[매도비용]]-표4[[#This Row],[매입비용]]</calculatedColumnFormula>
    </tableColumn>
    <tableColumn id="14" xr3:uid="{00000000-0010-0000-0600-00000E000000}" name="입출금" dataDxfId="150"/>
    <tableColumn id="15" xr3:uid="{00000000-0010-0000-0600-00000F000000}" name="순현금수입" dataDxfId="149">
      <calculatedColumnFormula>표4[[#This Row],[입출금]]+표4[[#This Row],[현금수입]]-표4[[#This Row],[현금지출]]</calculatedColumnFormula>
    </tableColumn>
    <tableColumn id="16" xr3:uid="{00000000-0010-0000-0600-000010000000}" name="누적" dataDxfId="14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표4_10" displayName="표4_10" ref="A1:S4" totalsRowShown="0" headerRowDxfId="147" dataDxfId="145" headerRowBorderDxfId="146" tableBorderDxfId="144" headerRowCellStyle="쉼표 [0]">
  <autoFilter ref="A1:S4" xr:uid="{00000000-0009-0000-0100-000009000000}"/>
  <tableColumns count="19">
    <tableColumn id="1" xr3:uid="{00000000-0010-0000-0700-000001000000}" name="거래일자" dataDxfId="143"/>
    <tableColumn id="17" xr3:uid="{00000000-0010-0000-0700-000011000000}" name="종목코드" dataDxfId="142"/>
    <tableColumn id="2" xr3:uid="{00000000-0010-0000-0700-000002000000}" name="종목명" dataDxfId="141">
      <calculatedColumnFormula>VLOOKUP(표4_10[[#This Row],[종목코드]],표3[],2,FALSE)</calculatedColumnFormula>
    </tableColumn>
    <tableColumn id="3" xr3:uid="{00000000-0010-0000-0700-000003000000}" name="상품명" dataDxfId="140">
      <calculatedColumnFormula>VLOOKUP(표4_10[[#This Row],[종목코드]],표3[],4,FALSE)</calculatedColumnFormula>
    </tableColumn>
    <tableColumn id="18" xr3:uid="{00000000-0010-0000-0700-000012000000}" name="매입수량" dataDxfId="139"/>
    <tableColumn id="4" xr3:uid="{00000000-0010-0000-0700-000004000000}" name="매입액" dataDxfId="138" dataCellStyle="쉼표 [0]"/>
    <tableColumn id="5" xr3:uid="{00000000-0010-0000-0700-000005000000}" name="현금지출" dataDxfId="137" dataCellStyle="쉼표 [0]"/>
    <tableColumn id="6" xr3:uid="{00000000-0010-0000-0700-000006000000}" name="매입비용" dataDxfId="136" dataCellStyle="쉼표 [0]">
      <calculatedColumnFormula>표4_10[[#This Row],[현금지출]]-표4_10[[#This Row],[매입액]]</calculatedColumnFormula>
    </tableColumn>
    <tableColumn id="19" xr3:uid="{00000000-0010-0000-0700-000013000000}" name="매도수량" dataDxfId="135" dataCellStyle="쉼표 [0]"/>
    <tableColumn id="7" xr3:uid="{00000000-0010-0000-0700-000007000000}" name="매도원금" dataDxfId="134" dataCellStyle="쉼표 [0]"/>
    <tableColumn id="8" xr3:uid="{00000000-0010-0000-0700-000008000000}" name="매도액" dataDxfId="133" dataCellStyle="쉼표 [0]"/>
    <tableColumn id="9" xr3:uid="{00000000-0010-0000-0700-000009000000}" name="이자배당액" dataDxfId="132" dataCellStyle="쉼표 [0]"/>
    <tableColumn id="10" xr3:uid="{00000000-0010-0000-0700-00000A000000}" name="현금수입" dataDxfId="131" dataCellStyle="쉼표 [0]"/>
    <tableColumn id="11" xr3:uid="{00000000-0010-0000-0700-00000B000000}" name="매매수익" dataDxfId="130" dataCellStyle="쉼표 [0]">
      <calculatedColumnFormula>표4_10[[#This Row],[매도액]]-표4_10[[#This Row],[매도원금]]</calculatedColumnFormula>
    </tableColumn>
    <tableColumn id="12" xr3:uid="{00000000-0010-0000-0700-00000C000000}" name="매도비용" dataDxfId="129" dataCellStyle="쉼표 [0]">
      <calculatedColumnFormula>표4_10[[#This Row],[매도액]]+표4_10[[#This Row],[이자배당액]]-표4_10[[#This Row],[현금수입]]</calculatedColumnFormula>
    </tableColumn>
    <tableColumn id="13" xr3:uid="{00000000-0010-0000-0700-00000D000000}" name="순수익" dataDxfId="128" dataCellStyle="쉼표 [0]">
      <calculatedColumnFormula>표4_10[[#This Row],[매매수익]]+표4_10[[#This Row],[이자배당액]]-표4_10[[#This Row],[매도비용]]-표4_10[[#This Row],[매입비용]]</calculatedColumnFormula>
    </tableColumn>
    <tableColumn id="14" xr3:uid="{00000000-0010-0000-0700-00000E000000}" name="입출금" dataDxfId="127"/>
    <tableColumn id="15" xr3:uid="{00000000-0010-0000-0700-00000F000000}" name="순현금수입" dataDxfId="126">
      <calculatedColumnFormula>표4_10[[#This Row],[입출금]]+표4_10[[#This Row],[현금수입]]-표4_10[[#This Row],[현금지출]]</calculatedColumnFormula>
    </tableColumn>
    <tableColumn id="16" xr3:uid="{00000000-0010-0000-0700-000010000000}" name="누적" dataDxfId="125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8000000}" name="CMA_한투1837" displayName="CMA_한투1837" ref="A1:T4" totalsRowShown="0" headerRowDxfId="124" dataDxfId="123" headerRowCellStyle="쉼표 [0]" dataCellStyle="쉼표 [0]">
  <autoFilter ref="A1:T4" xr:uid="{00000000-0009-0000-0100-000006000000}"/>
  <tableColumns count="20">
    <tableColumn id="1" xr3:uid="{00000000-0010-0000-0800-000001000000}" name="거래일자" dataDxfId="122" totalsRowDxfId="121"/>
    <tableColumn id="6" xr3:uid="{00000000-0010-0000-0800-000006000000}" name="종목코드" dataDxfId="120" totalsRowDxfId="119"/>
    <tableColumn id="9" xr3:uid="{00000000-0010-0000-0800-000009000000}" name="종목명" dataDxfId="118" totalsRowDxfId="117">
      <calculatedColumnFormula>VLOOKUP(CMA_한투1837[[#This Row],[종목코드]],표3[],2,FALSE)</calculatedColumnFormula>
    </tableColumn>
    <tableColumn id="10" xr3:uid="{00000000-0010-0000-0800-00000A000000}" name="상품명" dataDxfId="116" totalsRowDxfId="115">
      <calculatedColumnFormula>VLOOKUP(CMA_한투1837[[#This Row],[종목코드]],표3[],4,FALSE)</calculatedColumnFormula>
    </tableColumn>
    <tableColumn id="7" xr3:uid="{00000000-0010-0000-0800-000007000000}" name="매입수량" dataDxfId="114" totalsRowDxfId="113"/>
    <tableColumn id="2" xr3:uid="{00000000-0010-0000-0800-000002000000}" name="매입액" dataDxfId="112" totalsRowDxfId="111" dataCellStyle="쉼표 [0]"/>
    <tableColumn id="5" xr3:uid="{00000000-0010-0000-0800-000005000000}" name="현금지출" dataDxfId="110" totalsRowDxfId="109" dataCellStyle="쉼표 [0]"/>
    <tableColumn id="16" xr3:uid="{00000000-0010-0000-0800-000010000000}" name="매입비용" dataDxfId="108" totalsRowDxfId="107" dataCellStyle="쉼표 [0]">
      <calculatedColumnFormula>CMA_한투1837[[#This Row],[현금지출]]-CMA_한투1837[[#This Row],[매입액]]</calculatedColumnFormula>
    </tableColumn>
    <tableColumn id="8" xr3:uid="{00000000-0010-0000-0800-000008000000}" name="매도수량" dataDxfId="106" totalsRowDxfId="105" dataCellStyle="쉼표 [0]"/>
    <tableColumn id="3" xr3:uid="{00000000-0010-0000-0800-000003000000}" name="매도원금" dataDxfId="104" totalsRowDxfId="103" dataCellStyle="쉼표 [0]"/>
    <tableColumn id="15" xr3:uid="{00000000-0010-0000-0800-00000F000000}" name="매도액" dataDxfId="102" totalsRowDxfId="101" dataCellStyle="쉼표 [0]"/>
    <tableColumn id="14" xr3:uid="{00000000-0010-0000-0800-00000E000000}" name="이자배당액" dataDxfId="100" totalsRowDxfId="99" dataCellStyle="쉼표 [0]"/>
    <tableColumn id="13" xr3:uid="{00000000-0010-0000-0800-00000D000000}" name="현금수입" dataDxfId="98" totalsRowDxfId="97" dataCellStyle="쉼표 [0]"/>
    <tableColumn id="17" xr3:uid="{00000000-0010-0000-0800-000011000000}" name="매매수익" dataDxfId="96" totalsRowDxfId="95" dataCellStyle="쉼표 [0]">
      <calculatedColumnFormula>CMA_한투1837[[#This Row],[매도액]]-CMA_한투1837[[#This Row],[매도원금]]</calculatedColumnFormula>
    </tableColumn>
    <tableColumn id="18" xr3:uid="{00000000-0010-0000-0800-000012000000}" name="매도비용" dataDxfId="94" totalsRowDxfId="93" dataCellStyle="쉼표 [0]">
      <calculatedColumnFormula>CMA_한투1837[[#This Row],[매도액]]+CMA_한투1837[[#This Row],[이자배당액]]-CMA_한투1837[[#This Row],[현금수입]]</calculatedColumnFormula>
    </tableColumn>
    <tableColumn id="19" xr3:uid="{00000000-0010-0000-0800-000013000000}" name="순수익" dataDxfId="92" totalsRowDxfId="91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xr3:uid="{00000000-0010-0000-0800-000004000000}" name="입출금" dataDxfId="90" totalsRowDxfId="89" dataCellStyle="쉼표 [0]"/>
    <tableColumn id="21" xr3:uid="{00000000-0010-0000-0800-000015000000}" name="순현금수입" dataDxfId="88" totalsRowDxfId="87" dataCellStyle="쉼표 [0]">
      <calculatedColumnFormula>CMA_한투1837[[#This Row],[입출금]]+CMA_한투1837[[#This Row],[현금수입]]-CMA_한투1837[[#This Row],[현금지출]]</calculatedColumnFormula>
    </tableColumn>
    <tableColumn id="22" xr3:uid="{00000000-0010-0000-0800-000016000000}" name="누적" dataDxfId="86" totalsRowDxfId="85" dataCellStyle="쉼표 [0]">
      <calculatedColumnFormula>SUM($R$2:R2)</calculatedColumnFormula>
    </tableColumn>
    <tableColumn id="12" xr3:uid="{00000000-0010-0000-0800-00000C000000}" name="외화입출금" dataDxfId="84" totalsRowDxfId="83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opLeftCell="A34" workbookViewId="0">
      <selection activeCell="J67" sqref="J67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0" width="15.25" bestFit="1" customWidth="1"/>
  </cols>
  <sheetData>
    <row r="1" spans="1:10" x14ac:dyDescent="0.3">
      <c r="A1" t="s">
        <v>77</v>
      </c>
      <c r="B1" t="s">
        <v>78</v>
      </c>
      <c r="C1" t="s">
        <v>311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310</v>
      </c>
    </row>
    <row r="2" spans="1:10" x14ac:dyDescent="0.3">
      <c r="A2" s="31" t="s">
        <v>113</v>
      </c>
      <c r="B2" t="s">
        <v>90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7.5199999999999818</v>
      </c>
    </row>
    <row r="3" spans="1:10" x14ac:dyDescent="0.3">
      <c r="A3" s="31" t="s">
        <v>114</v>
      </c>
      <c r="B3" t="s">
        <v>91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-0.1600000000000108</v>
      </c>
    </row>
    <row r="4" spans="1:10" x14ac:dyDescent="0.3">
      <c r="A4" s="31" t="s">
        <v>115</v>
      </c>
      <c r="B4" t="s">
        <v>92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-16.72999999999999</v>
      </c>
    </row>
    <row r="5" spans="1:10" x14ac:dyDescent="0.3">
      <c r="A5" s="31" t="s">
        <v>116</v>
      </c>
      <c r="B5" t="s">
        <v>93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-3.7800000000000011</v>
      </c>
    </row>
    <row r="6" spans="1:10" x14ac:dyDescent="0.3">
      <c r="A6" s="31" t="s">
        <v>117</v>
      </c>
      <c r="B6" t="s">
        <v>94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-15.199999999999989</v>
      </c>
    </row>
    <row r="7" spans="1:10" x14ac:dyDescent="0.3">
      <c r="A7" s="31" t="s">
        <v>118</v>
      </c>
      <c r="B7" t="s">
        <v>95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8.1700000000001012</v>
      </c>
    </row>
    <row r="8" spans="1:10" x14ac:dyDescent="0.3">
      <c r="A8" s="31" t="s">
        <v>119</v>
      </c>
      <c r="B8" t="s">
        <v>96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-1.2900000000000205</v>
      </c>
    </row>
    <row r="9" spans="1:10" x14ac:dyDescent="0.3">
      <c r="A9" s="31" t="s">
        <v>120</v>
      </c>
      <c r="B9" t="s">
        <v>97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</row>
    <row r="10" spans="1:10" x14ac:dyDescent="0.3">
      <c r="A10" s="31" t="s">
        <v>121</v>
      </c>
      <c r="B10" t="s">
        <v>98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21.75</v>
      </c>
    </row>
    <row r="11" spans="1:10" x14ac:dyDescent="0.3">
      <c r="A11" s="31" t="s">
        <v>122</v>
      </c>
      <c r="B11" t="s">
        <v>99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9.4300000000000068</v>
      </c>
    </row>
    <row r="12" spans="1:10" x14ac:dyDescent="0.3">
      <c r="A12" s="31" t="s">
        <v>123</v>
      </c>
      <c r="B12" t="s">
        <v>100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36.759999999999991</v>
      </c>
    </row>
    <row r="13" spans="1:10" x14ac:dyDescent="0.3">
      <c r="A13" s="31" t="s">
        <v>124</v>
      </c>
      <c r="B13" t="s">
        <v>101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-8.8299999999999841</v>
      </c>
    </row>
    <row r="14" spans="1:10" x14ac:dyDescent="0.3">
      <c r="A14" s="31" t="s">
        <v>125</v>
      </c>
      <c r="B14" t="s">
        <v>102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43.339999999999918</v>
      </c>
    </row>
    <row r="15" spans="1:10" x14ac:dyDescent="0.3">
      <c r="A15" s="31" t="s">
        <v>126</v>
      </c>
      <c r="B15" t="s">
        <v>103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</row>
    <row r="16" spans="1:10" x14ac:dyDescent="0.3">
      <c r="A16" s="31" t="s">
        <v>127</v>
      </c>
      <c r="B16" t="s">
        <v>104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</row>
    <row r="17" spans="1:10" x14ac:dyDescent="0.3">
      <c r="A17" s="31" t="s">
        <v>128</v>
      </c>
      <c r="B17" t="s">
        <v>105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2.2200000000000273</v>
      </c>
    </row>
    <row r="18" spans="1:10" x14ac:dyDescent="0.3">
      <c r="A18" s="31" t="s">
        <v>141</v>
      </c>
      <c r="B18" s="5" t="s">
        <v>144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</row>
    <row r="19" spans="1:10" x14ac:dyDescent="0.3">
      <c r="A19" s="31" t="s">
        <v>129</v>
      </c>
      <c r="B19" t="s">
        <v>106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</row>
    <row r="20" spans="1:10" x14ac:dyDescent="0.3">
      <c r="A20" s="31" t="s">
        <v>130</v>
      </c>
      <c r="B20" t="s">
        <v>107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</row>
    <row r="21" spans="1:10" x14ac:dyDescent="0.3">
      <c r="A21" s="31" t="s">
        <v>140</v>
      </c>
      <c r="B21" s="5" t="s">
        <v>145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</row>
    <row r="22" spans="1:10" x14ac:dyDescent="0.3">
      <c r="A22" s="31" t="s">
        <v>79</v>
      </c>
      <c r="B22" t="s">
        <v>10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714000</v>
      </c>
    </row>
    <row r="23" spans="1:10" x14ac:dyDescent="0.3">
      <c r="A23" s="31" t="s">
        <v>80</v>
      </c>
      <c r="B23" t="s">
        <v>150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</row>
    <row r="24" spans="1:10" x14ac:dyDescent="0.3">
      <c r="A24" s="31" t="s">
        <v>81</v>
      </c>
      <c r="B24" t="s">
        <v>135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</row>
    <row r="25" spans="1:10" x14ac:dyDescent="0.3">
      <c r="A25" s="31" t="s">
        <v>82</v>
      </c>
      <c r="B25" t="s">
        <v>66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399892</v>
      </c>
    </row>
    <row r="26" spans="1:10" x14ac:dyDescent="0.3">
      <c r="A26" s="31" t="s">
        <v>284</v>
      </c>
      <c r="B26" s="5" t="s">
        <v>181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114050</v>
      </c>
    </row>
    <row r="27" spans="1:10" x14ac:dyDescent="0.3">
      <c r="A27" s="31" t="s">
        <v>267</v>
      </c>
      <c r="B27" s="5" t="s">
        <v>179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</row>
    <row r="28" spans="1:10" x14ac:dyDescent="0.3">
      <c r="A28" s="31" t="s">
        <v>272</v>
      </c>
      <c r="B28" s="5" t="s">
        <v>178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0</v>
      </c>
    </row>
    <row r="29" spans="1:10" x14ac:dyDescent="0.3">
      <c r="A29" s="31" t="s">
        <v>264</v>
      </c>
      <c r="B29" s="5" t="s">
        <v>192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</row>
    <row r="30" spans="1:10" x14ac:dyDescent="0.3">
      <c r="A30" s="31" t="s">
        <v>270</v>
      </c>
      <c r="B30" s="5" t="s">
        <v>193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0</v>
      </c>
    </row>
    <row r="31" spans="1:10" x14ac:dyDescent="0.3">
      <c r="A31" s="31" t="s">
        <v>83</v>
      </c>
      <c r="B31" t="s">
        <v>108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</row>
    <row r="32" spans="1:10" x14ac:dyDescent="0.3">
      <c r="A32" s="31" t="s">
        <v>84</v>
      </c>
      <c r="B32" t="s">
        <v>109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</row>
    <row r="33" spans="1:10" x14ac:dyDescent="0.3">
      <c r="A33" s="31" t="s">
        <v>85</v>
      </c>
      <c r="B33" t="s">
        <v>110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</row>
    <row r="34" spans="1:10" x14ac:dyDescent="0.3">
      <c r="A34" s="31" t="s">
        <v>86</v>
      </c>
      <c r="B34" t="s">
        <v>136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</row>
    <row r="35" spans="1:10" x14ac:dyDescent="0.3">
      <c r="A35" s="31" t="s">
        <v>87</v>
      </c>
      <c r="B35" t="s">
        <v>111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J35">
        <v>0</v>
      </c>
    </row>
    <row r="36" spans="1:10" x14ac:dyDescent="0.3">
      <c r="A36" s="31" t="s">
        <v>88</v>
      </c>
      <c r="B36" t="s">
        <v>112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</row>
    <row r="37" spans="1:10" x14ac:dyDescent="0.3">
      <c r="A37" s="31" t="s">
        <v>260</v>
      </c>
      <c r="B37" s="5" t="s">
        <v>184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0</v>
      </c>
    </row>
    <row r="38" spans="1:10" x14ac:dyDescent="0.3">
      <c r="A38" s="31" t="s">
        <v>89</v>
      </c>
      <c r="B38" t="s">
        <v>149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</row>
    <row r="39" spans="1:10" x14ac:dyDescent="0.3">
      <c r="A39" s="31" t="s">
        <v>255</v>
      </c>
      <c r="B39" t="s">
        <v>163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0</v>
      </c>
    </row>
    <row r="40" spans="1:10" x14ac:dyDescent="0.3">
      <c r="A40" s="31" t="s">
        <v>257</v>
      </c>
      <c r="B40" s="5" t="s">
        <v>164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0</v>
      </c>
    </row>
    <row r="41" spans="1:10" x14ac:dyDescent="0.3">
      <c r="A41" s="31" t="s">
        <v>291</v>
      </c>
      <c r="B41" s="5" t="s">
        <v>165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0</v>
      </c>
    </row>
    <row r="42" spans="1:10" x14ac:dyDescent="0.3">
      <c r="A42" s="31" t="s">
        <v>287</v>
      </c>
      <c r="B42" s="5" t="s">
        <v>162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0</v>
      </c>
    </row>
    <row r="43" spans="1:10" x14ac:dyDescent="0.3">
      <c r="A43" s="31" t="s">
        <v>151</v>
      </c>
      <c r="B43" s="5" t="s">
        <v>152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</row>
    <row r="44" spans="1:10" x14ac:dyDescent="0.3">
      <c r="A44" s="31" t="s">
        <v>154</v>
      </c>
      <c r="B44" s="5" t="s">
        <v>153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0</v>
      </c>
    </row>
    <row r="45" spans="1:10" x14ac:dyDescent="0.3">
      <c r="A45" s="31" t="s">
        <v>156</v>
      </c>
      <c r="B45" s="5" t="s">
        <v>155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</row>
    <row r="46" spans="1:10" x14ac:dyDescent="0.3">
      <c r="A46" s="31" t="s">
        <v>276</v>
      </c>
      <c r="B46" s="5" t="s">
        <v>160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164000</v>
      </c>
    </row>
    <row r="47" spans="1:10" x14ac:dyDescent="0.3">
      <c r="A47" s="31" t="s">
        <v>274</v>
      </c>
      <c r="B47" s="5" t="s">
        <v>161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0</v>
      </c>
    </row>
    <row r="48" spans="1:10" x14ac:dyDescent="0.3">
      <c r="A48" s="31" t="s">
        <v>227</v>
      </c>
      <c r="B48" s="5" t="s">
        <v>187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-2674</v>
      </c>
    </row>
    <row r="49" spans="1:10" x14ac:dyDescent="0.3">
      <c r="A49" s="31" t="s">
        <v>199</v>
      </c>
      <c r="B49" s="5" t="s">
        <v>200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57600</v>
      </c>
    </row>
    <row r="50" spans="1:10" x14ac:dyDescent="0.3">
      <c r="A50" s="31" t="s">
        <v>202</v>
      </c>
      <c r="B50" s="5" t="s">
        <v>203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30</v>
      </c>
    </row>
    <row r="51" spans="1:10" x14ac:dyDescent="0.3">
      <c r="A51" s="31" t="s">
        <v>279</v>
      </c>
      <c r="B51" s="5" t="s">
        <v>229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57570</v>
      </c>
    </row>
    <row r="52" spans="1:10" x14ac:dyDescent="0.3">
      <c r="A52" s="31" t="s">
        <v>285</v>
      </c>
      <c r="B52" s="5" t="s">
        <v>231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183365</v>
      </c>
    </row>
    <row r="53" spans="1:10" x14ac:dyDescent="0.3">
      <c r="A53" s="31" t="s">
        <v>277</v>
      </c>
      <c r="B53" s="5" t="s">
        <v>233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11520</v>
      </c>
    </row>
    <row r="54" spans="1:10" x14ac:dyDescent="0.3">
      <c r="A54" s="31" t="s">
        <v>458</v>
      </c>
      <c r="B54" s="5" t="s">
        <v>237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0</v>
      </c>
    </row>
    <row r="55" spans="1:10" x14ac:dyDescent="0.3">
      <c r="A55" s="31" t="s">
        <v>242</v>
      </c>
      <c r="B55" s="5" t="s">
        <v>240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-443800</v>
      </c>
    </row>
    <row r="56" spans="1:10" x14ac:dyDescent="0.3">
      <c r="A56" s="31" t="s">
        <v>278</v>
      </c>
      <c r="B56" s="5" t="s">
        <v>243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20615</v>
      </c>
    </row>
    <row r="57" spans="1:10" x14ac:dyDescent="0.3">
      <c r="A57" s="31" t="s">
        <v>280</v>
      </c>
      <c r="B57" s="5" t="s">
        <v>245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0</v>
      </c>
    </row>
    <row r="58" spans="1:10" x14ac:dyDescent="0.3">
      <c r="A58" s="31" t="s">
        <v>429</v>
      </c>
      <c r="B58" s="5" t="s">
        <v>312</v>
      </c>
      <c r="D58" t="s">
        <v>313</v>
      </c>
      <c r="E58" t="s">
        <v>314</v>
      </c>
      <c r="F58" t="s">
        <v>315</v>
      </c>
      <c r="G58" t="s">
        <v>316</v>
      </c>
      <c r="H58" t="s">
        <v>317</v>
      </c>
      <c r="J58" s="5">
        <v>0</v>
      </c>
    </row>
    <row r="59" spans="1:10" x14ac:dyDescent="0.3">
      <c r="A59" s="31" t="s">
        <v>421</v>
      </c>
      <c r="B59" s="5" t="s">
        <v>423</v>
      </c>
      <c r="D59" t="s">
        <v>424</v>
      </c>
      <c r="E59" t="s">
        <v>425</v>
      </c>
      <c r="F59" t="s">
        <v>426</v>
      </c>
      <c r="G59" t="s">
        <v>427</v>
      </c>
      <c r="H59" t="s">
        <v>428</v>
      </c>
      <c r="J59" s="5">
        <v>0</v>
      </c>
    </row>
    <row r="60" spans="1:10" x14ac:dyDescent="0.3">
      <c r="A60" s="31" t="s">
        <v>436</v>
      </c>
      <c r="B60" s="5" t="s">
        <v>431</v>
      </c>
      <c r="D60" t="s">
        <v>430</v>
      </c>
      <c r="E60" t="s">
        <v>425</v>
      </c>
      <c r="F60" t="s">
        <v>17</v>
      </c>
      <c r="G60" t="s">
        <v>427</v>
      </c>
      <c r="H60" t="s">
        <v>428</v>
      </c>
      <c r="J60" s="5">
        <v>0</v>
      </c>
    </row>
    <row r="61" spans="1:10" x14ac:dyDescent="0.3">
      <c r="A61" s="31" t="s">
        <v>437</v>
      </c>
      <c r="B61" s="5" t="s">
        <v>432</v>
      </c>
      <c r="D61" t="s">
        <v>433</v>
      </c>
      <c r="E61" t="s">
        <v>425</v>
      </c>
      <c r="F61" t="s">
        <v>17</v>
      </c>
      <c r="G61" t="s">
        <v>427</v>
      </c>
      <c r="H61" t="s">
        <v>428</v>
      </c>
      <c r="J61" s="5">
        <v>0</v>
      </c>
    </row>
    <row r="62" spans="1:10" x14ac:dyDescent="0.3">
      <c r="A62" s="31" t="s">
        <v>438</v>
      </c>
      <c r="B62" s="5" t="s">
        <v>434</v>
      </c>
      <c r="D62" t="s">
        <v>435</v>
      </c>
      <c r="E62" t="s">
        <v>425</v>
      </c>
      <c r="F62" t="s">
        <v>17</v>
      </c>
      <c r="G62" t="s">
        <v>427</v>
      </c>
      <c r="H62" t="s">
        <v>428</v>
      </c>
      <c r="J62" s="5">
        <v>0</v>
      </c>
    </row>
    <row r="63" spans="1:10" x14ac:dyDescent="0.3">
      <c r="A63" s="31" t="s">
        <v>448</v>
      </c>
      <c r="B63" s="5" t="s">
        <v>457</v>
      </c>
      <c r="D63" t="s">
        <v>455</v>
      </c>
      <c r="E63" t="s">
        <v>452</v>
      </c>
      <c r="F63" t="s">
        <v>18</v>
      </c>
      <c r="G63" t="s">
        <v>453</v>
      </c>
      <c r="H63" t="s">
        <v>456</v>
      </c>
      <c r="J63" s="5">
        <v>0</v>
      </c>
    </row>
    <row r="64" spans="1:10" x14ac:dyDescent="0.3">
      <c r="A64" s="31" t="s">
        <v>449</v>
      </c>
      <c r="B64" s="5" t="s">
        <v>450</v>
      </c>
      <c r="D64" t="s">
        <v>451</v>
      </c>
      <c r="E64" t="s">
        <v>452</v>
      </c>
      <c r="F64" t="s">
        <v>18</v>
      </c>
      <c r="G64" t="s">
        <v>453</v>
      </c>
      <c r="H64" t="s">
        <v>454</v>
      </c>
      <c r="J64" s="5">
        <v>0</v>
      </c>
    </row>
    <row r="65" spans="1:10" x14ac:dyDescent="0.3">
      <c r="A65" s="31" t="s">
        <v>518</v>
      </c>
      <c r="B65" s="5" t="s">
        <v>519</v>
      </c>
      <c r="D65" s="5" t="s">
        <v>519</v>
      </c>
      <c r="E65" t="s">
        <v>520</v>
      </c>
      <c r="F65" t="s">
        <v>521</v>
      </c>
      <c r="G65" t="s">
        <v>522</v>
      </c>
      <c r="H65" t="s">
        <v>523</v>
      </c>
      <c r="J65" s="5">
        <v>0</v>
      </c>
    </row>
    <row r="66" spans="1:10" x14ac:dyDescent="0.3">
      <c r="A66" s="31">
        <v>453870</v>
      </c>
      <c r="B66" s="5" t="s">
        <v>524</v>
      </c>
      <c r="D66" t="s">
        <v>525</v>
      </c>
      <c r="E66" t="s">
        <v>526</v>
      </c>
      <c r="F66" t="s">
        <v>527</v>
      </c>
      <c r="G66" t="s">
        <v>528</v>
      </c>
      <c r="H66" t="s">
        <v>529</v>
      </c>
      <c r="J66" s="5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4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4" sqref="S4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>
        <v>0</v>
      </c>
      <c r="G2" s="24">
        <v>0</v>
      </c>
      <c r="H2" s="24">
        <f>표4_10[[#This Row],[현금지출]]-표4_10[[#This Row],[매입액]]</f>
        <v>0</v>
      </c>
      <c r="I2" s="44">
        <v>0</v>
      </c>
      <c r="J2" s="23">
        <v>0</v>
      </c>
      <c r="K2" s="23">
        <v>0</v>
      </c>
      <c r="L2" s="23">
        <v>0</v>
      </c>
      <c r="M2" s="23">
        <v>0</v>
      </c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359653</v>
      </c>
      <c r="G3" s="28">
        <v>359653</v>
      </c>
      <c r="H3" s="28">
        <f>표4_10[[#This Row],[현금지출]]-표4_10[[#This Row],[매입액]]</f>
        <v>0</v>
      </c>
      <c r="I3" s="45">
        <v>0</v>
      </c>
      <c r="J3" s="27">
        <v>0</v>
      </c>
      <c r="K3" s="27">
        <v>0</v>
      </c>
      <c r="L3" s="27">
        <v>0</v>
      </c>
      <c r="M3" s="27">
        <v>0</v>
      </c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359653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  <row r="4" spans="1:19" x14ac:dyDescent="0.3">
      <c r="A4" s="99">
        <v>45343</v>
      </c>
      <c r="B4" s="106" t="s">
        <v>422</v>
      </c>
      <c r="C4" s="97" t="str">
        <f>VLOOKUP(표4_10[[#This Row],[종목코드]],표3[],2,FALSE)</f>
        <v>일본배당주</v>
      </c>
      <c r="D4" s="100" t="str">
        <f>VLOOKUP(표4_10[[#This Row],[종목코드]],표3[],4,FALSE)</f>
        <v>NEXT FUNDS JAPAN HIGH DIVIDEND EQUITY ACTIVE EXCHANGE TRADED</v>
      </c>
      <c r="E4" s="43">
        <v>151</v>
      </c>
      <c r="F4" s="101">
        <v>335069</v>
      </c>
      <c r="G4" s="102">
        <v>336007</v>
      </c>
      <c r="H4" s="102">
        <f>표4_10[[#This Row],[현금지출]]-표4_10[[#This Row],[매입액]]</f>
        <v>938</v>
      </c>
      <c r="I4" s="98">
        <v>0</v>
      </c>
      <c r="J4" s="101">
        <v>0</v>
      </c>
      <c r="K4" s="101">
        <v>0</v>
      </c>
      <c r="L4" s="101">
        <v>0</v>
      </c>
      <c r="M4" s="101">
        <v>0</v>
      </c>
      <c r="N4" s="101">
        <f>표4_10[[#This Row],[매도액]]-표4_10[[#This Row],[매도원금]]</f>
        <v>0</v>
      </c>
      <c r="O4" s="101">
        <f>표4_10[[#This Row],[매도액]]+표4_10[[#This Row],[이자배당액]]-표4_10[[#This Row],[현금수입]]</f>
        <v>0</v>
      </c>
      <c r="P4" s="103">
        <f>표4_10[[#This Row],[매매수익]]+표4_10[[#This Row],[이자배당액]]-표4_10[[#This Row],[매도비용]]-표4_10[[#This Row],[매입비용]]</f>
        <v>-938</v>
      </c>
      <c r="Q4" s="30">
        <v>336258</v>
      </c>
      <c r="R4" s="30">
        <f>표4_10[[#This Row],[입출금]]+표4_10[[#This Row],[현금수입]]-표4_10[[#This Row],[현금지출]]</f>
        <v>251</v>
      </c>
      <c r="S4" s="26">
        <f>SUM($R$2:R4)</f>
        <v>3162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"/>
  <sheetViews>
    <sheetView zoomScale="85" zoomScaleNormal="85" workbookViewId="0">
      <selection activeCell="F4" sqref="F4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22572209</v>
      </c>
      <c r="G2">
        <v>22572209</v>
      </c>
      <c r="H2">
        <f>CMA_한투1837[[#This Row],[현금지출]]-CMA_한투1837[[#This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22572209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284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3199997</v>
      </c>
      <c r="G3">
        <v>3199997</v>
      </c>
      <c r="H3">
        <f>CMA_한투1837[[#This Row],[현금지출]]-CMA_한투1837[[#This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3199997</v>
      </c>
      <c r="R3">
        <f>CMA_한투1837[[#This Row],[입출금]]+CMA_한투1837[[#This Row],[현금수입]]-CMA_한투1837[[#This Row],[현금지출]]</f>
        <v>0</v>
      </c>
      <c r="S3">
        <f>SUM($R$2:R3)</f>
        <v>0</v>
      </c>
      <c r="T3"/>
    </row>
    <row r="4" spans="1:20" x14ac:dyDescent="0.3">
      <c r="A4" s="1">
        <v>45336</v>
      </c>
      <c r="B4" s="46" t="s">
        <v>284</v>
      </c>
      <c r="C4" s="1" t="str">
        <f>VLOOKUP(CMA_한투1837[[#This Row],[종목코드]],표3[],2,FALSE)</f>
        <v>엔화자산</v>
      </c>
      <c r="D4" s="9" t="str">
        <f>VLOOKUP(CMA_한투1837[[#This Row],[종목코드]],표3[],4,FALSE)</f>
        <v>엔화자산 원화평가</v>
      </c>
      <c r="E4" s="38">
        <v>0</v>
      </c>
      <c r="F4" s="93">
        <v>2999992</v>
      </c>
      <c r="G4" s="93">
        <v>2999992</v>
      </c>
      <c r="H4" s="94">
        <f>CMA_한투1837[[#This Row],[현금지출]]-CMA_한투1837[[#This Row],[매입액]]</f>
        <v>0</v>
      </c>
      <c r="I4" s="94">
        <v>0</v>
      </c>
      <c r="J4" s="93">
        <v>0</v>
      </c>
      <c r="K4" s="93">
        <v>0</v>
      </c>
      <c r="L4" s="93">
        <v>0</v>
      </c>
      <c r="M4" s="93">
        <v>0</v>
      </c>
      <c r="N4" s="94">
        <f>CMA_한투1837[[#This Row],[매도액]]-CMA_한투1837[[#This Row],[매도원금]]</f>
        <v>0</v>
      </c>
      <c r="O4" s="94">
        <f>CMA_한투1837[[#This Row],[매도액]]+CMA_한투1837[[#This Row],[이자배당액]]-CMA_한투1837[[#This Row],[현금수입]]</f>
        <v>0</v>
      </c>
      <c r="P4" s="94">
        <f>CMA_한투1837[[#This Row],[매매수익]]+CMA_한투1837[[#This Row],[이자배당액]]-CMA_한투1837[[#This Row],[매도비용]]-CMA_한투1837[[#This Row],[매입비용]]</f>
        <v>0</v>
      </c>
      <c r="Q4" s="96">
        <v>2999992</v>
      </c>
      <c r="R4" s="94">
        <f>CMA_한투1837[[#This Row],[입출금]]+CMA_한투1837[[#This Row],[현금수입]]-CMA_한투1837[[#This Row],[현금지출]]</f>
        <v>0</v>
      </c>
      <c r="S4" s="94">
        <f>SUM($R$2:R4)</f>
        <v>0</v>
      </c>
      <c r="T4" s="95">
        <v>-336258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43"/>
  <sheetViews>
    <sheetView topLeftCell="A13" zoomScale="85" zoomScaleNormal="85" workbookViewId="0">
      <selection activeCell="D53" sqref="D53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7" width="11.87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31" t="s">
        <v>272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 s="7">
        <v>0</v>
      </c>
      <c r="G2" s="7">
        <v>0</v>
      </c>
      <c r="H2">
        <f>CMA_한투183611[[#This Row],[현금지출]]-CMA_한투183611[[#This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575509</v>
      </c>
      <c r="R2">
        <f>CMA_한투183611[[#This Row],[입출금]]+CMA_한투183611[[#This Row],[현금수입]]-CMA_한투183611[[#This Row],[현금지출]]</f>
        <v>575509</v>
      </c>
      <c r="S2">
        <f>SUM($R$2:R2)</f>
        <v>575509</v>
      </c>
    </row>
    <row r="3" spans="1:19" s="2" customFormat="1" x14ac:dyDescent="0.3">
      <c r="A3" s="1">
        <v>45292</v>
      </c>
      <c r="B3" s="31" t="s">
        <v>291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 s="7">
        <v>17176678</v>
      </c>
      <c r="G3" s="7">
        <v>17176678</v>
      </c>
      <c r="H3">
        <f>CMA_한투183611[[#This Row],[현금지출]]-CMA_한투183611[[#This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575509</v>
      </c>
    </row>
    <row r="4" spans="1:19" s="2" customFormat="1" x14ac:dyDescent="0.3">
      <c r="A4" s="1">
        <v>45292</v>
      </c>
      <c r="B4" s="31" t="s">
        <v>287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 s="7">
        <v>10043166</v>
      </c>
      <c r="G4" s="7">
        <v>10043166</v>
      </c>
      <c r="H4">
        <f>CMA_한투183611[[#This Row],[현금지출]]-CMA_한투183611[[#This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575509</v>
      </c>
    </row>
    <row r="5" spans="1:19" s="2" customFormat="1" x14ac:dyDescent="0.3">
      <c r="A5" s="1">
        <v>45292</v>
      </c>
      <c r="B5" s="31" t="s">
        <v>276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 s="7">
        <v>956000</v>
      </c>
      <c r="G5" s="7">
        <v>956000</v>
      </c>
      <c r="H5">
        <f>CMA_한투183611[[#This Row],[현금지출]]-CMA_한투183611[[#This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956000</v>
      </c>
      <c r="R5">
        <f>CMA_한투183611[[#This Row],[입출금]]+CMA_한투183611[[#This Row],[현금수입]]-CMA_한투183611[[#This Row],[현금지출]]</f>
        <v>0</v>
      </c>
      <c r="S5">
        <f>SUM($R$2:R5)</f>
        <v>575509</v>
      </c>
    </row>
    <row r="6" spans="1:19" s="2" customFormat="1" x14ac:dyDescent="0.3">
      <c r="A6" s="1">
        <v>45292</v>
      </c>
      <c r="B6" s="31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 s="7">
        <v>2932800</v>
      </c>
      <c r="G6" s="7">
        <v>2932800</v>
      </c>
      <c r="H6">
        <f>CMA_한투183611[[#This Row],[현금지출]]-CMA_한투183611[[#This Row],[매입액]]</f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2932800</v>
      </c>
      <c r="R6">
        <f>CMA_한투183611[[#This Row],[입출금]]+CMA_한투183611[[#This Row],[현금수입]]-CMA_한투183611[[#This Row],[현금지출]]</f>
        <v>0</v>
      </c>
      <c r="S6">
        <f>SUM($R$2:R6)</f>
        <v>575509</v>
      </c>
    </row>
    <row r="7" spans="1:19" s="2" customFormat="1" x14ac:dyDescent="0.3">
      <c r="A7" s="1">
        <v>45292</v>
      </c>
      <c r="B7" s="31" t="s">
        <v>279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 s="7">
        <v>3014850</v>
      </c>
      <c r="G7" s="7">
        <v>3014850</v>
      </c>
      <c r="H7">
        <f>CMA_한투183611[[#This Row],[현금지출]]-CMA_한투183611[[#This Row],[매입액]]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3014850</v>
      </c>
      <c r="R7">
        <f>CMA_한투183611[[#This Row],[입출금]]+CMA_한투183611[[#This Row],[현금수입]]-CMA_한투183611[[#This Row],[현금지출]]</f>
        <v>0</v>
      </c>
      <c r="S7">
        <f>SUM($R$2:R7)</f>
        <v>575509</v>
      </c>
    </row>
    <row r="8" spans="1:19" s="2" customFormat="1" x14ac:dyDescent="0.3">
      <c r="A8" s="1">
        <v>45292</v>
      </c>
      <c r="B8" s="31" t="s">
        <v>285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 s="7">
        <v>4985110</v>
      </c>
      <c r="G8" s="7">
        <v>4985110</v>
      </c>
      <c r="H8">
        <f>CMA_한투183611[[#This Row],[현금지출]]-CMA_한투183611[[#This Row],[매입액]]</f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4985110</v>
      </c>
      <c r="R8">
        <f>CMA_한투183611[[#This Row],[입출금]]+CMA_한투183611[[#This Row],[현금수입]]-CMA_한투183611[[#This Row],[현금지출]]</f>
        <v>0</v>
      </c>
      <c r="S8">
        <f>SUM($R$2:R8)</f>
        <v>575509</v>
      </c>
    </row>
    <row r="9" spans="1:19" s="2" customFormat="1" x14ac:dyDescent="0.3">
      <c r="A9" s="1">
        <v>45292</v>
      </c>
      <c r="B9" s="31" t="s">
        <v>277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 s="7">
        <v>1992960</v>
      </c>
      <c r="G9" s="7">
        <v>1992960</v>
      </c>
      <c r="H9">
        <f>CMA_한투183611[[#This Row],[현금지출]]-CMA_한투183611[[#This Row],[매입액]]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1992960</v>
      </c>
      <c r="R9">
        <f>CMA_한투183611[[#This Row],[입출금]]+CMA_한투183611[[#This Row],[현금수입]]-CMA_한투183611[[#This Row],[현금지출]]</f>
        <v>0</v>
      </c>
      <c r="S9">
        <f>SUM($R$2:R9)</f>
        <v>575509</v>
      </c>
    </row>
    <row r="10" spans="1:19" s="2" customFormat="1" x14ac:dyDescent="0.3">
      <c r="A10" s="1">
        <v>45292</v>
      </c>
      <c r="B10" s="31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 s="111">
        <v>634</v>
      </c>
      <c r="F10" s="7">
        <v>4983240</v>
      </c>
      <c r="G10" s="7">
        <v>4983240</v>
      </c>
      <c r="H10">
        <f>CMA_한투183611[[#This Row],[현금지출]]-CMA_한투183611[[#This Row],[매입액]]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4983240</v>
      </c>
      <c r="R10">
        <f>CMA_한투183611[[#This Row],[입출금]]+CMA_한투183611[[#This Row],[현금수입]]-CMA_한투183611[[#This Row],[현금지출]]</f>
        <v>0</v>
      </c>
      <c r="S10">
        <f>SUM($R$2:R10)</f>
        <v>575509</v>
      </c>
    </row>
    <row r="11" spans="1:19" s="2" customFormat="1" x14ac:dyDescent="0.3">
      <c r="A11" s="1">
        <v>45292</v>
      </c>
      <c r="B11" s="31" t="s">
        <v>278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 s="7">
        <v>3013045</v>
      </c>
      <c r="G11" s="7">
        <v>3013045</v>
      </c>
      <c r="H11">
        <f>CMA_한투183611[[#This Row],[현금지출]]-CMA_한투183611[[#This Row],[매입액]]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3013045</v>
      </c>
      <c r="R11">
        <f>CMA_한투183611[[#This Row],[입출금]]+CMA_한투183611[[#This Row],[현금수입]]-CMA_한투183611[[#This Row],[현금지출]]</f>
        <v>0</v>
      </c>
      <c r="S11">
        <f>SUM($R$2:R11)</f>
        <v>575509</v>
      </c>
    </row>
    <row r="12" spans="1:19" s="2" customFormat="1" x14ac:dyDescent="0.3">
      <c r="A12" s="1">
        <v>45293</v>
      </c>
      <c r="B12" s="31" t="s">
        <v>280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 s="7">
        <v>2999220</v>
      </c>
      <c r="G12" s="7">
        <v>2999650</v>
      </c>
      <c r="H12">
        <f>CMA_한투183611[[#This Row],[현금지출]]-CMA_한투183611[[#This Row],[매입액]]</f>
        <v>430</v>
      </c>
      <c r="I12">
        <v>0</v>
      </c>
      <c r="J12">
        <v>0</v>
      </c>
      <c r="K12">
        <v>0</v>
      </c>
      <c r="L12">
        <v>0</v>
      </c>
      <c r="M12">
        <v>0</v>
      </c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-430</v>
      </c>
      <c r="Q12">
        <v>0</v>
      </c>
      <c r="R12">
        <f>CMA_한투183611[[#This Row],[입출금]]+CMA_한투183611[[#This Row],[현금수입]]-CMA_한투183611[[#This Row],[현금지출]]</f>
        <v>-2999650</v>
      </c>
      <c r="S12">
        <f>SUM($R$2:R12)</f>
        <v>-2424141</v>
      </c>
    </row>
    <row r="13" spans="1:19" x14ac:dyDescent="0.3">
      <c r="A13" s="3">
        <v>45293</v>
      </c>
      <c r="B13" s="31" t="s">
        <v>242</v>
      </c>
      <c r="C13" s="9" t="str">
        <f>VLOOKUP(CMA_한투183611[[#This Row],[종목코드]],표3[],2,FALSE)</f>
        <v>넥스틸</v>
      </c>
      <c r="D13" s="33" t="str">
        <f>VLOOKUP(CMA_한투183611[[#This Row],[종목코드]],표3[],4,FALSE)</f>
        <v>넥스틸</v>
      </c>
      <c r="E13" s="40">
        <v>0</v>
      </c>
      <c r="F13" s="7">
        <v>0</v>
      </c>
      <c r="G13" s="7">
        <v>0</v>
      </c>
      <c r="H13" s="5">
        <f>CMA_한투183611[[#This Row],[현금지출]]-CMA_한투183611[[#This Row],[매입액]]</f>
        <v>0</v>
      </c>
      <c r="I13" s="35">
        <v>200</v>
      </c>
      <c r="J13" s="7">
        <v>1572000</v>
      </c>
      <c r="K13">
        <v>1446000</v>
      </c>
      <c r="L13" s="7">
        <v>0</v>
      </c>
      <c r="M13">
        <f>1446000-200-2601</f>
        <v>1443199</v>
      </c>
      <c r="N13">
        <f>CMA_한투183611[[#This Row],[매도액]]-CMA_한투183611[[#This Row],[매도원금]]</f>
        <v>-126000</v>
      </c>
      <c r="O13" s="5">
        <f>CMA_한투183611[[#This Row],[매도액]]+CMA_한투183611[[#This Row],[이자배당액]]-CMA_한투183611[[#This Row],[현금수입]]</f>
        <v>2801</v>
      </c>
      <c r="P13">
        <f>CMA_한투183611[[#This Row],[매매수익]]+CMA_한투183611[[#This Row],[이자배당액]]-CMA_한투183611[[#This Row],[매도비용]]-CMA_한투183611[[#This Row],[매입비용]]</f>
        <v>-128801</v>
      </c>
      <c r="Q13">
        <v>0</v>
      </c>
      <c r="R13" s="5">
        <f>CMA_한투183611[[#This Row],[입출금]]+CMA_한투183611[[#This Row],[현금수입]]-CMA_한투183611[[#This Row],[현금지출]]</f>
        <v>1443199</v>
      </c>
      <c r="S13">
        <f>SUM($R$2:R13)</f>
        <v>-980942</v>
      </c>
    </row>
    <row r="14" spans="1:19" x14ac:dyDescent="0.3">
      <c r="A14" s="3">
        <v>45293</v>
      </c>
      <c r="B14" s="31" t="s">
        <v>291</v>
      </c>
      <c r="C14" s="9" t="str">
        <f>VLOOKUP(CMA_한투183611[[#This Row],[종목코드]],표3[],2,FALSE)</f>
        <v>(수시)한투원화발행어음</v>
      </c>
      <c r="D14" s="33" t="str">
        <f>VLOOKUP(CMA_한투183611[[#This Row],[종목코드]],표3[],4,FALSE)</f>
        <v>한국투자증권 직접투자계좌 원화발행어음(수시)</v>
      </c>
      <c r="E14" s="40">
        <v>0</v>
      </c>
      <c r="F14" s="7">
        <v>0</v>
      </c>
      <c r="G14" s="7">
        <v>0</v>
      </c>
      <c r="H14" s="5">
        <f>CMA_한투183611[[#This Row],[현금지출]]-CMA_한투183611[[#This Row],[매입액]]</f>
        <v>0</v>
      </c>
      <c r="I14" s="35">
        <v>0</v>
      </c>
      <c r="J14" s="50">
        <v>1988333</v>
      </c>
      <c r="K14">
        <v>1989286</v>
      </c>
      <c r="L14" s="7">
        <v>0</v>
      </c>
      <c r="M14">
        <f>1989286-140</f>
        <v>1989146</v>
      </c>
      <c r="N14">
        <f>CMA_한투183611[[#This Row],[매도액]]-CMA_한투183611[[#This Row],[매도원금]]</f>
        <v>953</v>
      </c>
      <c r="O14" s="5">
        <f>CMA_한투183611[[#This Row],[매도액]]+CMA_한투183611[[#This Row],[이자배당액]]-CMA_한투183611[[#This Row],[현금수입]]</f>
        <v>140</v>
      </c>
      <c r="P14">
        <f>CMA_한투183611[[#This Row],[매매수익]]+CMA_한투183611[[#This Row],[이자배당액]]-CMA_한투183611[[#This Row],[매도비용]]-CMA_한투183611[[#This Row],[매입비용]]</f>
        <v>813</v>
      </c>
      <c r="Q14">
        <v>0</v>
      </c>
      <c r="R14" s="5">
        <f>CMA_한투183611[[#This Row],[입출금]]+CMA_한투183611[[#This Row],[현금수입]]-CMA_한투183611[[#This Row],[현금지출]]</f>
        <v>1989146</v>
      </c>
      <c r="S14">
        <f>SUM($R$2:R14)</f>
        <v>1008204</v>
      </c>
    </row>
    <row r="15" spans="1:19" x14ac:dyDescent="0.3">
      <c r="A15" s="3">
        <v>45294</v>
      </c>
      <c r="B15" s="107" t="s">
        <v>242</v>
      </c>
      <c r="C15" s="64" t="str">
        <f>VLOOKUP(CMA_한투183611[[#This Row],[종목코드]],표3[],2,FALSE)</f>
        <v>넥스틸</v>
      </c>
      <c r="D15" s="65" t="str">
        <f>VLOOKUP(CMA_한투183611[[#This Row],[종목코드]],표3[],4,FALSE)</f>
        <v>넥스틸</v>
      </c>
      <c r="E15" s="43">
        <v>0</v>
      </c>
      <c r="F15" s="66">
        <v>0</v>
      </c>
      <c r="G15" s="66">
        <v>0</v>
      </c>
      <c r="H15" s="63">
        <f>CMA_한투183611[[#This Row],[현금지출]]-CMA_한투183611[[#This Row],[매입액]]</f>
        <v>0</v>
      </c>
      <c r="I15" s="67">
        <v>139</v>
      </c>
      <c r="J15" s="66">
        <f>7860*139</f>
        <v>1092540</v>
      </c>
      <c r="K15" s="68">
        <v>995240</v>
      </c>
      <c r="L15" s="66">
        <v>0</v>
      </c>
      <c r="M15" s="69">
        <v>993332</v>
      </c>
      <c r="N15" s="69">
        <f>CMA_한투183611[[#This Row],[매도액]]-CMA_한투183611[[#This Row],[매도원금]]</f>
        <v>-97300</v>
      </c>
      <c r="O15" s="63">
        <f>CMA_한투183611[[#This Row],[매도액]]+CMA_한투183611[[#This Row],[이자배당액]]-CMA_한투183611[[#This Row],[현금수입]]</f>
        <v>1908</v>
      </c>
      <c r="P15" s="69">
        <f>CMA_한투183611[[#This Row],[매매수익]]+CMA_한투183611[[#This Row],[이자배당액]]-CMA_한투183611[[#This Row],[매도비용]]-CMA_한투183611[[#This Row],[매입비용]]</f>
        <v>-99208</v>
      </c>
      <c r="Q15" s="69">
        <v>0</v>
      </c>
      <c r="R15" s="63">
        <f>CMA_한투183611[[#This Row],[입출금]]+CMA_한투183611[[#This Row],[현금수입]]-CMA_한투183611[[#This Row],[현금지출]]</f>
        <v>993332</v>
      </c>
      <c r="S15">
        <f>SUM($R$2:R15)</f>
        <v>2001536</v>
      </c>
    </row>
    <row r="16" spans="1:19" x14ac:dyDescent="0.3">
      <c r="A16" s="3">
        <v>45294</v>
      </c>
      <c r="B16" s="108" t="s">
        <v>279</v>
      </c>
      <c r="C16" s="9" t="str">
        <f>VLOOKUP(CMA_한투183611[[#This Row],[종목코드]],표3[],2,FALSE)</f>
        <v>미국하이일드</v>
      </c>
      <c r="D16" s="33" t="str">
        <f>VLOOKUP(CMA_한투183611[[#This Row],[종목코드]],표3[],4,FALSE)</f>
        <v>ACE 미국하이일드액티브(H)</v>
      </c>
      <c r="E16" s="40">
        <v>0</v>
      </c>
      <c r="F16" s="7">
        <v>0</v>
      </c>
      <c r="G16" s="7">
        <v>0</v>
      </c>
      <c r="H16" s="5">
        <f>CMA_한투183611[[#This Row],[현금지출]]-CMA_한투183611[[#This Row],[매입액]]</f>
        <v>0</v>
      </c>
      <c r="I16" s="35">
        <v>0</v>
      </c>
      <c r="J16" s="7">
        <v>0</v>
      </c>
      <c r="K16">
        <v>0</v>
      </c>
      <c r="L16" s="7">
        <v>15756</v>
      </c>
      <c r="M16">
        <v>13336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2420</v>
      </c>
      <c r="P16">
        <f>CMA_한투183611[[#This Row],[매매수익]]+CMA_한투183611[[#This Row],[이자배당액]]-CMA_한투183611[[#This Row],[매도비용]]-CMA_한투183611[[#This Row],[매입비용]]</f>
        <v>13336</v>
      </c>
      <c r="Q16">
        <v>0</v>
      </c>
      <c r="R16" s="5">
        <f>CMA_한투183611[[#This Row],[입출금]]+CMA_한투183611[[#This Row],[현금수입]]-CMA_한투183611[[#This Row],[현금지출]]</f>
        <v>13336</v>
      </c>
      <c r="S16">
        <f>SUM($R$2:R16)</f>
        <v>2014872</v>
      </c>
    </row>
    <row r="17" spans="1:19" x14ac:dyDescent="0.3">
      <c r="A17" s="3">
        <v>45295</v>
      </c>
      <c r="B17" s="31" t="s">
        <v>291</v>
      </c>
      <c r="C17" s="9" t="str">
        <f>VLOOKUP(CMA_한투183611[[#This Row],[종목코드]],표3[],2,FALSE)</f>
        <v>(수시)한투원화발행어음</v>
      </c>
      <c r="D17" s="33" t="str">
        <f>VLOOKUP(CMA_한투183611[[#This Row],[종목코드]],표3[],4,FALSE)</f>
        <v>한국투자증권 직접투자계좌 원화발행어음(수시)</v>
      </c>
      <c r="E17" s="40">
        <v>0</v>
      </c>
      <c r="F17" s="7">
        <v>1019062</v>
      </c>
      <c r="G17" s="7">
        <v>1019062</v>
      </c>
      <c r="H17" s="5">
        <f>CMA_한투183611[[#This Row],[현금지출]]-CMA_한투183611[[#This Row],[매입액]]</f>
        <v>0</v>
      </c>
      <c r="I17" s="35">
        <v>0</v>
      </c>
      <c r="J17" s="50">
        <v>0</v>
      </c>
      <c r="K17">
        <v>0</v>
      </c>
      <c r="L17" s="7">
        <v>0</v>
      </c>
      <c r="M17">
        <v>0</v>
      </c>
      <c r="N17">
        <f>CMA_한투183611[[#This Row],[매도액]]-CMA_한투183611[[#This Row],[매도원금]]</f>
        <v>0</v>
      </c>
      <c r="O17" s="5">
        <f>CMA_한투183611[[#This Row],[매도액]]+CMA_한투183611[[#This Row],[이자배당액]]-CMA_한투183611[[#This Row],[현금수입]]</f>
        <v>0</v>
      </c>
      <c r="P17">
        <f>CMA_한투183611[[#This Row],[매매수익]]+CMA_한투183611[[#This Row],[이자배당액]]-CMA_한투183611[[#This Row],[매도비용]]-CMA_한투183611[[#This Row],[매입비용]]</f>
        <v>0</v>
      </c>
      <c r="Q17">
        <v>0</v>
      </c>
      <c r="R17" s="5">
        <f>CMA_한투183611[[#This Row],[입출금]]+CMA_한투183611[[#This Row],[현금수입]]-CMA_한투183611[[#This Row],[현금지출]]</f>
        <v>-1019062</v>
      </c>
      <c r="S17">
        <f>SUM($R$2:R17)</f>
        <v>995810</v>
      </c>
    </row>
    <row r="18" spans="1:19" x14ac:dyDescent="0.3">
      <c r="A18" s="3">
        <v>45296</v>
      </c>
      <c r="B18" s="31" t="s">
        <v>272</v>
      </c>
      <c r="C18" s="9" t="str">
        <f>VLOOKUP(CMA_한투183611[[#This Row],[종목코드]],표3[],2,FALSE)</f>
        <v>한투예수금</v>
      </c>
      <c r="D18" s="33" t="str">
        <f>VLOOKUP(CMA_한투183611[[#This Row],[종목코드]],표3[],4,FALSE)</f>
        <v>한국투자증권 직접투자 원화예수금</v>
      </c>
      <c r="E18" s="40">
        <v>0</v>
      </c>
      <c r="F18" s="7">
        <v>0</v>
      </c>
      <c r="G18" s="7">
        <v>0</v>
      </c>
      <c r="H18" s="5">
        <f>CMA_한투183611[[#This Row],[현금지출]]-CMA_한투183611[[#This Row],[매입액]]</f>
        <v>0</v>
      </c>
      <c r="I18" s="35">
        <v>0</v>
      </c>
      <c r="J18" s="7">
        <v>0</v>
      </c>
      <c r="K18">
        <v>0</v>
      </c>
      <c r="L18" s="7">
        <v>0</v>
      </c>
      <c r="M18"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1000000</v>
      </c>
      <c r="R18" s="5">
        <f>CMA_한투183611[[#This Row],[입출금]]+CMA_한투183611[[#This Row],[현금수입]]-CMA_한투183611[[#This Row],[현금지출]]</f>
        <v>1000000</v>
      </c>
      <c r="S18">
        <f>SUM($R$2:R18)</f>
        <v>1995810</v>
      </c>
    </row>
    <row r="19" spans="1:19" x14ac:dyDescent="0.3">
      <c r="A19" s="1">
        <v>45299</v>
      </c>
      <c r="B19" s="31" t="s">
        <v>277</v>
      </c>
      <c r="C19" s="9" t="str">
        <f>VLOOKUP(CMA_한투183611[[#This Row],[종목코드]],표3[],2,FALSE)</f>
        <v>미국나스닥</v>
      </c>
      <c r="D19" s="33" t="str">
        <f>VLOOKUP(CMA_한투183611[[#This Row],[종목코드]],표3[],4,FALSE)</f>
        <v>TIGER 미국나스닥100TR(H)</v>
      </c>
      <c r="E19" s="40">
        <v>74</v>
      </c>
      <c r="F19" s="7">
        <v>995670</v>
      </c>
      <c r="G19" s="7">
        <v>995810</v>
      </c>
      <c r="H19" s="5">
        <f>CMA_한투183611[[#This Row],[현금지출]]-CMA_한투183611[[#This Row],[매입액]]</f>
        <v>140</v>
      </c>
      <c r="I19" s="35">
        <v>0</v>
      </c>
      <c r="J19" s="7">
        <v>0</v>
      </c>
      <c r="K19">
        <v>0</v>
      </c>
      <c r="L19" s="7">
        <v>0</v>
      </c>
      <c r="M19">
        <v>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-140</v>
      </c>
      <c r="Q19">
        <v>0</v>
      </c>
      <c r="R19" s="5">
        <f>CMA_한투183611[[#This Row],[입출금]]+CMA_한투183611[[#This Row],[현금수입]]-CMA_한투183611[[#This Row],[현금지출]]</f>
        <v>-995810</v>
      </c>
      <c r="S19">
        <f>SUM($R$2:R19)</f>
        <v>1000000</v>
      </c>
    </row>
    <row r="20" spans="1:19" x14ac:dyDescent="0.3">
      <c r="A20" s="3">
        <v>45312</v>
      </c>
      <c r="B20" s="31" t="s">
        <v>272</v>
      </c>
      <c r="C20" s="9" t="str">
        <f>VLOOKUP(CMA_한투183611[[#This Row],[종목코드]],표3[],2,FALSE)</f>
        <v>한투예수금</v>
      </c>
      <c r="D20" s="33" t="str">
        <f>VLOOKUP(CMA_한투183611[[#This Row],[종목코드]],표3[],4,FALSE)</f>
        <v>한국투자증권 직접투자 원화예수금</v>
      </c>
      <c r="E20" s="40">
        <v>0</v>
      </c>
      <c r="F20" s="7">
        <v>0</v>
      </c>
      <c r="G20" s="7">
        <v>0</v>
      </c>
      <c r="H20" s="5">
        <f>CMA_한투183611[[#This Row],[현금지출]]-CMA_한투183611[[#This Row],[매입액]]</f>
        <v>0</v>
      </c>
      <c r="I20" s="35">
        <v>0</v>
      </c>
      <c r="J20" s="7">
        <v>0</v>
      </c>
      <c r="K20">
        <v>0</v>
      </c>
      <c r="L20" s="7">
        <v>0</v>
      </c>
      <c r="M20">
        <v>0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0</v>
      </c>
      <c r="Q20">
        <v>2500000</v>
      </c>
      <c r="R20" s="5">
        <f>CMA_한투183611[[#This Row],[입출금]]+CMA_한투183611[[#This Row],[현금수입]]-CMA_한투183611[[#This Row],[현금지출]]</f>
        <v>2500000</v>
      </c>
      <c r="S20">
        <f>SUM($R$2:R20)</f>
        <v>3500000</v>
      </c>
    </row>
    <row r="21" spans="1:19" x14ac:dyDescent="0.3">
      <c r="A21" s="3">
        <v>45313</v>
      </c>
      <c r="B21" s="31" t="s">
        <v>287</v>
      </c>
      <c r="C21" s="9" t="str">
        <f>VLOOKUP(CMA_한투183611[[#This Row],[종목코드]],표3[],2,FALSE)</f>
        <v>(약정)한투원화발행어음</v>
      </c>
      <c r="D21" s="33" t="str">
        <f>VLOOKUP(CMA_한투183611[[#This Row],[종목코드]],표3[],4,FALSE)</f>
        <v>한국투자증권 직접투자계좌 원화발행어음(약정)</v>
      </c>
      <c r="E21" s="40">
        <v>0</v>
      </c>
      <c r="F21" s="7">
        <v>300000</v>
      </c>
      <c r="G21" s="7">
        <v>300000</v>
      </c>
      <c r="H21" s="5">
        <f>CMA_한투183611[[#This Row],[현금지출]]-CMA_한투183611[[#This Row],[매입액]]</f>
        <v>0</v>
      </c>
      <c r="I21" s="35">
        <v>0</v>
      </c>
      <c r="J21" s="7">
        <v>0</v>
      </c>
      <c r="K21">
        <v>0</v>
      </c>
      <c r="L21" s="7">
        <v>0</v>
      </c>
      <c r="M21">
        <v>0</v>
      </c>
      <c r="N21">
        <f>CMA_한투183611[[#This Row],[매도액]]-CMA_한투183611[[#This Row],[매도원금]]</f>
        <v>0</v>
      </c>
      <c r="O21" s="5">
        <f>CMA_한투183611[[#This Row],[매도액]]+CMA_한투183611[[#This Row],[이자배당액]]-CMA_한투183611[[#This Row],[현금수입]]</f>
        <v>0</v>
      </c>
      <c r="P21">
        <f>CMA_한투183611[[#This Row],[매매수익]]+CMA_한투183611[[#This Row],[이자배당액]]-CMA_한투183611[[#This Row],[매도비용]]-CMA_한투183611[[#This Row],[매입비용]]</f>
        <v>0</v>
      </c>
      <c r="Q21">
        <v>0</v>
      </c>
      <c r="R21" s="5">
        <f>CMA_한투183611[[#This Row],[입출금]]+CMA_한투183611[[#This Row],[현금수입]]-CMA_한투183611[[#This Row],[현금지출]]</f>
        <v>-300000</v>
      </c>
      <c r="S21">
        <f>SUM($R$2:R21)</f>
        <v>3200000</v>
      </c>
    </row>
    <row r="22" spans="1:19" x14ac:dyDescent="0.3">
      <c r="A22" s="3">
        <v>45315</v>
      </c>
      <c r="B22" s="31" t="s">
        <v>429</v>
      </c>
      <c r="C22" s="9" t="str">
        <f>VLOOKUP(CMA_한투183611[[#This Row],[종목코드]],표3[],2,FALSE)</f>
        <v>코스피 TR</v>
      </c>
      <c r="D22" s="33" t="str">
        <f>VLOOKUP(CMA_한투183611[[#This Row],[종목코드]],표3[],4,FALSE)</f>
        <v>KODEX 코스피 TR</v>
      </c>
      <c r="E22" s="40">
        <v>261</v>
      </c>
      <c r="F22" s="7">
        <v>3172455</v>
      </c>
      <c r="G22" s="7">
        <v>3172915</v>
      </c>
      <c r="H22" s="5">
        <f>CMA_한투183611[[#This Row],[현금지출]]-CMA_한투183611[[#This Row],[매입액]]</f>
        <v>460</v>
      </c>
      <c r="I22" s="35">
        <v>0</v>
      </c>
      <c r="J22" s="7">
        <v>0</v>
      </c>
      <c r="K22">
        <v>0</v>
      </c>
      <c r="L22" s="7">
        <v>0</v>
      </c>
      <c r="M22">
        <v>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-460</v>
      </c>
      <c r="Q22">
        <v>0</v>
      </c>
      <c r="R22" s="5">
        <f>CMA_한투183611[[#This Row],[입출금]]+CMA_한투183611[[#This Row],[현금수입]]-CMA_한투183611[[#This Row],[현금지출]]</f>
        <v>-3172915</v>
      </c>
      <c r="S22">
        <f>SUM($R$2:R22)</f>
        <v>27085</v>
      </c>
    </row>
    <row r="23" spans="1:19" x14ac:dyDescent="0.3">
      <c r="A23" s="3">
        <v>45324</v>
      </c>
      <c r="B23" s="108" t="s">
        <v>279</v>
      </c>
      <c r="C23" s="9" t="str">
        <f>VLOOKUP(CMA_한투183611[[#This Row],[종목코드]],표3[],2,FALSE)</f>
        <v>미국하이일드</v>
      </c>
      <c r="D23" s="33" t="str">
        <f>VLOOKUP(CMA_한투183611[[#This Row],[종목코드]],표3[],4,FALSE)</f>
        <v>ACE 미국하이일드액티브(H)</v>
      </c>
      <c r="E23" s="40">
        <v>0</v>
      </c>
      <c r="F23" s="7">
        <v>0</v>
      </c>
      <c r="G23" s="7">
        <v>0</v>
      </c>
      <c r="H23" s="5">
        <f>CMA_한투183611[[#This Row],[현금지출]]-CMA_한투183611[[#This Row],[매입액]]</f>
        <v>0</v>
      </c>
      <c r="I23" s="35">
        <v>0</v>
      </c>
      <c r="J23" s="7">
        <v>0</v>
      </c>
      <c r="K23">
        <v>0</v>
      </c>
      <c r="L23" s="7">
        <v>15756</v>
      </c>
      <c r="M23">
        <v>13336</v>
      </c>
      <c r="N23">
        <f>CMA_한투183611[[#This Row],[매도액]]-CMA_한투183611[[#This Row],[매도원금]]</f>
        <v>0</v>
      </c>
      <c r="O23" s="5">
        <f>CMA_한투183611[[#This Row],[매도액]]+CMA_한투183611[[#This Row],[이자배당액]]-CMA_한투183611[[#This Row],[현금수입]]</f>
        <v>2420</v>
      </c>
      <c r="P23">
        <f>CMA_한투183611[[#This Row],[매매수익]]+CMA_한투183611[[#This Row],[이자배당액]]-CMA_한투183611[[#This Row],[매도비용]]-CMA_한투183611[[#This Row],[매입비용]]</f>
        <v>13336</v>
      </c>
      <c r="Q23">
        <v>0</v>
      </c>
      <c r="R23" s="5">
        <f>CMA_한투183611[[#This Row],[입출금]]+CMA_한투183611[[#This Row],[현금수입]]-CMA_한투183611[[#This Row],[현금지출]]</f>
        <v>13336</v>
      </c>
      <c r="S23">
        <f>SUM($R$2:R23)</f>
        <v>40421</v>
      </c>
    </row>
    <row r="24" spans="1:19" x14ac:dyDescent="0.3">
      <c r="A24" s="3">
        <v>45327</v>
      </c>
      <c r="B24" s="31" t="s">
        <v>291</v>
      </c>
      <c r="C24" s="9" t="str">
        <f>VLOOKUP(CMA_한투183611[[#This Row],[종목코드]],표3[],2,FALSE)</f>
        <v>(수시)한투원화발행어음</v>
      </c>
      <c r="D24" s="33" t="str">
        <f>VLOOKUP(CMA_한투183611[[#This Row],[종목코드]],표3[],4,FALSE)</f>
        <v>한국투자증권 직접투자계좌 원화발행어음(수시)</v>
      </c>
      <c r="E24" s="40">
        <v>0</v>
      </c>
      <c r="F24" s="7">
        <v>0</v>
      </c>
      <c r="G24" s="7">
        <v>0</v>
      </c>
      <c r="H24" s="5">
        <f>CMA_한투183611[[#This Row],[현금지출]]-CMA_한투183611[[#This Row],[매입액]]</f>
        <v>0</v>
      </c>
      <c r="I24" s="35">
        <v>0</v>
      </c>
      <c r="J24" s="50">
        <v>1019062</v>
      </c>
      <c r="K24">
        <v>1022188</v>
      </c>
      <c r="L24" s="7">
        <v>0</v>
      </c>
      <c r="M24">
        <v>1021718</v>
      </c>
      <c r="N24">
        <f>CMA_한투183611[[#This Row],[매도액]]-CMA_한투183611[[#This Row],[매도원금]]</f>
        <v>3126</v>
      </c>
      <c r="O24" s="5">
        <f>CMA_한투183611[[#This Row],[매도액]]+CMA_한투183611[[#This Row],[이자배당액]]-CMA_한투183611[[#This Row],[현금수입]]</f>
        <v>470</v>
      </c>
      <c r="P24">
        <f>CMA_한투183611[[#This Row],[매매수익]]+CMA_한투183611[[#This Row],[이자배당액]]-CMA_한투183611[[#This Row],[매도비용]]-CMA_한투183611[[#This Row],[매입비용]]</f>
        <v>2656</v>
      </c>
      <c r="Q24">
        <v>0</v>
      </c>
      <c r="R24" s="5">
        <f>CMA_한투183611[[#This Row],[입출금]]+CMA_한투183611[[#This Row],[현금수입]]-CMA_한투183611[[#This Row],[현금지출]]</f>
        <v>1021718</v>
      </c>
      <c r="S24">
        <f>SUM($R$2:R24)</f>
        <v>1062139</v>
      </c>
    </row>
    <row r="25" spans="1:19" x14ac:dyDescent="0.3">
      <c r="A25" s="3">
        <v>45327</v>
      </c>
      <c r="B25" s="31" t="s">
        <v>272</v>
      </c>
      <c r="C25" s="9" t="str">
        <f>VLOOKUP(CMA_한투183611[[#This Row],[종목코드]],표3[],2,FALSE)</f>
        <v>한투예수금</v>
      </c>
      <c r="D25" s="33" t="str">
        <f>VLOOKUP(CMA_한투183611[[#This Row],[종목코드]],표3[],4,FALSE)</f>
        <v>한국투자증권 직접투자 원화예수금</v>
      </c>
      <c r="E25" s="40">
        <v>0</v>
      </c>
      <c r="F25" s="7">
        <v>0</v>
      </c>
      <c r="G25" s="7">
        <v>0</v>
      </c>
      <c r="H25" s="5">
        <f>CMA_한투183611[[#This Row],[현금지출]]-CMA_한투183611[[#This Row],[매입액]]</f>
        <v>0</v>
      </c>
      <c r="I25" s="35">
        <v>0</v>
      </c>
      <c r="J25" s="7">
        <v>0</v>
      </c>
      <c r="K25">
        <v>0</v>
      </c>
      <c r="L25" s="7">
        <v>0</v>
      </c>
      <c r="M25">
        <v>0</v>
      </c>
      <c r="N25">
        <f>CMA_한투183611[[#This Row],[매도액]]-CMA_한투183611[[#This Row],[매도원금]]</f>
        <v>0</v>
      </c>
      <c r="O25" s="5">
        <f>CMA_한투183611[[#This Row],[매도액]]+CMA_한투183611[[#This Row],[이자배당액]]-CMA_한투183611[[#This Row],[현금수입]]</f>
        <v>0</v>
      </c>
      <c r="P25">
        <f>CMA_한투183611[[#This Row],[매매수익]]+CMA_한투183611[[#This Row],[이자배당액]]-CMA_한투183611[[#This Row],[매도비용]]-CMA_한투183611[[#This Row],[매입비용]]</f>
        <v>0</v>
      </c>
      <c r="Q25">
        <v>-600250</v>
      </c>
      <c r="R25" s="5">
        <f>CMA_한투183611[[#This Row],[입출금]]+CMA_한투183611[[#This Row],[현금수입]]-CMA_한투183611[[#This Row],[현금지출]]</f>
        <v>-600250</v>
      </c>
      <c r="S25">
        <f>SUM($R$2:R25)</f>
        <v>461889</v>
      </c>
    </row>
    <row r="26" spans="1:19" x14ac:dyDescent="0.3">
      <c r="A26" s="3">
        <v>45336</v>
      </c>
      <c r="B26" s="31" t="s">
        <v>272</v>
      </c>
      <c r="C26" s="9" t="str">
        <f>VLOOKUP(CMA_한투183611[[#This Row],[종목코드]],표3[],2,FALSE)</f>
        <v>한투예수금</v>
      </c>
      <c r="D26" s="33" t="str">
        <f>VLOOKUP(CMA_한투183611[[#This Row],[종목코드]],표3[],4,FALSE)</f>
        <v>한국투자증권 직접투자 원화예수금</v>
      </c>
      <c r="E26" s="40">
        <v>0</v>
      </c>
      <c r="F26" s="7">
        <v>0</v>
      </c>
      <c r="G26" s="7">
        <v>0</v>
      </c>
      <c r="H26" s="5">
        <f>CMA_한투183611[[#This Row],[현금지출]]-CMA_한투183611[[#This Row],[매입액]]</f>
        <v>0</v>
      </c>
      <c r="I26" s="35">
        <v>0</v>
      </c>
      <c r="J26" s="7">
        <v>0</v>
      </c>
      <c r="K26">
        <v>0</v>
      </c>
      <c r="L26" s="7">
        <v>0</v>
      </c>
      <c r="M26">
        <v>0</v>
      </c>
      <c r="N26">
        <f>CMA_한투183611[[#This Row],[매도액]]-CMA_한투183611[[#This Row],[매도원금]]</f>
        <v>0</v>
      </c>
      <c r="O26" s="5">
        <f>CMA_한투183611[[#This Row],[매도액]]+CMA_한투183611[[#This Row],[이자배당액]]-CMA_한투183611[[#This Row],[현금수입]]</f>
        <v>0</v>
      </c>
      <c r="P26">
        <f>CMA_한투183611[[#This Row],[매매수익]]+CMA_한투183611[[#This Row],[이자배당액]]-CMA_한투183611[[#This Row],[매도비용]]-CMA_한투183611[[#This Row],[매입비용]]</f>
        <v>0</v>
      </c>
      <c r="Q26">
        <f>-2999992+1000000</f>
        <v>-1999992</v>
      </c>
      <c r="R26" s="5">
        <f>CMA_한투183611[[#This Row],[입출금]]+CMA_한투183611[[#This Row],[현금수입]]-CMA_한투183611[[#This Row],[현금지출]]</f>
        <v>-1999992</v>
      </c>
      <c r="S26">
        <f>SUM($R$2:R26)</f>
        <v>-1538103</v>
      </c>
    </row>
    <row r="27" spans="1:19" x14ac:dyDescent="0.3">
      <c r="A27" s="3">
        <v>45341</v>
      </c>
      <c r="B27" s="31" t="s">
        <v>291</v>
      </c>
      <c r="C27" s="9" t="str">
        <f>VLOOKUP(CMA_한투183611[[#This Row],[종목코드]],표3[],2,FALSE)</f>
        <v>(수시)한투원화발행어음</v>
      </c>
      <c r="D27" s="33" t="str">
        <f>VLOOKUP(CMA_한투183611[[#This Row],[종목코드]],표3[],4,FALSE)</f>
        <v>한국투자증권 직접투자계좌 원화발행어음(수시)</v>
      </c>
      <c r="E27" s="40">
        <v>0</v>
      </c>
      <c r="F27" s="7">
        <v>0</v>
      </c>
      <c r="G27" s="7">
        <v>0</v>
      </c>
      <c r="H27" s="5">
        <f>CMA_한투183611[[#This Row],[현금지출]]-CMA_한투183611[[#This Row],[매입액]]</f>
        <v>0</v>
      </c>
      <c r="I27" s="35">
        <v>0</v>
      </c>
      <c r="J27" s="50">
        <v>10188345</v>
      </c>
      <c r="K27">
        <v>10259593</v>
      </c>
      <c r="L27" s="7">
        <v>0</v>
      </c>
      <c r="M27">
        <v>10248633</v>
      </c>
      <c r="N27">
        <f>CMA_한투183611[[#This Row],[매도액]]-CMA_한투183611[[#This Row],[매도원금]]</f>
        <v>71248</v>
      </c>
      <c r="O27" s="5">
        <f>CMA_한투183611[[#This Row],[매도액]]+CMA_한투183611[[#This Row],[이자배당액]]-CMA_한투183611[[#This Row],[현금수입]]</f>
        <v>10960</v>
      </c>
      <c r="P27">
        <f>CMA_한투183611[[#This Row],[매매수익]]+CMA_한투183611[[#This Row],[이자배당액]]-CMA_한투183611[[#This Row],[매도비용]]-CMA_한투183611[[#This Row],[매입비용]]</f>
        <v>60288</v>
      </c>
      <c r="Q27">
        <v>0</v>
      </c>
      <c r="R27" s="5">
        <f>CMA_한투183611[[#This Row],[입출금]]+CMA_한투183611[[#This Row],[현금수입]]-CMA_한투183611[[#This Row],[현금지출]]</f>
        <v>10248633</v>
      </c>
      <c r="S27">
        <f>SUM($R$2:R27)</f>
        <v>8710530</v>
      </c>
    </row>
    <row r="28" spans="1:19" x14ac:dyDescent="0.3">
      <c r="A28" s="3">
        <v>45342</v>
      </c>
      <c r="B28" s="31" t="s">
        <v>272</v>
      </c>
      <c r="C28" s="9" t="str">
        <f>VLOOKUP(CMA_한투183611[[#This Row],[종목코드]],표3[],2,FALSE)</f>
        <v>한투예수금</v>
      </c>
      <c r="D28" s="33" t="str">
        <f>VLOOKUP(CMA_한투183611[[#This Row],[종목코드]],표3[],4,FALSE)</f>
        <v>한국투자증권 직접투자 원화예수금</v>
      </c>
      <c r="E28" s="111"/>
      <c r="H28" s="5">
        <f>CMA_한투183611[[#This Row],[현금지출]]-CMA_한투183611[[#This Row],[매입액]]</f>
        <v>0</v>
      </c>
      <c r="J28" s="50"/>
      <c r="N28">
        <f>CMA_한투183611[[#This Row],[매도액]]-CMA_한투183611[[#This Row],[매도원금]]</f>
        <v>0</v>
      </c>
      <c r="O28" s="5">
        <f>CMA_한투183611[[#This Row],[매도액]]+CMA_한투183611[[#This Row],[이자배당액]]-CMA_한투183611[[#This Row],[현금수입]]</f>
        <v>0</v>
      </c>
      <c r="P28">
        <f>CMA_한투183611[[#This Row],[매매수익]]+CMA_한투183611[[#This Row],[이자배당액]]-CMA_한투183611[[#This Row],[매도비용]]-CMA_한투183611[[#This Row],[매입비용]]</f>
        <v>0</v>
      </c>
      <c r="Q28">
        <v>-178410</v>
      </c>
      <c r="R28" s="5">
        <f>CMA_한투183611[[#This Row],[입출금]]+CMA_한투183611[[#This Row],[현금수입]]-CMA_한투183611[[#This Row],[현금지출]]</f>
        <v>-178410</v>
      </c>
      <c r="S28">
        <f>SUM($R$2:R28)</f>
        <v>8532120</v>
      </c>
    </row>
    <row r="29" spans="1:19" x14ac:dyDescent="0.3">
      <c r="A29" s="3">
        <v>45343</v>
      </c>
      <c r="B29" s="31" t="s">
        <v>436</v>
      </c>
      <c r="C29" s="9" t="str">
        <f>VLOOKUP(CMA_한투183611[[#This Row],[종목코드]],표3[],2,FALSE)</f>
        <v>미국단기회사채</v>
      </c>
      <c r="D29" s="33" t="str">
        <f>VLOOKUP(CMA_한투183611[[#This Row],[종목코드]],표3[],4,FALSE)</f>
        <v>KBSTAR 미국단기투자등급회사채액티비</v>
      </c>
      <c r="E29" s="40">
        <v>330</v>
      </c>
      <c r="F29" s="7">
        <v>3507900</v>
      </c>
      <c r="G29" s="7">
        <v>3508190</v>
      </c>
      <c r="H29" s="5">
        <f>CMA_한투183611[[#This Row],[현금지출]]-CMA_한투183611[[#This Row],[매입액]]</f>
        <v>290</v>
      </c>
      <c r="I29" s="35">
        <v>0</v>
      </c>
      <c r="J29" s="7">
        <v>0</v>
      </c>
      <c r="K29">
        <v>0</v>
      </c>
      <c r="L29" s="7">
        <v>0</v>
      </c>
      <c r="M29">
        <v>0</v>
      </c>
      <c r="N29">
        <f>CMA_한투183611[[#This Row],[매도액]]-CMA_한투183611[[#This Row],[매도원금]]</f>
        <v>0</v>
      </c>
      <c r="O29" s="5">
        <f>CMA_한투183611[[#This Row],[매도액]]+CMA_한투183611[[#This Row],[이자배당액]]-CMA_한투183611[[#This Row],[현금수입]]</f>
        <v>0</v>
      </c>
      <c r="P29">
        <f>CMA_한투183611[[#This Row],[매매수익]]+CMA_한투183611[[#This Row],[이자배당액]]-CMA_한투183611[[#This Row],[매도비용]]-CMA_한투183611[[#This Row],[매입비용]]</f>
        <v>-290</v>
      </c>
      <c r="Q29">
        <v>0</v>
      </c>
      <c r="R29" s="5">
        <f>CMA_한투183611[[#This Row],[입출금]]+CMA_한투183611[[#This Row],[현금수입]]-CMA_한투183611[[#This Row],[현금지출]]</f>
        <v>-3508190</v>
      </c>
      <c r="S29">
        <f>SUM($R$2:R29)</f>
        <v>5023930</v>
      </c>
    </row>
    <row r="30" spans="1:19" x14ac:dyDescent="0.3">
      <c r="A30" s="3">
        <v>45343</v>
      </c>
      <c r="B30" s="31" t="s">
        <v>437</v>
      </c>
      <c r="C30" s="9" t="str">
        <f>VLOOKUP(CMA_한투183611[[#This Row],[종목코드]],표3[],2,FALSE)</f>
        <v>글로벌AI주식</v>
      </c>
      <c r="D30" s="33" t="str">
        <f>VLOOKUP(CMA_한투183611[[#This Row],[종목코드]],표3[],4,FALSE)</f>
        <v>TIMEFOLIO 글로벌AI인공지능액티브</v>
      </c>
      <c r="E30" s="40">
        <v>116</v>
      </c>
      <c r="F30" s="7">
        <v>2013760</v>
      </c>
      <c r="G30" s="7">
        <v>2014050</v>
      </c>
      <c r="H30" s="5">
        <f>CMA_한투183611[[#This Row],[현금지출]]-CMA_한투183611[[#This Row],[매입액]]</f>
        <v>290</v>
      </c>
      <c r="I30" s="35">
        <v>0</v>
      </c>
      <c r="J30" s="7">
        <v>0</v>
      </c>
      <c r="K30">
        <v>0</v>
      </c>
      <c r="L30" s="7">
        <v>0</v>
      </c>
      <c r="M30">
        <v>0</v>
      </c>
      <c r="N30">
        <f>CMA_한투183611[[#This Row],[매도액]]-CMA_한투183611[[#This Row],[매도원금]]</f>
        <v>0</v>
      </c>
      <c r="O30" s="5">
        <f>CMA_한투183611[[#This Row],[매도액]]+CMA_한투183611[[#This Row],[이자배당액]]-CMA_한투183611[[#This Row],[현금수입]]</f>
        <v>0</v>
      </c>
      <c r="P30">
        <f>CMA_한투183611[[#This Row],[매매수익]]+CMA_한투183611[[#This Row],[이자배당액]]-CMA_한투183611[[#This Row],[매도비용]]-CMA_한투183611[[#This Row],[매입비용]]</f>
        <v>-290</v>
      </c>
      <c r="Q30">
        <v>0</v>
      </c>
      <c r="R30" s="5">
        <f>CMA_한투183611[[#This Row],[입출금]]+CMA_한투183611[[#This Row],[현금수입]]-CMA_한투183611[[#This Row],[현금지출]]</f>
        <v>-2014050</v>
      </c>
      <c r="S30">
        <f>SUM($R$2:R30)</f>
        <v>3009880</v>
      </c>
    </row>
    <row r="31" spans="1:19" x14ac:dyDescent="0.3">
      <c r="A31" s="3">
        <v>45343</v>
      </c>
      <c r="B31" s="31" t="s">
        <v>438</v>
      </c>
      <c r="C31" s="9" t="str">
        <f>VLOOKUP(CMA_한투183611[[#This Row],[종목코드]],표3[],2,FALSE)</f>
        <v>미국배당주</v>
      </c>
      <c r="D31" s="33" t="str">
        <f>VLOOKUP(CMA_한투183611[[#This Row],[종목코드]],표3[],4,FALSE)</f>
        <v>TIGER 미국배당다우존스</v>
      </c>
      <c r="E31" s="40">
        <v>183</v>
      </c>
      <c r="F31" s="7">
        <v>2009340</v>
      </c>
      <c r="G31" s="7">
        <v>2009850</v>
      </c>
      <c r="H31" s="5">
        <f>CMA_한투183611[[#This Row],[현금지출]]-CMA_한투183611[[#This Row],[매입액]]</f>
        <v>510</v>
      </c>
      <c r="I31" s="35">
        <v>0</v>
      </c>
      <c r="J31" s="7">
        <v>0</v>
      </c>
      <c r="K31">
        <v>0</v>
      </c>
      <c r="L31" s="7">
        <v>0</v>
      </c>
      <c r="M31">
        <v>0</v>
      </c>
      <c r="N31">
        <f>CMA_한투183611[[#This Row],[매도액]]-CMA_한투183611[[#This Row],[매도원금]]</f>
        <v>0</v>
      </c>
      <c r="O31" s="5">
        <f>CMA_한투183611[[#This Row],[매도액]]+CMA_한투183611[[#This Row],[이자배당액]]-CMA_한투183611[[#This Row],[현금수입]]</f>
        <v>0</v>
      </c>
      <c r="P31">
        <f>CMA_한투183611[[#This Row],[매매수익]]+CMA_한투183611[[#This Row],[이자배당액]]-CMA_한투183611[[#This Row],[매도비용]]-CMA_한투183611[[#This Row],[매입비용]]</f>
        <v>-510</v>
      </c>
      <c r="Q31">
        <v>0</v>
      </c>
      <c r="R31" s="5">
        <f>CMA_한투183611[[#This Row],[입출금]]+CMA_한투183611[[#This Row],[현금수입]]-CMA_한투183611[[#This Row],[현금지출]]</f>
        <v>-2009850</v>
      </c>
      <c r="S31">
        <f>SUM($R$2:R31)</f>
        <v>1000030</v>
      </c>
    </row>
    <row r="32" spans="1:19" x14ac:dyDescent="0.3">
      <c r="A32" s="3">
        <v>45343</v>
      </c>
      <c r="B32" s="31" t="s">
        <v>272</v>
      </c>
      <c r="C32" s="9" t="str">
        <f>VLOOKUP(CMA_한투183611[[#This Row],[종목코드]],표3[],2,FALSE)</f>
        <v>한투예수금</v>
      </c>
      <c r="D32" s="33" t="str">
        <f>VLOOKUP(CMA_한투183611[[#This Row],[종목코드]],표3[],4,FALSE)</f>
        <v>한국투자증권 직접투자 원화예수금</v>
      </c>
      <c r="E32" s="111"/>
      <c r="H32" s="5">
        <f>CMA_한투183611[[#This Row],[현금지출]]-CMA_한투183611[[#This Row],[매입액]]</f>
        <v>0</v>
      </c>
      <c r="J32" s="50"/>
      <c r="N32">
        <f>CMA_한투183611[[#This Row],[매도액]]-CMA_한투183611[[#This Row],[매도원금]]</f>
        <v>0</v>
      </c>
      <c r="O32" s="5">
        <f>CMA_한투183611[[#This Row],[매도액]]+CMA_한투183611[[#This Row],[이자배당액]]-CMA_한투183611[[#This Row],[현금수입]]</f>
        <v>0</v>
      </c>
      <c r="P32">
        <f>CMA_한투183611[[#This Row],[매매수익]]+CMA_한투183611[[#This Row],[이자배당액]]-CMA_한투183611[[#This Row],[매도비용]]-CMA_한투183611[[#This Row],[매입비용]]</f>
        <v>0</v>
      </c>
      <c r="Q32">
        <v>8000000</v>
      </c>
      <c r="R32" s="5">
        <f>CMA_한투183611[[#This Row],[입출금]]+CMA_한투183611[[#This Row],[현금수입]]-CMA_한투183611[[#This Row],[현금지출]]</f>
        <v>8000000</v>
      </c>
      <c r="S32">
        <f>SUM($R$2:R32)</f>
        <v>9000030</v>
      </c>
    </row>
    <row r="33" spans="1:19" x14ac:dyDescent="0.3">
      <c r="A33" s="3">
        <v>45344</v>
      </c>
      <c r="B33" s="31" t="s">
        <v>287</v>
      </c>
      <c r="C33" s="9" t="str">
        <f>VLOOKUP(CMA_한투183611[[#This Row],[종목코드]],표3[],2,FALSE)</f>
        <v>(약정)한투원화발행어음</v>
      </c>
      <c r="D33" s="33" t="str">
        <f>VLOOKUP(CMA_한투183611[[#This Row],[종목코드]],표3[],4,FALSE)</f>
        <v>한국투자증권 직접투자계좌 원화발행어음(약정)</v>
      </c>
      <c r="E33" s="111"/>
      <c r="F33" s="7">
        <v>300000</v>
      </c>
      <c r="G33" s="7">
        <v>300000</v>
      </c>
      <c r="H33" s="5">
        <f>CMA_한투183611[[#This Row],[현금지출]]-CMA_한투183611[[#This Row],[매입액]]</f>
        <v>0</v>
      </c>
      <c r="N33">
        <f>CMA_한투183611[[#This Row],[매도액]]-CMA_한투183611[[#This Row],[매도원금]]</f>
        <v>0</v>
      </c>
      <c r="O33" s="5">
        <f>CMA_한투183611[[#This Row],[매도액]]+CMA_한투183611[[#This Row],[이자배당액]]-CMA_한투183611[[#This Row],[현금수입]]</f>
        <v>0</v>
      </c>
      <c r="P33">
        <f>CMA_한투183611[[#This Row],[매매수익]]+CMA_한투183611[[#This Row],[이자배당액]]-CMA_한투183611[[#This Row],[매도비용]]-CMA_한투183611[[#This Row],[매입비용]]</f>
        <v>0</v>
      </c>
      <c r="R33" s="5">
        <f>CMA_한투183611[[#This Row],[입출금]]+CMA_한투183611[[#This Row],[현금수입]]-CMA_한투183611[[#This Row],[현금지출]]</f>
        <v>-300000</v>
      </c>
      <c r="S33">
        <f>SUM($R$2:R33)</f>
        <v>8700030</v>
      </c>
    </row>
    <row r="34" spans="1:19" x14ac:dyDescent="0.3">
      <c r="A34" s="3">
        <v>45350</v>
      </c>
      <c r="B34" s="31" t="s">
        <v>291</v>
      </c>
      <c r="C34" s="9" t="str">
        <f>VLOOKUP(CMA_한투183611[[#This Row],[종목코드]],표3[],2,FALSE)</f>
        <v>(수시)한투원화발행어음</v>
      </c>
      <c r="D34" s="33" t="str">
        <f>VLOOKUP(CMA_한투183611[[#This Row],[종목코드]],표3[],4,FALSE)</f>
        <v>한국투자증권 직접투자계좌 원화발행어음(수시)</v>
      </c>
      <c r="E34" s="111"/>
      <c r="F34" s="7">
        <v>8700030</v>
      </c>
      <c r="G34" s="7">
        <v>8700030</v>
      </c>
      <c r="H34" s="5">
        <f>CMA_한투183611[[#This Row],[현금지출]]-CMA_한투183611[[#This Row],[매입액]]</f>
        <v>0</v>
      </c>
      <c r="N34">
        <f>CMA_한투183611[[#This Row],[매도액]]-CMA_한투183611[[#This Row],[매도원금]]</f>
        <v>0</v>
      </c>
      <c r="O34" s="5">
        <f>CMA_한투183611[[#This Row],[매도액]]+CMA_한투183611[[#This Row],[이자배당액]]-CMA_한투183611[[#This Row],[현금수입]]</f>
        <v>0</v>
      </c>
      <c r="P34">
        <f>CMA_한투183611[[#This Row],[매매수익]]+CMA_한투183611[[#This Row],[이자배당액]]-CMA_한투183611[[#This Row],[매도비용]]-CMA_한투183611[[#This Row],[매입비용]]</f>
        <v>0</v>
      </c>
      <c r="R34" s="5">
        <f>CMA_한투183611[[#This Row],[입출금]]+CMA_한투183611[[#This Row],[현금수입]]-CMA_한투183611[[#This Row],[현금지출]]</f>
        <v>-8700030</v>
      </c>
      <c r="S34">
        <f>SUM($R$2:R34)</f>
        <v>0</v>
      </c>
    </row>
    <row r="35" spans="1:19" x14ac:dyDescent="0.3">
      <c r="A35" s="3">
        <v>45355</v>
      </c>
      <c r="B35" s="31" t="s">
        <v>272</v>
      </c>
      <c r="C35" s="9" t="str">
        <f>VLOOKUP(CMA_한투183611[[#This Row],[종목코드]],표3[],2,FALSE)</f>
        <v>한투예수금</v>
      </c>
      <c r="D35" s="33" t="str">
        <f>VLOOKUP(CMA_한투183611[[#This Row],[종목코드]],표3[],4,FALSE)</f>
        <v>한국투자증권 직접투자 원화예수금</v>
      </c>
      <c r="E35" s="111"/>
      <c r="H35" s="5">
        <f>CMA_한투183611[[#This Row],[현금지출]]-CMA_한투183611[[#This Row],[매입액]]</f>
        <v>0</v>
      </c>
      <c r="J35"/>
      <c r="L35">
        <v>3926</v>
      </c>
      <c r="M35">
        <v>3336</v>
      </c>
      <c r="N35">
        <f>CMA_한투183611[[#This Row],[매도액]]-CMA_한투183611[[#This Row],[매도원금]]</f>
        <v>0</v>
      </c>
      <c r="O35">
        <f>CMA_한투183611[[#This Row],[매도액]]+CMA_한투183611[[#This Row],[이자배당액]]-CMA_한투183611[[#This Row],[현금수입]]</f>
        <v>590</v>
      </c>
      <c r="P35">
        <f>CMA_한투183611[[#This Row],[매매수익]]+CMA_한투183611[[#This Row],[이자배당액]]-CMA_한투183611[[#This Row],[매도비용]]-CMA_한투183611[[#This Row],[매입비용]]</f>
        <v>3336</v>
      </c>
      <c r="R35" s="5">
        <f>CMA_한투183611[[#This Row],[입출금]]+CMA_한투183611[[#This Row],[현금수입]]-CMA_한투183611[[#This Row],[현금지출]]</f>
        <v>3336</v>
      </c>
      <c r="S35">
        <f>SUM($R$2:R35)</f>
        <v>3336</v>
      </c>
    </row>
    <row r="36" spans="1:19" x14ac:dyDescent="0.3">
      <c r="A36" s="3">
        <v>45356</v>
      </c>
      <c r="B36" s="108" t="s">
        <v>279</v>
      </c>
      <c r="C36" s="9" t="str">
        <f>VLOOKUP(CMA_한투183611[[#This Row],[종목코드]],표3[],2,FALSE)</f>
        <v>미국하이일드</v>
      </c>
      <c r="D36" s="33" t="str">
        <f>VLOOKUP(CMA_한투183611[[#This Row],[종목코드]],표3[],4,FALSE)</f>
        <v>ACE 미국하이일드액티브(H)</v>
      </c>
      <c r="E36" s="111"/>
      <c r="H36" s="5">
        <f>CMA_한투183611[[#This Row],[현금지출]]-CMA_한투183611[[#This Row],[매입액]]</f>
        <v>0</v>
      </c>
      <c r="L36" s="7">
        <v>15756</v>
      </c>
      <c r="M36">
        <v>13336</v>
      </c>
      <c r="N36">
        <f>CMA_한투183611[[#This Row],[매도액]]-CMA_한투183611[[#This Row],[매도원금]]</f>
        <v>0</v>
      </c>
      <c r="O36" s="5">
        <f>CMA_한투183611[[#This Row],[매도액]]+CMA_한투183611[[#This Row],[이자배당액]]-CMA_한투183611[[#This Row],[현금수입]]</f>
        <v>2420</v>
      </c>
      <c r="P36">
        <f>CMA_한투183611[[#This Row],[매매수익]]+CMA_한투183611[[#This Row],[이자배당액]]-CMA_한투183611[[#This Row],[매도비용]]-CMA_한투183611[[#This Row],[매입비용]]</f>
        <v>13336</v>
      </c>
      <c r="R36" s="5">
        <f>CMA_한투183611[[#This Row],[입출금]]+CMA_한투183611[[#This Row],[현금수입]]-CMA_한투183611[[#This Row],[현금지출]]</f>
        <v>13336</v>
      </c>
      <c r="S36">
        <f>SUM($R$2:R36)</f>
        <v>16672</v>
      </c>
    </row>
    <row r="37" spans="1:19" x14ac:dyDescent="0.3">
      <c r="A37" s="3">
        <v>45356</v>
      </c>
      <c r="B37" s="31" t="s">
        <v>438</v>
      </c>
      <c r="C37" s="9" t="str">
        <f>VLOOKUP(CMA_한투183611[[#This Row],[종목코드]],표3[],2,FALSE)</f>
        <v>미국배당주</v>
      </c>
      <c r="D37" s="33" t="str">
        <f>VLOOKUP(CMA_한투183611[[#This Row],[종목코드]],표3[],4,FALSE)</f>
        <v>TIGER 미국배당다우존스</v>
      </c>
      <c r="E37" s="111"/>
      <c r="H37" s="5">
        <f>CMA_한투183611[[#This Row],[현금지출]]-CMA_한투183611[[#This Row],[매입액]]</f>
        <v>0</v>
      </c>
      <c r="L37" s="7">
        <v>5856</v>
      </c>
      <c r="M37">
        <v>5856</v>
      </c>
      <c r="N37">
        <f>CMA_한투183611[[#This Row],[매도액]]-CMA_한투183611[[#This Row],[매도원금]]</f>
        <v>0</v>
      </c>
      <c r="O37" s="5">
        <f>CMA_한투183611[[#This Row],[매도액]]+CMA_한투183611[[#This Row],[이자배당액]]-CMA_한투183611[[#This Row],[현금수입]]</f>
        <v>0</v>
      </c>
      <c r="P37">
        <f>CMA_한투183611[[#This Row],[매매수익]]+CMA_한투183611[[#This Row],[이자배당액]]-CMA_한투183611[[#This Row],[매도비용]]-CMA_한투183611[[#This Row],[매입비용]]</f>
        <v>5856</v>
      </c>
      <c r="R37" s="5">
        <f>CMA_한투183611[[#This Row],[입출금]]+CMA_한투183611[[#This Row],[현금수입]]-CMA_한투183611[[#This Row],[현금지출]]</f>
        <v>5856</v>
      </c>
      <c r="S37">
        <f>SUM($R$2:R37)</f>
        <v>22528</v>
      </c>
    </row>
    <row r="38" spans="1:19" x14ac:dyDescent="0.3">
      <c r="A38" s="3">
        <v>44991</v>
      </c>
      <c r="B38" s="5" t="s">
        <v>272</v>
      </c>
      <c r="C38" s="9" t="str">
        <f>VLOOKUP(CMA_한투183611[[#This Row],[종목코드]],표3[],2,FALSE)</f>
        <v>한투예수금</v>
      </c>
      <c r="D38" s="33" t="str">
        <f>VLOOKUP(CMA_한투183611[[#This Row],[종목코드]],표3[],4,FALSE)</f>
        <v>한국투자증권 직접투자 원화예수금</v>
      </c>
      <c r="E38" s="111"/>
      <c r="H38" s="5">
        <f>CMA_한투183611[[#This Row],[현금지출]]-CMA_한투183611[[#This Row],[매입액]]</f>
        <v>0</v>
      </c>
      <c r="N38">
        <f>CMA_한투183611[[#This Row],[매도액]]-CMA_한투183611[[#This Row],[매도원금]]</f>
        <v>0</v>
      </c>
      <c r="O38" s="5">
        <f>CMA_한투183611[[#This Row],[매도액]]+CMA_한투183611[[#This Row],[이자배당액]]-CMA_한투183611[[#This Row],[현금수입]]</f>
        <v>0</v>
      </c>
      <c r="P38">
        <f>CMA_한투183611[[#This Row],[매매수익]]+CMA_한투183611[[#This Row],[이자배당액]]-CMA_한투183611[[#This Row],[매도비용]]-CMA_한투183611[[#This Row],[매입비용]]</f>
        <v>0</v>
      </c>
      <c r="Q38">
        <v>1500000</v>
      </c>
      <c r="R38" s="5">
        <f>CMA_한투183611[[#This Row],[입출금]]+CMA_한투183611[[#This Row],[현금수입]]-CMA_한투183611[[#This Row],[현금지출]]</f>
        <v>1500000</v>
      </c>
      <c r="S38">
        <f>SUM($R$2:R38)</f>
        <v>1522528</v>
      </c>
    </row>
    <row r="39" spans="1:19" x14ac:dyDescent="0.3">
      <c r="A39" s="3">
        <v>44992</v>
      </c>
      <c r="B39" s="31" t="s">
        <v>291</v>
      </c>
      <c r="C39" s="9" t="str">
        <f>VLOOKUP(CMA_한투183611[[#This Row],[종목코드]],표3[],2,FALSE)</f>
        <v>(수시)한투원화발행어음</v>
      </c>
      <c r="D39" s="33" t="str">
        <f>VLOOKUP(CMA_한투183611[[#This Row],[종목코드]],표3[],4,FALSE)</f>
        <v>한국투자증권 직접투자계좌 원화발행어음(수시)</v>
      </c>
      <c r="E39" s="111"/>
      <c r="H39" s="5">
        <f>CMA_한투183611[[#This Row],[현금지출]]-CMA_한투183611[[#This Row],[매입액]]</f>
        <v>0</v>
      </c>
      <c r="J39" s="7">
        <v>8700030</v>
      </c>
      <c r="K39">
        <v>8706513</v>
      </c>
      <c r="M39">
        <v>8705523</v>
      </c>
      <c r="N39">
        <f>CMA_한투183611[[#This Row],[매도액]]-CMA_한투183611[[#This Row],[매도원금]]</f>
        <v>6483</v>
      </c>
      <c r="O39" s="5">
        <f>CMA_한투183611[[#This Row],[매도액]]+CMA_한투183611[[#This Row],[이자배당액]]-CMA_한투183611[[#This Row],[현금수입]]</f>
        <v>990</v>
      </c>
      <c r="P39">
        <f>CMA_한투183611[[#This Row],[매매수익]]+CMA_한투183611[[#This Row],[이자배당액]]-CMA_한투183611[[#This Row],[매도비용]]-CMA_한투183611[[#This Row],[매입비용]]</f>
        <v>5493</v>
      </c>
      <c r="R39" s="5">
        <f>CMA_한투183611[[#This Row],[입출금]]+CMA_한투183611[[#This Row],[현금수입]]-CMA_한투183611[[#This Row],[현금지출]]</f>
        <v>8705523</v>
      </c>
      <c r="S39">
        <f>SUM($R$2:R39)</f>
        <v>10228051</v>
      </c>
    </row>
    <row r="40" spans="1:19" x14ac:dyDescent="0.3">
      <c r="A40" s="3">
        <v>44992</v>
      </c>
      <c r="B40" s="31" t="s">
        <v>518</v>
      </c>
      <c r="C40" s="9" t="str">
        <f>VLOOKUP(CMA_한투183611[[#This Row],[종목코드]],표3[],2,FALSE)</f>
        <v>한화239-2(녹)</v>
      </c>
      <c r="D40" s="33" t="str">
        <f>VLOOKUP(CMA_한투183611[[#This Row],[종목코드]],표3[],4,FALSE)</f>
        <v>한화239-2(녹)</v>
      </c>
      <c r="E40" s="111">
        <v>1</v>
      </c>
      <c r="F40" s="7">
        <v>4253700</v>
      </c>
      <c r="G40" s="7">
        <v>4253700</v>
      </c>
      <c r="H40" s="5">
        <f>CMA_한투183611[[#This Row],[현금지출]]-CMA_한투183611[[#This Row],[매입액]]</f>
        <v>0</v>
      </c>
      <c r="N40">
        <f>CMA_한투183611[[#This Row],[매도액]]-CMA_한투183611[[#This Row],[매도원금]]</f>
        <v>0</v>
      </c>
      <c r="O40" s="5">
        <f>CMA_한투183611[[#This Row],[매도액]]+CMA_한투183611[[#This Row],[이자배당액]]-CMA_한투183611[[#This Row],[현금수입]]</f>
        <v>0</v>
      </c>
      <c r="P40">
        <f>CMA_한투183611[[#This Row],[매매수익]]+CMA_한투183611[[#This Row],[이자배당액]]-CMA_한투183611[[#This Row],[매도비용]]-CMA_한투183611[[#This Row],[매입비용]]</f>
        <v>0</v>
      </c>
      <c r="R40" s="5">
        <f>CMA_한투183611[[#This Row],[입출금]]+CMA_한투183611[[#This Row],[현금수입]]-CMA_한투183611[[#This Row],[현금지출]]</f>
        <v>-4253700</v>
      </c>
      <c r="S40">
        <f>SUM($R$2:R40)</f>
        <v>5974351</v>
      </c>
    </row>
    <row r="41" spans="1:19" x14ac:dyDescent="0.3">
      <c r="A41" s="3">
        <v>44995</v>
      </c>
      <c r="B41" s="5" t="s">
        <v>436</v>
      </c>
      <c r="C41" s="9" t="str">
        <f>VLOOKUP(CMA_한투183611[[#This Row],[종목코드]],표3[],2,FALSE)</f>
        <v>미국단기회사채</v>
      </c>
      <c r="D41" s="33" t="str">
        <f>VLOOKUP(CMA_한투183611[[#This Row],[종목코드]],표3[],4,FALSE)</f>
        <v>KBSTAR 미국단기투자등급회사채액티비</v>
      </c>
      <c r="E41" s="111">
        <v>140</v>
      </c>
      <c r="F41" s="7">
        <v>1492400</v>
      </c>
      <c r="G41" s="7">
        <f>1492400+210</f>
        <v>1492610</v>
      </c>
      <c r="H41" s="5">
        <f>CMA_한투183611[[#This Row],[현금지출]]-CMA_한투183611[[#This Row],[매입액]]</f>
        <v>210</v>
      </c>
      <c r="N41">
        <f>CMA_한투183611[[#This Row],[매도액]]-CMA_한투183611[[#This Row],[매도원금]]</f>
        <v>0</v>
      </c>
      <c r="O41" s="5">
        <f>CMA_한투183611[[#This Row],[매도액]]+CMA_한투183611[[#This Row],[이자배당액]]-CMA_한투183611[[#This Row],[현금수입]]</f>
        <v>0</v>
      </c>
      <c r="P41">
        <f>CMA_한투183611[[#This Row],[매매수익]]+CMA_한투183611[[#This Row],[이자배당액]]-CMA_한투183611[[#This Row],[매도비용]]-CMA_한투183611[[#This Row],[매입비용]]</f>
        <v>-210</v>
      </c>
      <c r="R41" s="5">
        <f>CMA_한투183611[[#This Row],[입출금]]+CMA_한투183611[[#This Row],[현금수입]]-CMA_한투183611[[#This Row],[현금지출]]</f>
        <v>-1492610</v>
      </c>
      <c r="S41">
        <f>SUM($R$2:R41)</f>
        <v>4481741</v>
      </c>
    </row>
    <row r="42" spans="1:19" x14ac:dyDescent="0.3">
      <c r="A42" s="3">
        <v>44995</v>
      </c>
      <c r="B42" s="5" t="s">
        <v>438</v>
      </c>
      <c r="C42" s="9" t="str">
        <f>VLOOKUP(CMA_한투183611[[#This Row],[종목코드]],표3[],2,FALSE)</f>
        <v>미국배당주</v>
      </c>
      <c r="D42" s="33" t="str">
        <f>VLOOKUP(CMA_한투183611[[#This Row],[종목코드]],표3[],4,FALSE)</f>
        <v>TIGER 미국배당다우존스</v>
      </c>
      <c r="E42" s="111">
        <v>90</v>
      </c>
      <c r="F42" s="7">
        <v>999450</v>
      </c>
      <c r="G42" s="7">
        <f>999450+140</f>
        <v>999590</v>
      </c>
      <c r="H42" s="5">
        <f>CMA_한투183611[[#This Row],[현금지출]]-CMA_한투183611[[#This Row],[매입액]]</f>
        <v>140</v>
      </c>
      <c r="N42">
        <f>CMA_한투183611[[#This Row],[매도액]]-CMA_한투183611[[#This Row],[매도원금]]</f>
        <v>0</v>
      </c>
      <c r="O42" s="5">
        <f>CMA_한투183611[[#This Row],[매도액]]+CMA_한투183611[[#This Row],[이자배당액]]-CMA_한투183611[[#This Row],[현금수입]]</f>
        <v>0</v>
      </c>
      <c r="P42">
        <f>CMA_한투183611[[#This Row],[매매수익]]+CMA_한투183611[[#This Row],[이자배당액]]-CMA_한투183611[[#This Row],[매도비용]]-CMA_한투183611[[#This Row],[매입비용]]</f>
        <v>-140</v>
      </c>
      <c r="R42" s="5">
        <f>CMA_한투183611[[#This Row],[입출금]]+CMA_한투183611[[#This Row],[현금수입]]-CMA_한투183611[[#This Row],[현금지출]]</f>
        <v>-999590</v>
      </c>
      <c r="S42">
        <f>SUM($R$2:R42)</f>
        <v>3482151</v>
      </c>
    </row>
    <row r="43" spans="1:19" x14ac:dyDescent="0.3">
      <c r="A43" s="3">
        <v>44995</v>
      </c>
      <c r="B43" s="5">
        <v>453870</v>
      </c>
      <c r="C43" s="9" t="str">
        <f>VLOOKUP(CMA_한투183611[[#This Row],[종목코드]],표3[],2,FALSE)</f>
        <v>인도주식</v>
      </c>
      <c r="D43" s="33" t="str">
        <f>VLOOKUP(CMA_한투183611[[#This Row],[종목코드]],표3[],4,FALSE)</f>
        <v>TIGER 인도니프티50</v>
      </c>
      <c r="E43" s="111">
        <v>243</v>
      </c>
      <c r="F43" s="7">
        <v>2990815</v>
      </c>
      <c r="G43" s="7">
        <f>2990815+430</f>
        <v>2991245</v>
      </c>
      <c r="H43" s="5">
        <f>CMA_한투183611[[#This Row],[현금지출]]-CMA_한투183611[[#This Row],[매입액]]</f>
        <v>430</v>
      </c>
      <c r="N43">
        <f>CMA_한투183611[[#This Row],[매도액]]-CMA_한투183611[[#This Row],[매도원금]]</f>
        <v>0</v>
      </c>
      <c r="O43" s="5">
        <f>CMA_한투183611[[#This Row],[매도액]]+CMA_한투183611[[#This Row],[이자배당액]]-CMA_한투183611[[#This Row],[현금수입]]</f>
        <v>0</v>
      </c>
      <c r="P43">
        <f>CMA_한투183611[[#This Row],[매매수익]]+CMA_한투183611[[#This Row],[이자배당액]]-CMA_한투183611[[#This Row],[매도비용]]-CMA_한투183611[[#This Row],[매입비용]]</f>
        <v>-430</v>
      </c>
      <c r="R43" s="5">
        <f>CMA_한투183611[[#This Row],[입출금]]+CMA_한투183611[[#This Row],[현금수입]]-CMA_한투183611[[#This Row],[현금지출]]</f>
        <v>-2991245</v>
      </c>
      <c r="S43">
        <f>SUM($R$2:R43)</f>
        <v>490906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8"/>
  <sheetViews>
    <sheetView zoomScale="85" zoomScaleNormal="85" workbookViewId="0">
      <selection activeCell="B8" sqref="B8"/>
    </sheetView>
  </sheetViews>
  <sheetFormatPr defaultRowHeight="16.5" x14ac:dyDescent="0.3"/>
  <cols>
    <col min="1" max="1" width="11.125" style="3" bestFit="1" customWidth="1"/>
    <col min="2" max="2" width="19" style="1" bestFit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270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>
        <v>0</v>
      </c>
      <c r="G2">
        <v>0</v>
      </c>
      <c r="H2">
        <f>CMA_한투18361112[[#This Row],[현금지출]]-CMA_한투18361112[[#This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274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  <row r="5" spans="1:19" x14ac:dyDescent="0.3">
      <c r="A5" s="3">
        <v>45306</v>
      </c>
      <c r="B5" s="46" t="s">
        <v>154</v>
      </c>
      <c r="C5" s="9" t="str">
        <f>VLOOKUP(CMA_한투18361112[[#This Row],[종목코드]],표3[],2,FALSE)</f>
        <v>삼척블루파워9</v>
      </c>
      <c r="D5" s="33" t="str">
        <f>VLOOKUP(CMA_한투18361112[[#This Row],[종목코드]],표3[],4,FALSE)</f>
        <v>삼척블루파워9</v>
      </c>
      <c r="E5" s="40"/>
      <c r="H5" s="5">
        <f>CMA_한투18361112[[#This Row],[현금지출]]-CMA_한투18361112[[#This Row],[매입액]]</f>
        <v>0</v>
      </c>
      <c r="L5" s="7">
        <v>8994</v>
      </c>
      <c r="M5">
        <v>8994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8994</v>
      </c>
      <c r="R5" s="5">
        <f>CMA_한투18361112[[#This Row],[입출금]]+CMA_한투18361112[[#This Row],[현금수입]]-CMA_한투18361112[[#This Row],[현금지출]]</f>
        <v>8994</v>
      </c>
      <c r="S5">
        <f>SUM($R$2:R5)</f>
        <v>17988</v>
      </c>
    </row>
    <row r="6" spans="1:19" x14ac:dyDescent="0.3">
      <c r="A6" s="3">
        <v>45337</v>
      </c>
      <c r="B6" s="46" t="s">
        <v>154</v>
      </c>
      <c r="C6" s="9" t="str">
        <f>VLOOKUP(CMA_한투18361112[[#This Row],[종목코드]],표3[],2,FALSE)</f>
        <v>삼척블루파워9</v>
      </c>
      <c r="D6" s="33" t="str">
        <f>VLOOKUP(CMA_한투18361112[[#This Row],[종목코드]],표3[],4,FALSE)</f>
        <v>삼척블루파워9</v>
      </c>
      <c r="E6" s="111"/>
      <c r="H6" s="5">
        <f>CMA_한투18361112[[#This Row],[현금지출]]-CMA_한투18361112[[#This Row],[매입액]]</f>
        <v>0</v>
      </c>
      <c r="L6" s="7">
        <v>8994</v>
      </c>
      <c r="M6">
        <v>8994</v>
      </c>
      <c r="N6">
        <f>CMA_한투18361112[[#This Row],[매도액]]-CMA_한투18361112[[#This Row],[매도원금]]</f>
        <v>0</v>
      </c>
      <c r="O6" s="5">
        <f>CMA_한투18361112[[#This Row],[매도액]]+CMA_한투18361112[[#This Row],[이자배당액]]-CMA_한투18361112[[#This Row],[현금수입]]</f>
        <v>0</v>
      </c>
      <c r="P6">
        <f>CMA_한투18361112[[#This Row],[매매수익]]+CMA_한투18361112[[#This Row],[이자배당액]]-CMA_한투18361112[[#This Row],[매도비용]]-CMA_한투18361112[[#This Row],[매입비용]]</f>
        <v>8994</v>
      </c>
      <c r="R6" s="5">
        <f>CMA_한투18361112[[#This Row],[입출금]]+CMA_한투18361112[[#This Row],[현금수입]]-CMA_한투18361112[[#This Row],[현금지출]]</f>
        <v>8994</v>
      </c>
      <c r="S6">
        <f>SUM($R$2:R6)</f>
        <v>26982</v>
      </c>
    </row>
    <row r="7" spans="1:19" x14ac:dyDescent="0.3">
      <c r="A7" s="1">
        <v>45344</v>
      </c>
      <c r="B7" s="46" t="s">
        <v>274</v>
      </c>
      <c r="C7" s="9" t="str">
        <f>VLOOKUP(CMA_한투18361112[[#This Row],[종목코드]],표3[],2,FALSE)</f>
        <v>메리츠캐피탈235-1</v>
      </c>
      <c r="D7" s="33" t="str">
        <f>VLOOKUP(CMA_한투18361112[[#This Row],[종목코드]],표3[],4,FALSE)</f>
        <v>메리츠캐피탈235-1</v>
      </c>
      <c r="E7" s="111"/>
      <c r="H7" s="5">
        <f>CMA_한투18361112[[#This Row],[현금지출]]-CMA_한투18361112[[#This Row],[매입액]]</f>
        <v>0</v>
      </c>
      <c r="L7" s="7">
        <v>14194</v>
      </c>
      <c r="M7">
        <v>14194</v>
      </c>
      <c r="N7">
        <f>CMA_한투18361112[[#This Row],[매도액]]-CMA_한투18361112[[#This Row],[매도원금]]</f>
        <v>0</v>
      </c>
      <c r="O7" s="5">
        <f>CMA_한투18361112[[#This Row],[매도액]]+CMA_한투18361112[[#This Row],[이자배당액]]-CMA_한투18361112[[#This Row],[현금수입]]</f>
        <v>0</v>
      </c>
      <c r="P7">
        <f>CMA_한투18361112[[#This Row],[매매수익]]+CMA_한투18361112[[#This Row],[이자배당액]]-CMA_한투18361112[[#This Row],[매도비용]]-CMA_한투18361112[[#This Row],[매입비용]]</f>
        <v>14194</v>
      </c>
      <c r="R7" s="5">
        <f>CMA_한투18361112[[#This Row],[입출금]]+CMA_한투18361112[[#This Row],[현금수입]]-CMA_한투18361112[[#This Row],[현금지출]]</f>
        <v>14194</v>
      </c>
      <c r="S7">
        <f>SUM($R$2:R7)</f>
        <v>41176</v>
      </c>
    </row>
    <row r="8" spans="1:19" x14ac:dyDescent="0.3">
      <c r="A8" s="3">
        <v>45355</v>
      </c>
      <c r="B8" s="46" t="s">
        <v>270</v>
      </c>
      <c r="C8" s="9" t="str">
        <f>VLOOKUP(CMA_한투18361112[[#This Row],[종목코드]],표3[],2,FALSE)</f>
        <v>한투ISA예수금</v>
      </c>
      <c r="D8" s="33" t="str">
        <f>VLOOKUP(CMA_한투18361112[[#This Row],[종목코드]],표3[],4,FALSE)</f>
        <v>한국투자증권 ISA 원화예수금</v>
      </c>
      <c r="E8" s="111"/>
      <c r="H8" s="5">
        <f>CMA_한투18361112[[#This Row],[현금지출]]-CMA_한투18361112[[#This Row],[매입액]]</f>
        <v>0</v>
      </c>
      <c r="L8" s="7">
        <v>29</v>
      </c>
      <c r="M8">
        <v>29</v>
      </c>
      <c r="N8">
        <f>CMA_한투18361112[[#This Row],[매도액]]-CMA_한투18361112[[#This Row],[매도원금]]</f>
        <v>0</v>
      </c>
      <c r="O8" s="5">
        <f>CMA_한투18361112[[#This Row],[매도액]]+CMA_한투18361112[[#This Row],[이자배당액]]-CMA_한투18361112[[#This Row],[현금수입]]</f>
        <v>0</v>
      </c>
      <c r="P8">
        <f>CMA_한투18361112[[#This Row],[매매수익]]+CMA_한투18361112[[#This Row],[이자배당액]]-CMA_한투18361112[[#This Row],[매도비용]]-CMA_한투18361112[[#This Row],[매입비용]]</f>
        <v>29</v>
      </c>
      <c r="R8" s="5">
        <f>CMA_한투18361112[[#This Row],[입출금]]+CMA_한투18361112[[#This Row],[현금수입]]-CMA_한투18361112[[#This Row],[현금지출]]</f>
        <v>29</v>
      </c>
      <c r="S8">
        <f>SUM($R$2:R8)</f>
        <v>41205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2"/>
  <sheetViews>
    <sheetView workbookViewId="0">
      <selection activeCell="A2" sqref="A2:S2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.5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G2" s="8"/>
      <c r="H2" s="8"/>
      <c r="I2" s="12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"/>
  <sheetViews>
    <sheetView zoomScale="85" zoomScaleNormal="85" workbookViewId="0"/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2"/>
  <sheetViews>
    <sheetView workbookViewId="0">
      <selection activeCell="A5" sqref="A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40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>
        <f>SUM(외화자산평가!$F:$F)/-SUMIF(외화자산평가!$T:$T,"&lt;0",외화자산평가!$T:$T)</f>
        <v>85.565839325755817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A30" sqref="A30"/>
    </sheetView>
  </sheetViews>
  <sheetFormatPr defaultRowHeight="16.5" x14ac:dyDescent="0.3"/>
  <cols>
    <col min="1" max="1" width="11.125" style="31" bestFit="1" customWidth="1"/>
    <col min="2" max="2" width="18.25" customWidth="1"/>
    <col min="3" max="3" width="37.375" customWidth="1"/>
    <col min="4" max="4" width="17.875" customWidth="1"/>
    <col min="7" max="7" width="11.875" bestFit="1" customWidth="1"/>
    <col min="8" max="8" width="12.75" bestFit="1" customWidth="1"/>
    <col min="9" max="9" width="11.5" style="50" customWidth="1"/>
    <col min="11" max="11" width="13.75" customWidth="1"/>
    <col min="13" max="13" width="10.25" customWidth="1"/>
  </cols>
  <sheetData>
    <row r="1" spans="1:10" x14ac:dyDescent="0.3">
      <c r="A1" s="31" t="s">
        <v>318</v>
      </c>
      <c r="B1" t="s">
        <v>319</v>
      </c>
      <c r="C1" t="s">
        <v>320</v>
      </c>
      <c r="D1" t="s">
        <v>321</v>
      </c>
      <c r="E1" t="s">
        <v>415</v>
      </c>
      <c r="F1" t="s">
        <v>322</v>
      </c>
      <c r="G1" t="s">
        <v>323</v>
      </c>
      <c r="H1" s="50" t="s">
        <v>337</v>
      </c>
      <c r="I1" t="s">
        <v>420</v>
      </c>
      <c r="J1" t="s">
        <v>419</v>
      </c>
    </row>
    <row r="2" spans="1:10" x14ac:dyDescent="0.3">
      <c r="A2" s="31" t="s">
        <v>324</v>
      </c>
      <c r="B2" t="s">
        <v>384</v>
      </c>
      <c r="C2" t="s">
        <v>325</v>
      </c>
      <c r="D2" t="s">
        <v>326</v>
      </c>
      <c r="E2" t="s">
        <v>416</v>
      </c>
      <c r="F2" t="s">
        <v>21</v>
      </c>
      <c r="G2" t="s">
        <v>327</v>
      </c>
      <c r="H2" s="50"/>
      <c r="I2"/>
      <c r="J2" s="50">
        <v>0</v>
      </c>
    </row>
    <row r="3" spans="1:10" x14ac:dyDescent="0.3">
      <c r="A3" s="31" t="s">
        <v>332</v>
      </c>
      <c r="B3" t="s">
        <v>330</v>
      </c>
      <c r="C3" t="s">
        <v>330</v>
      </c>
      <c r="D3" t="s">
        <v>326</v>
      </c>
      <c r="E3" t="s">
        <v>416</v>
      </c>
      <c r="F3" t="s">
        <v>328</v>
      </c>
      <c r="G3" t="s">
        <v>329</v>
      </c>
      <c r="H3" s="50"/>
      <c r="I3"/>
      <c r="J3" s="50">
        <v>0</v>
      </c>
    </row>
    <row r="4" spans="1:10" x14ac:dyDescent="0.3">
      <c r="A4" s="31" t="s">
        <v>333</v>
      </c>
      <c r="B4" t="s">
        <v>331</v>
      </c>
      <c r="C4" t="s">
        <v>331</v>
      </c>
      <c r="D4" t="s">
        <v>326</v>
      </c>
      <c r="E4" t="s">
        <v>416</v>
      </c>
      <c r="F4" t="s">
        <v>328</v>
      </c>
      <c r="G4" t="s">
        <v>329</v>
      </c>
      <c r="H4" s="50"/>
      <c r="I4"/>
      <c r="J4" s="50">
        <v>0</v>
      </c>
    </row>
    <row r="5" spans="1:10" x14ac:dyDescent="0.3">
      <c r="A5" s="31">
        <v>226490</v>
      </c>
      <c r="B5" t="s">
        <v>334</v>
      </c>
      <c r="C5" t="s">
        <v>513</v>
      </c>
      <c r="D5" t="s">
        <v>326</v>
      </c>
      <c r="E5" t="s">
        <v>416</v>
      </c>
      <c r="F5" t="s">
        <v>335</v>
      </c>
      <c r="G5" t="s">
        <v>336</v>
      </c>
      <c r="H5" s="50">
        <v>3648855</v>
      </c>
      <c r="I5"/>
      <c r="J5" s="50">
        <v>0</v>
      </c>
    </row>
    <row r="6" spans="1:10" x14ac:dyDescent="0.3">
      <c r="A6" s="31" t="s">
        <v>370</v>
      </c>
      <c r="B6" t="s">
        <v>374</v>
      </c>
      <c r="C6" t="s">
        <v>338</v>
      </c>
      <c r="D6" t="s">
        <v>347</v>
      </c>
      <c r="E6" t="s">
        <v>417</v>
      </c>
      <c r="F6" t="s">
        <v>328</v>
      </c>
      <c r="G6" t="s">
        <v>329</v>
      </c>
      <c r="H6" s="50">
        <v>15156281</v>
      </c>
      <c r="I6"/>
      <c r="J6" s="50">
        <v>0</v>
      </c>
    </row>
    <row r="7" spans="1:10" x14ac:dyDescent="0.3">
      <c r="A7" s="31" t="s">
        <v>372</v>
      </c>
      <c r="B7" t="s">
        <v>373</v>
      </c>
      <c r="C7" t="s">
        <v>339</v>
      </c>
      <c r="D7" t="s">
        <v>347</v>
      </c>
      <c r="E7" t="s">
        <v>418</v>
      </c>
      <c r="F7" t="s">
        <v>328</v>
      </c>
      <c r="G7" t="s">
        <v>329</v>
      </c>
      <c r="H7" s="50">
        <v>9950017</v>
      </c>
      <c r="I7"/>
      <c r="J7" s="50">
        <v>0</v>
      </c>
    </row>
    <row r="8" spans="1:10" x14ac:dyDescent="0.3">
      <c r="A8" s="31" t="s">
        <v>357</v>
      </c>
      <c r="B8" t="s">
        <v>375</v>
      </c>
      <c r="C8" t="s">
        <v>349</v>
      </c>
      <c r="D8" t="s">
        <v>347</v>
      </c>
      <c r="E8" t="s">
        <v>416</v>
      </c>
      <c r="F8" t="s">
        <v>350</v>
      </c>
      <c r="G8" t="s">
        <v>351</v>
      </c>
      <c r="H8" s="50">
        <v>4252948</v>
      </c>
      <c r="I8"/>
      <c r="J8" s="50">
        <v>0</v>
      </c>
    </row>
    <row r="9" spans="1:10" x14ac:dyDescent="0.3">
      <c r="A9" s="31" t="s">
        <v>359</v>
      </c>
      <c r="B9" t="s">
        <v>376</v>
      </c>
      <c r="C9" t="s">
        <v>340</v>
      </c>
      <c r="D9" t="s">
        <v>347</v>
      </c>
      <c r="E9" t="s">
        <v>416</v>
      </c>
      <c r="F9" t="s">
        <v>328</v>
      </c>
      <c r="G9" t="s">
        <v>329</v>
      </c>
      <c r="H9" s="50">
        <v>4200467</v>
      </c>
      <c r="I9"/>
      <c r="J9" s="50">
        <v>0</v>
      </c>
    </row>
    <row r="10" spans="1:10" x14ac:dyDescent="0.3">
      <c r="A10" s="31" t="s">
        <v>361</v>
      </c>
      <c r="B10" t="s">
        <v>377</v>
      </c>
      <c r="C10" t="s">
        <v>341</v>
      </c>
      <c r="D10" t="s">
        <v>347</v>
      </c>
      <c r="E10" t="s">
        <v>416</v>
      </c>
      <c r="F10" t="s">
        <v>328</v>
      </c>
      <c r="G10" t="s">
        <v>329</v>
      </c>
      <c r="H10" s="50">
        <v>2109942</v>
      </c>
      <c r="I10"/>
      <c r="J10" s="50">
        <v>0</v>
      </c>
    </row>
    <row r="11" spans="1:10" x14ac:dyDescent="0.3">
      <c r="A11" s="31" t="s">
        <v>362</v>
      </c>
      <c r="B11" t="s">
        <v>378</v>
      </c>
      <c r="C11" t="s">
        <v>342</v>
      </c>
      <c r="D11" t="s">
        <v>347</v>
      </c>
      <c r="E11" t="s">
        <v>417</v>
      </c>
      <c r="F11" t="s">
        <v>328</v>
      </c>
      <c r="G11" t="s">
        <v>329</v>
      </c>
      <c r="H11" s="50">
        <v>2107970</v>
      </c>
      <c r="I11"/>
      <c r="J11" s="50">
        <v>0</v>
      </c>
    </row>
    <row r="12" spans="1:10" x14ac:dyDescent="0.3">
      <c r="A12" s="31" t="s">
        <v>363</v>
      </c>
      <c r="B12" t="s">
        <v>379</v>
      </c>
      <c r="C12" t="s">
        <v>343</v>
      </c>
      <c r="D12" t="s">
        <v>347</v>
      </c>
      <c r="E12" t="s">
        <v>416</v>
      </c>
      <c r="F12" t="s">
        <v>350</v>
      </c>
      <c r="G12" t="s">
        <v>351</v>
      </c>
      <c r="H12" s="50">
        <v>4245573</v>
      </c>
      <c r="I12"/>
      <c r="J12" s="50">
        <v>0</v>
      </c>
    </row>
    <row r="13" spans="1:10" x14ac:dyDescent="0.3">
      <c r="A13" s="31" t="s">
        <v>364</v>
      </c>
      <c r="B13" t="s">
        <v>380</v>
      </c>
      <c r="C13" t="s">
        <v>344</v>
      </c>
      <c r="D13" t="s">
        <v>347</v>
      </c>
      <c r="E13" t="s">
        <v>416</v>
      </c>
      <c r="F13" t="s">
        <v>352</v>
      </c>
      <c r="G13" t="s">
        <v>353</v>
      </c>
      <c r="H13" s="50">
        <v>6843270</v>
      </c>
      <c r="I13"/>
      <c r="J13" s="50">
        <v>0</v>
      </c>
    </row>
    <row r="14" spans="1:10" x14ac:dyDescent="0.3">
      <c r="A14" s="31" t="s">
        <v>365</v>
      </c>
      <c r="B14" t="s">
        <v>381</v>
      </c>
      <c r="C14" t="s">
        <v>345</v>
      </c>
      <c r="D14" t="s">
        <v>347</v>
      </c>
      <c r="E14" t="s">
        <v>416</v>
      </c>
      <c r="F14" t="s">
        <v>354</v>
      </c>
      <c r="G14" t="s">
        <v>355</v>
      </c>
      <c r="H14" s="50">
        <v>2056309</v>
      </c>
      <c r="I14"/>
      <c r="J14" s="50">
        <v>0</v>
      </c>
    </row>
    <row r="15" spans="1:10" x14ac:dyDescent="0.3">
      <c r="A15" s="31" t="s">
        <v>366</v>
      </c>
      <c r="B15" t="s">
        <v>382</v>
      </c>
      <c r="C15" t="s">
        <v>346</v>
      </c>
      <c r="D15" t="s">
        <v>347</v>
      </c>
      <c r="E15" t="s">
        <v>416</v>
      </c>
      <c r="F15" t="s">
        <v>354</v>
      </c>
      <c r="G15" t="s">
        <v>355</v>
      </c>
      <c r="H15" s="50">
        <v>2065314</v>
      </c>
      <c r="I15"/>
      <c r="J15" s="50">
        <v>0</v>
      </c>
    </row>
    <row r="16" spans="1:10" x14ac:dyDescent="0.3">
      <c r="A16" s="31" t="s">
        <v>368</v>
      </c>
      <c r="B16" t="s">
        <v>383</v>
      </c>
      <c r="C16" t="s">
        <v>348</v>
      </c>
      <c r="D16" t="s">
        <v>347</v>
      </c>
      <c r="E16" t="s">
        <v>416</v>
      </c>
      <c r="F16" t="s">
        <v>21</v>
      </c>
      <c r="G16" t="s">
        <v>17</v>
      </c>
      <c r="H16" s="50"/>
      <c r="I16"/>
      <c r="J16" s="50">
        <v>0</v>
      </c>
    </row>
    <row r="17" spans="1:10" x14ac:dyDescent="0.3">
      <c r="A17" s="31" t="s">
        <v>412</v>
      </c>
      <c r="B17" t="s">
        <v>413</v>
      </c>
      <c r="C17" t="s">
        <v>414</v>
      </c>
      <c r="D17" t="s">
        <v>514</v>
      </c>
      <c r="E17" t="s">
        <v>416</v>
      </c>
      <c r="F17" t="s">
        <v>410</v>
      </c>
      <c r="G17" t="s">
        <v>411</v>
      </c>
      <c r="H17" s="50"/>
      <c r="I17"/>
      <c r="J17" s="50">
        <v>0</v>
      </c>
    </row>
    <row r="18" spans="1:10" x14ac:dyDescent="0.3">
      <c r="A18" s="31" t="s">
        <v>515</v>
      </c>
      <c r="B18" t="s">
        <v>516</v>
      </c>
      <c r="C18" t="s">
        <v>517</v>
      </c>
      <c r="D18" t="s">
        <v>409</v>
      </c>
      <c r="E18" t="s">
        <v>17</v>
      </c>
      <c r="F18" t="s">
        <v>490</v>
      </c>
      <c r="G18" t="s">
        <v>498</v>
      </c>
      <c r="H18" s="50">
        <v>652300</v>
      </c>
      <c r="I18"/>
      <c r="J18" s="50">
        <v>0</v>
      </c>
    </row>
    <row r="19" spans="1:10" x14ac:dyDescent="0.3">
      <c r="A19" s="31" t="s">
        <v>460</v>
      </c>
      <c r="B19" t="s">
        <v>484</v>
      </c>
      <c r="C19" t="s">
        <v>470</v>
      </c>
      <c r="D19" t="s">
        <v>409</v>
      </c>
      <c r="E19" t="s">
        <v>17</v>
      </c>
      <c r="F19" t="s">
        <v>491</v>
      </c>
      <c r="G19" t="s">
        <v>498</v>
      </c>
      <c r="H19" s="50">
        <v>1196745</v>
      </c>
      <c r="I19"/>
      <c r="J19" s="50">
        <v>0</v>
      </c>
    </row>
    <row r="20" spans="1:10" x14ac:dyDescent="0.3">
      <c r="A20" s="31" t="s">
        <v>461</v>
      </c>
      <c r="B20" t="s">
        <v>485</v>
      </c>
      <c r="C20" t="s">
        <v>471</v>
      </c>
      <c r="D20" t="s">
        <v>409</v>
      </c>
      <c r="E20" t="s">
        <v>17</v>
      </c>
      <c r="F20" t="s">
        <v>492</v>
      </c>
      <c r="G20" t="s">
        <v>499</v>
      </c>
      <c r="H20" s="50">
        <v>1283815</v>
      </c>
      <c r="I20"/>
      <c r="J20" s="50">
        <v>0</v>
      </c>
    </row>
    <row r="21" spans="1:10" x14ac:dyDescent="0.3">
      <c r="A21" s="31" t="s">
        <v>462</v>
      </c>
      <c r="B21" t="s">
        <v>480</v>
      </c>
      <c r="C21" t="s">
        <v>472</v>
      </c>
      <c r="D21" t="s">
        <v>409</v>
      </c>
      <c r="E21" t="s">
        <v>17</v>
      </c>
      <c r="F21" t="s">
        <v>493</v>
      </c>
      <c r="G21" t="s">
        <v>503</v>
      </c>
      <c r="H21" s="50">
        <v>1278230</v>
      </c>
      <c r="I21"/>
      <c r="J21" s="50">
        <v>0</v>
      </c>
    </row>
    <row r="22" spans="1:10" x14ac:dyDescent="0.3">
      <c r="A22" s="31" t="s">
        <v>463</v>
      </c>
      <c r="B22" t="s">
        <v>481</v>
      </c>
      <c r="C22" t="s">
        <v>473</v>
      </c>
      <c r="D22" t="s">
        <v>409</v>
      </c>
      <c r="E22" t="s">
        <v>17</v>
      </c>
      <c r="F22" t="s">
        <v>493</v>
      </c>
      <c r="G22" t="s">
        <v>502</v>
      </c>
      <c r="H22" s="50">
        <v>1274550</v>
      </c>
      <c r="I22"/>
      <c r="J22" s="50">
        <v>0</v>
      </c>
    </row>
    <row r="23" spans="1:10" x14ac:dyDescent="0.3">
      <c r="A23" s="31" t="s">
        <v>464</v>
      </c>
      <c r="B23" t="s">
        <v>483</v>
      </c>
      <c r="C23" t="s">
        <v>479</v>
      </c>
      <c r="D23" t="s">
        <v>409</v>
      </c>
      <c r="E23" t="s">
        <v>17</v>
      </c>
      <c r="F23" t="s">
        <v>494</v>
      </c>
      <c r="G23" t="s">
        <v>500</v>
      </c>
      <c r="H23" s="50">
        <v>1267560</v>
      </c>
      <c r="I23"/>
      <c r="J23" s="50">
        <v>0</v>
      </c>
    </row>
    <row r="24" spans="1:10" x14ac:dyDescent="0.3">
      <c r="A24" s="31" t="s">
        <v>465</v>
      </c>
      <c r="B24" t="s">
        <v>482</v>
      </c>
      <c r="C24" t="s">
        <v>474</v>
      </c>
      <c r="D24" t="s">
        <v>409</v>
      </c>
      <c r="E24" t="s">
        <v>17</v>
      </c>
      <c r="F24" t="s">
        <v>495</v>
      </c>
      <c r="G24" t="s">
        <v>500</v>
      </c>
      <c r="H24" s="50">
        <v>642490</v>
      </c>
      <c r="I24"/>
      <c r="J24" s="50">
        <v>0</v>
      </c>
    </row>
    <row r="25" spans="1:10" x14ac:dyDescent="0.3">
      <c r="A25" s="31" t="s">
        <v>466</v>
      </c>
      <c r="B25" t="s">
        <v>486</v>
      </c>
      <c r="C25" t="s">
        <v>475</v>
      </c>
      <c r="D25" t="s">
        <v>409</v>
      </c>
      <c r="E25" t="s">
        <v>17</v>
      </c>
      <c r="F25" t="s">
        <v>490</v>
      </c>
      <c r="G25" t="s">
        <v>499</v>
      </c>
      <c r="H25" s="50">
        <v>1274400</v>
      </c>
      <c r="I25"/>
      <c r="J25" s="50">
        <v>0</v>
      </c>
    </row>
    <row r="26" spans="1:10" x14ac:dyDescent="0.3">
      <c r="A26" s="31" t="s">
        <v>467</v>
      </c>
      <c r="B26" t="s">
        <v>487</v>
      </c>
      <c r="C26" t="s">
        <v>476</v>
      </c>
      <c r="D26" t="s">
        <v>409</v>
      </c>
      <c r="E26" t="s">
        <v>17</v>
      </c>
      <c r="F26" t="s">
        <v>495</v>
      </c>
      <c r="G26" t="s">
        <v>501</v>
      </c>
      <c r="H26" s="50">
        <v>1283580</v>
      </c>
      <c r="I26"/>
      <c r="J26" s="50">
        <v>0</v>
      </c>
    </row>
    <row r="27" spans="1:10" x14ac:dyDescent="0.3">
      <c r="A27" s="31" t="s">
        <v>468</v>
      </c>
      <c r="B27" t="s">
        <v>488</v>
      </c>
      <c r="C27" t="s">
        <v>477</v>
      </c>
      <c r="D27" t="s">
        <v>409</v>
      </c>
      <c r="E27" t="s">
        <v>17</v>
      </c>
      <c r="F27" t="s">
        <v>496</v>
      </c>
      <c r="G27" t="s">
        <v>501</v>
      </c>
      <c r="H27" s="50">
        <v>1277865</v>
      </c>
      <c r="I27"/>
      <c r="J27" s="50">
        <v>0</v>
      </c>
    </row>
    <row r="28" spans="1:10" x14ac:dyDescent="0.3">
      <c r="A28" s="31" t="s">
        <v>469</v>
      </c>
      <c r="B28" t="s">
        <v>489</v>
      </c>
      <c r="C28" t="s">
        <v>478</v>
      </c>
      <c r="D28" t="s">
        <v>409</v>
      </c>
      <c r="E28" t="s">
        <v>17</v>
      </c>
      <c r="F28" t="s">
        <v>497</v>
      </c>
      <c r="G28" t="s">
        <v>501</v>
      </c>
      <c r="H28" s="50">
        <v>1265000</v>
      </c>
      <c r="I28"/>
      <c r="J28" s="50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57"/>
  <sheetViews>
    <sheetView workbookViewId="0">
      <selection activeCell="E24" sqref="E24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309</v>
      </c>
      <c r="C1" s="58" t="s">
        <v>78</v>
      </c>
      <c r="D1" s="58" t="s">
        <v>308</v>
      </c>
      <c r="E1" s="58" t="s">
        <v>307</v>
      </c>
      <c r="F1" s="58" t="s">
        <v>306</v>
      </c>
      <c r="G1" s="58" t="s">
        <v>248</v>
      </c>
      <c r="H1" s="58" t="s">
        <v>305</v>
      </c>
      <c r="I1" s="58" t="s">
        <v>304</v>
      </c>
      <c r="J1" s="58" t="s">
        <v>303</v>
      </c>
      <c r="K1" s="58" t="s">
        <v>302</v>
      </c>
      <c r="L1" s="58" t="s">
        <v>301</v>
      </c>
      <c r="M1" s="58" t="s">
        <v>300</v>
      </c>
      <c r="N1" s="58" t="s">
        <v>299</v>
      </c>
      <c r="O1" s="58" t="s">
        <v>298</v>
      </c>
      <c r="P1" s="58" t="s">
        <v>297</v>
      </c>
      <c r="Q1" s="58" t="s">
        <v>296</v>
      </c>
      <c r="R1" s="58" t="s">
        <v>295</v>
      </c>
      <c r="S1" s="58" t="s">
        <v>294</v>
      </c>
      <c r="T1" s="58" t="s">
        <v>293</v>
      </c>
    </row>
    <row r="2" spans="1:20" x14ac:dyDescent="0.3">
      <c r="A2" s="60" t="s">
        <v>82</v>
      </c>
      <c r="B2" s="57">
        <v>45291</v>
      </c>
      <c r="C2" s="56" t="s">
        <v>292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282</v>
      </c>
      <c r="N2" s="56" t="s">
        <v>281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291</v>
      </c>
      <c r="B3" s="57">
        <v>45291</v>
      </c>
      <c r="C3" s="56" t="s">
        <v>290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252</v>
      </c>
      <c r="N3" s="56" t="s">
        <v>70</v>
      </c>
      <c r="O3" s="56" t="s">
        <v>253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289</v>
      </c>
      <c r="D4" s="56" t="s">
        <v>70</v>
      </c>
      <c r="E4" s="56" t="s">
        <v>288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287</v>
      </c>
      <c r="B5" s="57">
        <v>45291</v>
      </c>
      <c r="C5" s="56" t="s">
        <v>286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285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284</v>
      </c>
      <c r="B7" s="57">
        <v>45291</v>
      </c>
      <c r="C7" s="56" t="s">
        <v>283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282</v>
      </c>
      <c r="N7" s="56" t="s">
        <v>281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280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279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278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277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268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276</v>
      </c>
      <c r="B15" s="57">
        <v>45291</v>
      </c>
      <c r="C15" s="56" t="s">
        <v>275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274</v>
      </c>
      <c r="B16" s="57">
        <v>45291</v>
      </c>
      <c r="C16" s="56" t="s">
        <v>273</v>
      </c>
      <c r="D16" s="56" t="s">
        <v>70</v>
      </c>
      <c r="E16" s="56" t="s">
        <v>268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271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252</v>
      </c>
      <c r="N17" s="56" t="s">
        <v>70</v>
      </c>
      <c r="O17" s="56" t="s">
        <v>250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270</v>
      </c>
      <c r="B18" s="57">
        <v>45291</v>
      </c>
      <c r="C18" s="56" t="s">
        <v>269</v>
      </c>
      <c r="D18" s="56" t="s">
        <v>70</v>
      </c>
      <c r="E18" s="56" t="s">
        <v>268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252</v>
      </c>
      <c r="N18" s="56" t="s">
        <v>70</v>
      </c>
      <c r="O18" s="56" t="s">
        <v>250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252</v>
      </c>
      <c r="N19" s="56" t="s">
        <v>70</v>
      </c>
      <c r="O19" s="56" t="s">
        <v>253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267</v>
      </c>
      <c r="B20" s="57">
        <v>45291</v>
      </c>
      <c r="C20" s="56" t="s">
        <v>266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252</v>
      </c>
      <c r="N20" s="56" t="s">
        <v>70</v>
      </c>
      <c r="O20" s="56" t="s">
        <v>250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265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265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252</v>
      </c>
      <c r="N25" s="56" t="s">
        <v>70</v>
      </c>
      <c r="O25" s="56" t="s">
        <v>253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264</v>
      </c>
      <c r="B26" s="57">
        <v>45291</v>
      </c>
      <c r="C26" s="56" t="s">
        <v>263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252</v>
      </c>
      <c r="N26" s="56" t="s">
        <v>70</v>
      </c>
      <c r="O26" s="56" t="s">
        <v>250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262</v>
      </c>
      <c r="D27" s="56" t="s">
        <v>258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261</v>
      </c>
      <c r="O27" s="56" t="s">
        <v>261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260</v>
      </c>
      <c r="B28" s="57">
        <v>45291</v>
      </c>
      <c r="C28" s="56" t="s">
        <v>259</v>
      </c>
      <c r="D28" s="56" t="s">
        <v>258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252</v>
      </c>
      <c r="N28" s="56" t="s">
        <v>251</v>
      </c>
      <c r="O28" s="56" t="s">
        <v>250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257</v>
      </c>
      <c r="B29" s="57">
        <v>45291</v>
      </c>
      <c r="C29" s="56" t="s">
        <v>256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252</v>
      </c>
      <c r="N29" s="56" t="s">
        <v>251</v>
      </c>
      <c r="O29" s="56" t="s">
        <v>253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255</v>
      </c>
      <c r="B30" s="57">
        <v>45291</v>
      </c>
      <c r="C30" s="56" t="s">
        <v>254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252</v>
      </c>
      <c r="N41" s="56" t="s">
        <v>251</v>
      </c>
      <c r="O41" s="56" t="s">
        <v>250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251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252</v>
      </c>
      <c r="N54" s="56" t="s">
        <v>251</v>
      </c>
      <c r="O54" s="56" t="s">
        <v>253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252</v>
      </c>
      <c r="N56" s="56" t="s">
        <v>251</v>
      </c>
      <c r="O56" s="56" t="s">
        <v>250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249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7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1"/>
  <sheetViews>
    <sheetView workbookViewId="0">
      <selection activeCell="F20" sqref="F20:G23"/>
    </sheetView>
  </sheetViews>
  <sheetFormatPr defaultRowHeight="16.5" x14ac:dyDescent="0.3"/>
  <cols>
    <col min="1" max="2" width="10.25" customWidth="1"/>
    <col min="3" max="4" width="15.25" bestFit="1" customWidth="1"/>
    <col min="5" max="5" width="11.25" bestFit="1" customWidth="1"/>
    <col min="6" max="6" width="9.5" bestFit="1" customWidth="1"/>
    <col min="7" max="10" width="10.25" customWidth="1"/>
    <col min="11" max="11" width="9.5" bestFit="1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385</v>
      </c>
      <c r="C2" s="71" t="str">
        <f>VLOOKUP(농협IRP[[#This Row],[종목코드]],연금종목정보[],2,FALSE)</f>
        <v>농협현금</v>
      </c>
      <c r="D2" s="73" t="str">
        <f>VLOOKUP(농협IRP[[#This Row],[종목코드]],연금종목정보[],4,FALSE)</f>
        <v>농협IRP</v>
      </c>
      <c r="E2" s="74">
        <v>1</v>
      </c>
      <c r="F2" s="75">
        <v>2777566</v>
      </c>
      <c r="G2" s="75">
        <v>2777566</v>
      </c>
      <c r="H2" s="76">
        <f>농협IRP[[#This Row],[현금지출]]-농협IRP[[#This Row],[매입액]]</f>
        <v>0</v>
      </c>
      <c r="I2" s="77">
        <v>0</v>
      </c>
      <c r="J2" s="75">
        <v>0</v>
      </c>
      <c r="K2" s="75">
        <v>0</v>
      </c>
      <c r="L2" s="78">
        <v>0</v>
      </c>
      <c r="M2" s="75">
        <v>0</v>
      </c>
      <c r="N2" s="78">
        <f>농협IRP[[#This Row],[매도액]]-농협IRP[[#This Row],[매도원금]]</f>
        <v>0</v>
      </c>
      <c r="O2" s="78">
        <f>농협IRP[[#This Row],[매도액]]+농협IRP[[#This Row],[이자배당액]]-농협IRP[[#This Row],[현금수입]]</f>
        <v>0</v>
      </c>
      <c r="P2" s="78">
        <f>농협IRP[[#This Row],[매매수익]]+농협IRP[[#This Row],[이자배당액]]-농협IRP[[#This Row],[매도비용]]-농협IRP[[#This Row],[매입비용]]</f>
        <v>0</v>
      </c>
      <c r="Q2" s="75">
        <v>2777566</v>
      </c>
      <c r="R2" s="77">
        <f>농협IRP[[#This Row],[입출금]]+농협IRP[[#This Row],[현금수입]]-농협IRP[[#This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386</v>
      </c>
      <c r="C3" s="71" t="str">
        <f>VLOOKUP(농협IRP[[#This Row],[종목코드]],연금종목정보[],2,FALSE)</f>
        <v>신한정기예금1Y</v>
      </c>
      <c r="D3" s="73" t="str">
        <f>VLOOKUP(농협IRP[[#This Row],[종목코드]],연금종목정보[],4,FALSE)</f>
        <v>농협IRP</v>
      </c>
      <c r="E3" s="74">
        <v>1</v>
      </c>
      <c r="F3" s="75">
        <v>10628881</v>
      </c>
      <c r="G3" s="75">
        <v>10628881</v>
      </c>
      <c r="H3" s="76">
        <f>농협IRP[[#This Row],[현금지출]]-농협IRP[[#This Row],[매입액]]</f>
        <v>0</v>
      </c>
      <c r="I3" s="77">
        <v>0</v>
      </c>
      <c r="J3" s="75">
        <v>0</v>
      </c>
      <c r="K3" s="75">
        <v>0</v>
      </c>
      <c r="L3" s="78">
        <v>0</v>
      </c>
      <c r="M3" s="75">
        <v>0</v>
      </c>
      <c r="N3" s="78">
        <f>농협IRP[[#This Row],[매도액]]-농협IRP[[#This Row],[매도원금]]</f>
        <v>0</v>
      </c>
      <c r="O3" s="78">
        <f>농협IRP[[#This Row],[매도액]]+농협IRP[[#This Row],[이자배당액]]-농협IRP[[#This Row],[현금수입]]</f>
        <v>0</v>
      </c>
      <c r="P3" s="78">
        <f>농협IRP[[#This Row],[매매수익]]+농협IRP[[#This Row],[이자배당액]]-농협IRP[[#This Row],[매도비용]]-농협IRP[[#This Row],[매입비용]]</f>
        <v>0</v>
      </c>
      <c r="Q3" s="75">
        <v>10628881</v>
      </c>
      <c r="R3" s="77">
        <f>농협IRP[[#This Row],[입출금]]+농협IRP[[#This Row],[현금수입]]-농협IRP[[#This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387</v>
      </c>
      <c r="C4" s="80" t="str">
        <f>VLOOKUP(농협IRP[[#This Row],[종목코드]],연금종목정보[],2,FALSE)</f>
        <v>다올정기예금1Y</v>
      </c>
      <c r="D4" s="82" t="str">
        <f>VLOOKUP(농협IRP[[#This Row],[종목코드]],연금종목정보[],4,FALSE)</f>
        <v>농협IRP</v>
      </c>
      <c r="E4" s="83">
        <v>1</v>
      </c>
      <c r="F4" s="84">
        <v>6123103</v>
      </c>
      <c r="G4" s="84">
        <v>6123103</v>
      </c>
      <c r="H4" s="85">
        <f>농협IRP[[#This Row],[현금지출]]-농협IRP[[#This Row],[매입액]]</f>
        <v>0</v>
      </c>
      <c r="I4" s="86">
        <v>0</v>
      </c>
      <c r="J4" s="84">
        <v>0</v>
      </c>
      <c r="K4" s="84">
        <v>0</v>
      </c>
      <c r="L4" s="87">
        <v>0</v>
      </c>
      <c r="M4" s="84">
        <v>0</v>
      </c>
      <c r="N4" s="87">
        <f>농협IRP[[#This Row],[매도액]]-농협IRP[[#This Row],[매도원금]]</f>
        <v>0</v>
      </c>
      <c r="O4" s="87">
        <f>농협IRP[[#This Row],[매도액]]+농협IRP[[#This Row],[이자배당액]]-농협IRP[[#This Row],[현금수입]]</f>
        <v>0</v>
      </c>
      <c r="P4" s="87">
        <f>농협IRP[[#This Row],[매매수익]]+농협IRP[[#This Row],[이자배당액]]-농협IRP[[#This Row],[매도비용]]-농협IRP[[#This Row],[매입비용]]</f>
        <v>0</v>
      </c>
      <c r="Q4" s="84">
        <v>6123103</v>
      </c>
      <c r="R4" s="86">
        <f>농협IRP[[#This Row],[입출금]]+농협IRP[[#This Row],[현금수입]]-농협IRP[[#This Row],[현금지출]]</f>
        <v>0</v>
      </c>
      <c r="S4" s="86">
        <f>SUM($R$2:R4)</f>
        <v>0</v>
      </c>
    </row>
    <row r="5" spans="1:19" x14ac:dyDescent="0.3">
      <c r="A5" s="71">
        <v>45310</v>
      </c>
      <c r="B5" s="72" t="s">
        <v>385</v>
      </c>
      <c r="C5" s="71" t="str">
        <f>VLOOKUP(농협IRP[[#This Row],[종목코드]],연금종목정보[],2,FALSE)</f>
        <v>농협현금</v>
      </c>
      <c r="D5" s="73" t="str">
        <f>VLOOKUP(농협IRP[[#This Row],[종목코드]],연금종목정보[],4,FALSE)</f>
        <v>농협IRP</v>
      </c>
      <c r="E5" s="74">
        <v>0</v>
      </c>
      <c r="F5" s="75">
        <v>340900</v>
      </c>
      <c r="G5" s="76">
        <v>340900</v>
      </c>
      <c r="H5" s="76">
        <f>농협IRP[[#This Row],[현금지출]]-농협IRP[[#This Row],[매입액]]</f>
        <v>0</v>
      </c>
      <c r="I5" s="77">
        <v>0</v>
      </c>
      <c r="J5" s="75">
        <v>0</v>
      </c>
      <c r="K5" s="75">
        <v>0</v>
      </c>
      <c r="L5" s="78">
        <v>0</v>
      </c>
      <c r="M5" s="75">
        <v>0</v>
      </c>
      <c r="N5" s="78">
        <f>농협IRP[[#This Row],[매도액]]-농협IRP[[#This Row],[매도원금]]</f>
        <v>0</v>
      </c>
      <c r="O5" s="78">
        <f>농협IRP[[#This Row],[매도액]]+농협IRP[[#This Row],[이자배당액]]-농협IRP[[#This Row],[현금수입]]</f>
        <v>0</v>
      </c>
      <c r="P5" s="78">
        <f>농협IRP[[#This Row],[매매수익]]+농협IRP[[#This Row],[이자배당액]]-농협IRP[[#This Row],[매도비용]]-농협IRP[[#This Row],[매입비용]]</f>
        <v>0</v>
      </c>
      <c r="Q5" s="75">
        <v>340900</v>
      </c>
      <c r="R5" s="77">
        <f>농협IRP[[#This Row],[입출금]]+농협IRP[[#This Row],[현금수입]]-농협IRP[[#This Row],[현금지출]]</f>
        <v>0</v>
      </c>
      <c r="S5" s="77">
        <f>SUM($R$2:R5)</f>
        <v>0</v>
      </c>
    </row>
    <row r="6" spans="1:19" x14ac:dyDescent="0.3">
      <c r="A6" s="71">
        <v>45313</v>
      </c>
      <c r="B6" s="72" t="s">
        <v>385</v>
      </c>
      <c r="C6" s="71" t="str">
        <f>VLOOKUP(농협IRP[[#This Row],[종목코드]],연금종목정보[],2,FALSE)</f>
        <v>농협현금</v>
      </c>
      <c r="D6" s="73" t="str">
        <f>VLOOKUP(농협IRP[[#This Row],[종목코드]],연금종목정보[],4,FALSE)</f>
        <v>농협IRP</v>
      </c>
      <c r="E6" s="74">
        <v>0</v>
      </c>
      <c r="F6" s="75">
        <v>0</v>
      </c>
      <c r="G6" s="76">
        <v>0</v>
      </c>
      <c r="H6" s="76">
        <f>농협IRP[[#This Row],[현금지출]]-농협IRP[[#This Row],[매입액]]</f>
        <v>0</v>
      </c>
      <c r="I6" s="75">
        <v>0</v>
      </c>
      <c r="J6" s="75">
        <v>3103169</v>
      </c>
      <c r="K6" s="75">
        <v>3103169</v>
      </c>
      <c r="L6" s="78">
        <v>0</v>
      </c>
      <c r="M6" s="75">
        <v>3103169</v>
      </c>
      <c r="N6" s="78">
        <f>농협IRP[[#This Row],[매도액]]-농협IRP[[#This Row],[매도원금]]</f>
        <v>0</v>
      </c>
      <c r="O6" s="78">
        <f>농협IRP[[#This Row],[매도액]]+농협IRP[[#This Row],[이자배당액]]-농협IRP[[#This Row],[현금수입]]</f>
        <v>0</v>
      </c>
      <c r="P6" s="78">
        <f>농협IRP[[#This Row],[매매수익]]+농협IRP[[#This Row],[이자배당액]]-농협IRP[[#This Row],[매도비용]]-농협IRP[[#This Row],[매입비용]]</f>
        <v>0</v>
      </c>
      <c r="Q6" s="75">
        <v>0</v>
      </c>
      <c r="R6" s="77">
        <f>농협IRP[[#This Row],[입출금]]+농협IRP[[#This Row],[현금수입]]-농협IRP[[#This Row],[현금지출]]</f>
        <v>3103169</v>
      </c>
      <c r="S6" s="77">
        <f>SUM($R$2:R6)</f>
        <v>3103169</v>
      </c>
    </row>
    <row r="7" spans="1:19" x14ac:dyDescent="0.3">
      <c r="A7" s="71">
        <v>45313</v>
      </c>
      <c r="B7" s="72" t="s">
        <v>386</v>
      </c>
      <c r="C7" s="71" t="str">
        <f>VLOOKUP(농협IRP[[#This Row],[종목코드]],연금종목정보[],2,FALSE)</f>
        <v>신한정기예금1Y</v>
      </c>
      <c r="D7" s="73" t="str">
        <f>VLOOKUP(농협IRP[[#This Row],[종목코드]],연금종목정보[],4,FALSE)</f>
        <v>농협IRP</v>
      </c>
      <c r="E7" s="74">
        <v>0</v>
      </c>
      <c r="F7" s="75">
        <v>340900</v>
      </c>
      <c r="G7" s="76">
        <v>340900</v>
      </c>
      <c r="H7" s="76">
        <f>농협IRP[[#This Row],[현금지출]]-농협IRP[[#This Row],[매입액]]</f>
        <v>0</v>
      </c>
      <c r="I7" s="77">
        <v>0</v>
      </c>
      <c r="J7" s="75">
        <v>601727</v>
      </c>
      <c r="K7" s="75">
        <v>627901</v>
      </c>
      <c r="L7" s="78">
        <v>0</v>
      </c>
      <c r="M7" s="75">
        <v>627901</v>
      </c>
      <c r="N7" s="78">
        <f>농협IRP[[#This Row],[매도액]]-농협IRP[[#This Row],[매도원금]]</f>
        <v>26174</v>
      </c>
      <c r="O7" s="78">
        <f>농협IRP[[#This Row],[매도액]]+농협IRP[[#This Row],[이자배당액]]-농협IRP[[#This Row],[현금수입]]</f>
        <v>0</v>
      </c>
      <c r="P7" s="78">
        <f>농협IRP[[#This Row],[매매수익]]+농협IRP[[#This Row],[이자배당액]]-농협IRP[[#This Row],[매도비용]]-농협IRP[[#This Row],[매입비용]]</f>
        <v>26174</v>
      </c>
      <c r="Q7" s="75">
        <v>0</v>
      </c>
      <c r="R7" s="77">
        <f>농협IRP[[#This Row],[입출금]]+농협IRP[[#This Row],[현금수입]]-농협IRP[[#This Row],[현금지출]]</f>
        <v>287001</v>
      </c>
      <c r="S7" s="77">
        <f>SUM($R$2:R7)</f>
        <v>3390170</v>
      </c>
    </row>
    <row r="8" spans="1:19" x14ac:dyDescent="0.3">
      <c r="A8" s="71">
        <v>45313</v>
      </c>
      <c r="B8" s="81">
        <v>226490</v>
      </c>
      <c r="C8" s="80" t="str">
        <f>VLOOKUP(농협IRP[[#This Row],[종목코드]],연금종목정보[],2,FALSE)</f>
        <v>KODEX 코스피</v>
      </c>
      <c r="D8" s="82" t="str">
        <f>VLOOKUP(농협IRP[[#This Row],[종목코드]],연금종목정보[],4,FALSE)</f>
        <v>농협IRP</v>
      </c>
      <c r="E8" s="83">
        <v>1</v>
      </c>
      <c r="F8" s="84">
        <v>3390170</v>
      </c>
      <c r="G8" s="85">
        <v>3390170</v>
      </c>
      <c r="H8" s="85">
        <f>농협IRP[[#This Row],[현금지출]]-농협IRP[[#This Row],[매입액]]</f>
        <v>0</v>
      </c>
      <c r="I8" s="86">
        <v>0</v>
      </c>
      <c r="J8" s="84">
        <v>0</v>
      </c>
      <c r="K8" s="84">
        <v>0</v>
      </c>
      <c r="L8" s="87">
        <v>0</v>
      </c>
      <c r="M8" s="84">
        <v>0</v>
      </c>
      <c r="N8" s="87">
        <f>농협IRP[[#This Row],[매도액]]-농협IRP[[#This Row],[매도원금]]</f>
        <v>0</v>
      </c>
      <c r="O8" s="87">
        <f>농협IRP[[#This Row],[매도액]]+농협IRP[[#This Row],[이자배당액]]-농협IRP[[#This Row],[현금수입]]</f>
        <v>0</v>
      </c>
      <c r="P8" s="87">
        <f>농협IRP[[#This Row],[매매수익]]+농협IRP[[#This Row],[이자배당액]]-농협IRP[[#This Row],[매도비용]]-농협IRP[[#This Row],[매입비용]]</f>
        <v>0</v>
      </c>
      <c r="Q8" s="85">
        <v>0</v>
      </c>
      <c r="R8" s="86">
        <f>농협IRP[[#This Row],[입출금]]+농협IRP[[#This Row],[현금수입]]-농협IRP[[#This Row],[현금지출]]</f>
        <v>-3390170</v>
      </c>
      <c r="S8" s="77">
        <f>SUM($R$2:R8)</f>
        <v>0</v>
      </c>
    </row>
    <row r="9" spans="1:19" x14ac:dyDescent="0.3">
      <c r="A9" s="71">
        <v>45315</v>
      </c>
      <c r="B9" s="72" t="s">
        <v>386</v>
      </c>
      <c r="C9" s="71" t="str">
        <f>VLOOKUP(농협IRP[[#This Row],[종목코드]],연금종목정보[],2,FALSE)</f>
        <v>신한정기예금1Y</v>
      </c>
      <c r="D9" s="73" t="str">
        <f>VLOOKUP(농협IRP[[#This Row],[종목코드]],연금종목정보[],4,FALSE)</f>
        <v>농협IRP</v>
      </c>
      <c r="E9" s="74">
        <v>0</v>
      </c>
      <c r="F9" s="75">
        <v>0</v>
      </c>
      <c r="G9" s="76">
        <v>0</v>
      </c>
      <c r="H9" s="76">
        <f>농협IRP[[#This Row],[현금지출]]-농협IRP[[#This Row],[매입액]]</f>
        <v>0</v>
      </c>
      <c r="I9" s="77">
        <v>0</v>
      </c>
      <c r="J9" s="75">
        <v>253950</v>
      </c>
      <c r="K9" s="75">
        <v>264996</v>
      </c>
      <c r="L9" s="78">
        <v>0</v>
      </c>
      <c r="M9" s="75">
        <v>264996</v>
      </c>
      <c r="N9" s="78">
        <f>농협IRP[[#This Row],[매도액]]-농협IRP[[#This Row],[매도원금]]</f>
        <v>11046</v>
      </c>
      <c r="O9" s="78">
        <f>농협IRP[[#This Row],[매도액]]+농협IRP[[#This Row],[이자배당액]]-농협IRP[[#This Row],[현금수입]]</f>
        <v>0</v>
      </c>
      <c r="P9" s="78">
        <f>농협IRP[[#This Row],[매매수익]]+농협IRP[[#This Row],[이자배당액]]-농협IRP[[#This Row],[매도비용]]-농협IRP[[#This Row],[매입비용]]</f>
        <v>11046</v>
      </c>
      <c r="Q9" s="75">
        <v>0</v>
      </c>
      <c r="R9" s="77">
        <f>농협IRP[[#This Row],[입출금]]+농협IRP[[#This Row],[현금수입]]-농협IRP[[#This Row],[현금지출]]</f>
        <v>264996</v>
      </c>
      <c r="S9" s="77">
        <f>SUM($R$2:R9)</f>
        <v>264996</v>
      </c>
    </row>
    <row r="10" spans="1:19" x14ac:dyDescent="0.3">
      <c r="A10" s="71">
        <v>45315</v>
      </c>
      <c r="B10" s="72" t="s">
        <v>385</v>
      </c>
      <c r="C10" s="71" t="str">
        <f>VLOOKUP(농협IRP[[#This Row],[종목코드]],연금종목정보[],2,FALSE)</f>
        <v>농협현금</v>
      </c>
      <c r="D10" s="73" t="str">
        <f>VLOOKUP(농협IRP[[#This Row],[종목코드]],연금종목정보[],4,FALSE)</f>
        <v>농협IRP</v>
      </c>
      <c r="E10" s="74">
        <v>0</v>
      </c>
      <c r="F10" s="75">
        <v>264996</v>
      </c>
      <c r="G10" s="76">
        <v>264996</v>
      </c>
      <c r="H10" s="76">
        <f>농협IRP[[#This Row],[현금지출]]-농협IRP[[#This Row],[매입액]]</f>
        <v>0</v>
      </c>
      <c r="I10" s="77">
        <v>0</v>
      </c>
      <c r="J10" s="75">
        <v>0</v>
      </c>
      <c r="K10" s="75">
        <v>0</v>
      </c>
      <c r="L10" s="78">
        <v>0</v>
      </c>
      <c r="M10" s="75">
        <v>0</v>
      </c>
      <c r="N10" s="78">
        <f>농협IRP[[#This Row],[매도액]]-농협IRP[[#This Row],[매도원금]]</f>
        <v>0</v>
      </c>
      <c r="O10" s="78">
        <f>농협IRP[[#This Row],[매도액]]+농협IRP[[#This Row],[이자배당액]]-농협IRP[[#This Row],[현금수입]]</f>
        <v>0</v>
      </c>
      <c r="P10" s="78">
        <f>농협IRP[[#This Row],[매매수익]]+농협IRP[[#This Row],[이자배당액]]-농협IRP[[#This Row],[매도비용]]-농협IRP[[#This Row],[매입비용]]</f>
        <v>0</v>
      </c>
      <c r="Q10" s="75">
        <v>0</v>
      </c>
      <c r="R10" s="77">
        <f>농협IRP[[#This Row],[입출금]]+농협IRP[[#This Row],[현금수입]]-농협IRP[[#This Row],[현금지출]]</f>
        <v>-264996</v>
      </c>
      <c r="S10" s="77">
        <f>SUM($R$2:R10)</f>
        <v>0</v>
      </c>
    </row>
    <row r="11" spans="1:19" x14ac:dyDescent="0.3">
      <c r="A11" s="71">
        <v>45316</v>
      </c>
      <c r="B11" s="72" t="s">
        <v>386</v>
      </c>
      <c r="C11" s="71" t="str">
        <f>VLOOKUP(농협IRP[[#This Row],[종목코드]],연금종목정보[],2,FALSE)</f>
        <v>신한정기예금1Y</v>
      </c>
      <c r="D11" s="73" t="str">
        <f>VLOOKUP(농협IRP[[#This Row],[종목코드]],연금종목정보[],4,FALSE)</f>
        <v>농협IRP</v>
      </c>
      <c r="E11" s="74">
        <v>0</v>
      </c>
      <c r="F11" s="75">
        <v>0</v>
      </c>
      <c r="G11" s="76">
        <v>0</v>
      </c>
      <c r="H11" s="76">
        <f>농협IRP[[#This Row],[현금지출]]-농협IRP[[#This Row],[매입액]]</f>
        <v>0</v>
      </c>
      <c r="I11" s="77">
        <v>0</v>
      </c>
      <c r="J11" s="75">
        <v>250000</v>
      </c>
      <c r="K11" s="75">
        <v>260875</v>
      </c>
      <c r="L11" s="78">
        <v>0</v>
      </c>
      <c r="M11" s="75">
        <v>260875</v>
      </c>
      <c r="N11" s="78">
        <f>농협IRP[[#This Row],[매도액]]-농협IRP[[#This Row],[매도원금]]</f>
        <v>10875</v>
      </c>
      <c r="O11" s="78">
        <f>농협IRP[[#This Row],[매도액]]+농협IRP[[#This Row],[이자배당액]]-농협IRP[[#This Row],[현금수입]]</f>
        <v>0</v>
      </c>
      <c r="P11" s="78">
        <f>농협IRP[[#This Row],[매매수익]]+농협IRP[[#This Row],[이자배당액]]-농협IRP[[#This Row],[매도비용]]-농협IRP[[#This Row],[매입비용]]</f>
        <v>10875</v>
      </c>
      <c r="Q11" s="75">
        <v>0</v>
      </c>
      <c r="R11" s="77">
        <f>농협IRP[[#This Row],[입출금]]+농협IRP[[#This Row],[현금수입]]-농협IRP[[#This Row],[현금지출]]</f>
        <v>260875</v>
      </c>
      <c r="S11" s="77">
        <f>SUM($R$2:R11)</f>
        <v>260875</v>
      </c>
    </row>
    <row r="12" spans="1:19" x14ac:dyDescent="0.3">
      <c r="A12" s="71">
        <v>45316</v>
      </c>
      <c r="B12" s="72" t="s">
        <v>385</v>
      </c>
      <c r="C12" s="71" t="str">
        <f>VLOOKUP(농협IRP[[#This Row],[종목코드]],연금종목정보[],2,FALSE)</f>
        <v>농협현금</v>
      </c>
      <c r="D12" s="73" t="str">
        <f>VLOOKUP(농협IRP[[#This Row],[종목코드]],연금종목정보[],4,FALSE)</f>
        <v>농협IRP</v>
      </c>
      <c r="E12" s="74">
        <v>0</v>
      </c>
      <c r="F12" s="75">
        <v>260875</v>
      </c>
      <c r="G12" s="76">
        <v>260875</v>
      </c>
      <c r="H12" s="76">
        <f>농협IRP[[#This Row],[현금지출]]-농협IRP[[#This Row],[매입액]]</f>
        <v>0</v>
      </c>
      <c r="I12" s="77">
        <v>0</v>
      </c>
      <c r="J12" s="75">
        <v>0</v>
      </c>
      <c r="K12" s="75">
        <v>0</v>
      </c>
      <c r="L12" s="78">
        <v>0</v>
      </c>
      <c r="M12" s="75">
        <v>0</v>
      </c>
      <c r="N12" s="78">
        <f>농협IRP[[#This Row],[매도액]]-농협IRP[[#This Row],[매도원금]]</f>
        <v>0</v>
      </c>
      <c r="O12" s="78">
        <f>농협IRP[[#This Row],[매도액]]+농협IRP[[#This Row],[이자배당액]]-농협IRP[[#This Row],[현금수입]]</f>
        <v>0</v>
      </c>
      <c r="P12" s="78">
        <f>농협IRP[[#This Row],[매매수익]]+농협IRP[[#This Row],[이자배당액]]-농협IRP[[#This Row],[매도비용]]-농협IRP[[#This Row],[매입비용]]</f>
        <v>0</v>
      </c>
      <c r="Q12" s="75">
        <v>0</v>
      </c>
      <c r="R12" s="77">
        <f>농협IRP[[#This Row],[입출금]]+농협IRP[[#This Row],[현금수입]]-농협IRP[[#This Row],[현금지출]]</f>
        <v>-260875</v>
      </c>
      <c r="S12" s="77">
        <f>SUM($R$2:R12)</f>
        <v>0</v>
      </c>
    </row>
    <row r="13" spans="1:19" x14ac:dyDescent="0.3">
      <c r="A13" s="71">
        <v>45322</v>
      </c>
      <c r="B13" s="72" t="s">
        <v>385</v>
      </c>
      <c r="C13" s="71" t="str">
        <f>VLOOKUP(농협IRP[[#This Row],[종목코드]],연금종목정보[],2,FALSE)</f>
        <v>농협현금</v>
      </c>
      <c r="D13" s="73" t="str">
        <f>VLOOKUP(농협IRP[[#This Row],[종목코드]],연금종목정보[],4,FALSE)</f>
        <v>농협IRP</v>
      </c>
      <c r="E13" s="74">
        <v>0</v>
      </c>
      <c r="F13" s="75">
        <v>547863</v>
      </c>
      <c r="G13" s="76">
        <v>547863</v>
      </c>
      <c r="H13" s="76">
        <f>농협IRP[[#This Row],[현금지출]]-농협IRP[[#This Row],[매입액]]</f>
        <v>0</v>
      </c>
      <c r="I13" s="77">
        <v>0</v>
      </c>
      <c r="J13" s="75">
        <v>541168</v>
      </c>
      <c r="K13" s="75">
        <v>547863</v>
      </c>
      <c r="L13" s="78">
        <v>0</v>
      </c>
      <c r="M13" s="75">
        <v>547863</v>
      </c>
      <c r="N13" s="78">
        <f>농협IRP[[#This Row],[매도액]]-농협IRP[[#This Row],[매도원금]]</f>
        <v>6695</v>
      </c>
      <c r="O13" s="78">
        <f>농협IRP[[#This Row],[매도액]]+농협IRP[[#This Row],[이자배당액]]-농협IRP[[#This Row],[현금수입]]</f>
        <v>0</v>
      </c>
      <c r="P13" s="78">
        <f>농협IRP[[#This Row],[매매수익]]+농협IRP[[#This Row],[이자배당액]]-농협IRP[[#This Row],[매도비용]]-농협IRP[[#This Row],[매입비용]]</f>
        <v>6695</v>
      </c>
      <c r="Q13" s="75">
        <v>0</v>
      </c>
      <c r="R13" s="77">
        <f>농협IRP[[#This Row],[입출금]]+농협IRP[[#This Row],[현금수입]]-농협IRP[[#This Row],[현금지출]]</f>
        <v>0</v>
      </c>
      <c r="S13" s="77">
        <f>SUM($R$2:R13)</f>
        <v>0</v>
      </c>
    </row>
    <row r="14" spans="1:19" x14ac:dyDescent="0.3">
      <c r="A14" s="71">
        <v>45343</v>
      </c>
      <c r="B14" s="72" t="s">
        <v>385</v>
      </c>
      <c r="C14" s="71" t="str">
        <f>VLOOKUP(농협IRP[[#This Row],[종목코드]],연금종목정보[],2,FALSE)</f>
        <v>농협현금</v>
      </c>
      <c r="D14" s="73" t="str">
        <f>VLOOKUP(농협IRP[[#This Row],[종목코드]],연금종목정보[],4,FALSE)</f>
        <v>농협IRP</v>
      </c>
      <c r="E14" s="74">
        <v>0</v>
      </c>
      <c r="F14" s="75">
        <v>832700</v>
      </c>
      <c r="G14" s="76">
        <v>832700</v>
      </c>
      <c r="H14" s="76">
        <f>농협IRP[[#This Row],[현금지출]]-농협IRP[[#This Row],[매입액]]</f>
        <v>0</v>
      </c>
      <c r="I14" s="77">
        <v>0</v>
      </c>
      <c r="J14" s="75">
        <v>0</v>
      </c>
      <c r="K14" s="75">
        <v>0</v>
      </c>
      <c r="L14" s="78">
        <v>0</v>
      </c>
      <c r="M14" s="75">
        <v>0</v>
      </c>
      <c r="N14" s="78">
        <f>농협IRP[[#This Row],[매도액]]-농협IRP[[#This Row],[매도원금]]</f>
        <v>0</v>
      </c>
      <c r="O14" s="78">
        <f>농협IRP[[#This Row],[매도액]]+농협IRP[[#This Row],[이자배당액]]-농협IRP[[#This Row],[현금수입]]</f>
        <v>0</v>
      </c>
      <c r="P14" s="78">
        <f>농협IRP[[#This Row],[매매수익]]+농협IRP[[#This Row],[이자배당액]]-농협IRP[[#This Row],[매도비용]]-농협IRP[[#This Row],[매입비용]]</f>
        <v>0</v>
      </c>
      <c r="Q14" s="76">
        <v>832700</v>
      </c>
      <c r="R14" s="77">
        <f>농협IRP[[#This Row],[입출금]]+농협IRP[[#This Row],[현금수입]]-농협IRP[[#This Row],[현금지출]]</f>
        <v>0</v>
      </c>
      <c r="S14" s="77">
        <f>SUM($R$2:R14)</f>
        <v>0</v>
      </c>
    </row>
    <row r="15" spans="1:19" x14ac:dyDescent="0.3">
      <c r="A15" s="71">
        <v>45344</v>
      </c>
      <c r="B15" s="72" t="s">
        <v>386</v>
      </c>
      <c r="C15" s="71" t="str">
        <f>VLOOKUP(농협IRP[[#This Row],[종목코드]],연금종목정보[],2,FALSE)</f>
        <v>신한정기예금1Y</v>
      </c>
      <c r="D15" s="73" t="str">
        <f>VLOOKUP(농협IRP[[#This Row],[종목코드]],연금종목정보[],4,FALSE)</f>
        <v>농협IRP</v>
      </c>
      <c r="E15" s="74">
        <v>0</v>
      </c>
      <c r="F15" s="75">
        <v>0</v>
      </c>
      <c r="G15" s="76">
        <v>0</v>
      </c>
      <c r="H15" s="76">
        <f>농협IRP[[#This Row],[현금지출]]-농협IRP[[#This Row],[매입액]]</f>
        <v>0</v>
      </c>
      <c r="I15" s="77">
        <v>0</v>
      </c>
      <c r="J15" s="75">
        <v>1197076</v>
      </c>
      <c r="K15" s="75">
        <v>1237775</v>
      </c>
      <c r="L15" s="78">
        <v>0</v>
      </c>
      <c r="M15" s="75">
        <v>1237775</v>
      </c>
      <c r="N15" s="78">
        <f>농협IRP[[#This Row],[매도액]]-농협IRP[[#This Row],[매도원금]]</f>
        <v>40699</v>
      </c>
      <c r="O15" s="78">
        <f>농협IRP[[#This Row],[매도액]]+농협IRP[[#This Row],[이자배당액]]-농협IRP[[#This Row],[현금수입]]</f>
        <v>0</v>
      </c>
      <c r="P15" s="78">
        <f>농협IRP[[#This Row],[매매수익]]+농협IRP[[#This Row],[이자배당액]]-농협IRP[[#This Row],[매도비용]]-농협IRP[[#This Row],[매입비용]]</f>
        <v>40699</v>
      </c>
      <c r="Q15" s="79">
        <v>0</v>
      </c>
      <c r="R15" s="77">
        <f>농협IRP[[#This Row],[입출금]]+농협IRP[[#This Row],[현금수입]]-농협IRP[[#This Row],[현금지출]]</f>
        <v>1237775</v>
      </c>
      <c r="S15" s="77">
        <f>SUM($R$2:R15)</f>
        <v>1237775</v>
      </c>
    </row>
    <row r="16" spans="1:19" x14ac:dyDescent="0.3">
      <c r="A16" s="71">
        <v>45344</v>
      </c>
      <c r="B16" s="72" t="s">
        <v>385</v>
      </c>
      <c r="C16" s="71" t="str">
        <f>VLOOKUP(농협IRP[[#This Row],[종목코드]],연금종목정보[],2,FALSE)</f>
        <v>농협현금</v>
      </c>
      <c r="D16" s="73" t="str">
        <f>VLOOKUP(농협IRP[[#This Row],[종목코드]],연금종목정보[],4,FALSE)</f>
        <v>농협IRP</v>
      </c>
      <c r="E16" s="74">
        <v>0</v>
      </c>
      <c r="F16" s="75">
        <v>1237775</v>
      </c>
      <c r="G16" s="76">
        <v>1237775</v>
      </c>
      <c r="H16" s="76">
        <f>농협IRP[[#This Row],[현금지출]]-농협IRP[[#This Row],[매입액]]</f>
        <v>0</v>
      </c>
      <c r="I16" s="77">
        <v>0</v>
      </c>
      <c r="J16" s="75">
        <v>0</v>
      </c>
      <c r="K16" s="75">
        <v>0</v>
      </c>
      <c r="L16" s="78">
        <v>0</v>
      </c>
      <c r="M16" s="75">
        <v>0</v>
      </c>
      <c r="N16" s="78">
        <f>농협IRP[[#This Row],[매도액]]-농협IRP[[#This Row],[매도원금]]</f>
        <v>0</v>
      </c>
      <c r="O16" s="78">
        <f>농협IRP[[#This Row],[매도액]]+농협IRP[[#This Row],[이자배당액]]-농협IRP[[#This Row],[현금수입]]</f>
        <v>0</v>
      </c>
      <c r="P16" s="78">
        <f>농협IRP[[#This Row],[매매수익]]+농협IRP[[#This Row],[이자배당액]]-농협IRP[[#This Row],[매도비용]]-농협IRP[[#This Row],[매입비용]]</f>
        <v>0</v>
      </c>
      <c r="Q16" s="79">
        <v>0</v>
      </c>
      <c r="R16" s="77">
        <f>농협IRP[[#This Row],[입출금]]+농협IRP[[#This Row],[현금수입]]-농협IRP[[#This Row],[현금지출]]</f>
        <v>-1237775</v>
      </c>
      <c r="S16" s="77">
        <f>SUM($R$2:R16)</f>
        <v>0</v>
      </c>
    </row>
    <row r="17" spans="1:19" x14ac:dyDescent="0.3">
      <c r="A17" s="71">
        <v>45348</v>
      </c>
      <c r="B17" s="72" t="s">
        <v>386</v>
      </c>
      <c r="C17" s="71" t="str">
        <f>VLOOKUP(농협IRP[[#This Row],[종목코드]],연금종목정보[],2,FALSE)</f>
        <v>신한정기예금1Y</v>
      </c>
      <c r="D17" s="73" t="str">
        <f>VLOOKUP(농협IRP[[#This Row],[종목코드]],연금종목정보[],4,FALSE)</f>
        <v>농협IRP</v>
      </c>
      <c r="E17" s="74">
        <v>0</v>
      </c>
      <c r="F17" s="75">
        <v>0</v>
      </c>
      <c r="G17" s="76">
        <v>0</v>
      </c>
      <c r="H17" s="76">
        <f>농협IRP[[#This Row],[현금지출]]-농협IRP[[#This Row],[매입액]]</f>
        <v>0</v>
      </c>
      <c r="I17" s="77">
        <v>0</v>
      </c>
      <c r="J17" s="75">
        <v>212483</v>
      </c>
      <c r="K17" s="75">
        <v>219746</v>
      </c>
      <c r="L17" s="78">
        <v>0</v>
      </c>
      <c r="M17" s="75">
        <v>219746</v>
      </c>
      <c r="N17" s="78">
        <f>농협IRP[[#This Row],[매도액]]-농협IRP[[#This Row],[매도원금]]</f>
        <v>7263</v>
      </c>
      <c r="O17" s="78">
        <f>농협IRP[[#This Row],[매도액]]+농협IRP[[#This Row],[이자배당액]]-농협IRP[[#This Row],[현금수입]]</f>
        <v>0</v>
      </c>
      <c r="P17" s="78">
        <f>농협IRP[[#This Row],[매매수익]]+농협IRP[[#This Row],[이자배당액]]-농협IRP[[#This Row],[매도비용]]-농협IRP[[#This Row],[매입비용]]</f>
        <v>7263</v>
      </c>
      <c r="Q17" s="79">
        <v>0</v>
      </c>
      <c r="R17" s="77">
        <f>농협IRP[[#This Row],[입출금]]+농협IRP[[#This Row],[현금수입]]-농협IRP[[#This Row],[현금지출]]</f>
        <v>219746</v>
      </c>
      <c r="S17" s="77">
        <f>SUM($R$2:R17)</f>
        <v>219746</v>
      </c>
    </row>
    <row r="18" spans="1:19" x14ac:dyDescent="0.3">
      <c r="A18" s="71">
        <v>45348</v>
      </c>
      <c r="B18" s="72" t="s">
        <v>385</v>
      </c>
      <c r="C18" s="71" t="str">
        <f>VLOOKUP(농협IRP[[#This Row],[종목코드]],연금종목정보[],2,FALSE)</f>
        <v>농협현금</v>
      </c>
      <c r="D18" s="73" t="str">
        <f>VLOOKUP(농협IRP[[#This Row],[종목코드]],연금종목정보[],4,FALSE)</f>
        <v>농협IRP</v>
      </c>
      <c r="E18" s="74">
        <v>0</v>
      </c>
      <c r="F18" s="75">
        <v>219746</v>
      </c>
      <c r="G18" s="76">
        <v>219746</v>
      </c>
      <c r="H18" s="76">
        <f>농협IRP[[#This Row],[현금지출]]-농협IRP[[#This Row],[매입액]]</f>
        <v>0</v>
      </c>
      <c r="I18" s="77">
        <v>0</v>
      </c>
      <c r="J18" s="75">
        <v>0</v>
      </c>
      <c r="K18" s="75">
        <v>0</v>
      </c>
      <c r="L18" s="78">
        <v>0</v>
      </c>
      <c r="M18" s="75">
        <v>0</v>
      </c>
      <c r="N18" s="78">
        <f>농협IRP[[#This Row],[매도액]]-농협IRP[[#This Row],[매도원금]]</f>
        <v>0</v>
      </c>
      <c r="O18" s="78">
        <f>농협IRP[[#This Row],[매도액]]+농협IRP[[#This Row],[이자배당액]]-농협IRP[[#This Row],[현금수입]]</f>
        <v>0</v>
      </c>
      <c r="P18" s="78">
        <f>농협IRP[[#This Row],[매매수익]]+농협IRP[[#This Row],[이자배당액]]-농협IRP[[#This Row],[매도비용]]-농협IRP[[#This Row],[매입비용]]</f>
        <v>0</v>
      </c>
      <c r="Q18" s="79">
        <v>0</v>
      </c>
      <c r="R18" s="77">
        <f>농협IRP[[#This Row],[입출금]]+농협IRP[[#This Row],[현금수입]]-농협IRP[[#This Row],[현금지출]]</f>
        <v>-219746</v>
      </c>
      <c r="S18" s="77">
        <f>SUM($R$2:R18)</f>
        <v>0</v>
      </c>
    </row>
    <row r="19" spans="1:19" x14ac:dyDescent="0.3">
      <c r="F19" s="2"/>
    </row>
    <row r="21" spans="1:19" x14ac:dyDescent="0.3">
      <c r="J21">
        <f>SUM(J2:J20)</f>
        <v>6159573</v>
      </c>
      <c r="K21">
        <f>F21-J21</f>
        <v>-6159573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3"/>
  <sheetViews>
    <sheetView topLeftCell="A4" workbookViewId="0">
      <selection activeCell="E28" sqref="E28"/>
    </sheetView>
  </sheetViews>
  <sheetFormatPr defaultRowHeight="16.5" x14ac:dyDescent="0.3"/>
  <cols>
    <col min="1" max="2" width="10.25" customWidth="1"/>
    <col min="3" max="3" width="10.25" bestFit="1" customWidth="1"/>
    <col min="5" max="5" width="10.25" customWidth="1"/>
    <col min="6" max="6" width="11.875" style="50" bestFit="1" customWidth="1"/>
    <col min="7" max="7" width="10.25" style="50" customWidth="1"/>
    <col min="8" max="8" width="10.25" customWidth="1"/>
    <col min="9" max="9" width="28.875" customWidth="1"/>
    <col min="10" max="10" width="12.125" customWidth="1"/>
    <col min="11" max="13" width="10.25" customWidth="1"/>
    <col min="14" max="14" width="9.5" bestFit="1" customWidth="1"/>
    <col min="15" max="15" width="11.875" bestFit="1" customWidth="1"/>
    <col min="16" max="16" width="13.375" customWidth="1"/>
  </cols>
  <sheetData>
    <row r="1" spans="1:15" x14ac:dyDescent="0.3">
      <c r="A1" t="s">
        <v>389</v>
      </c>
      <c r="B1" t="s">
        <v>390</v>
      </c>
      <c r="C1" t="s">
        <v>391</v>
      </c>
      <c r="D1" t="s">
        <v>392</v>
      </c>
      <c r="G1" s="50">
        <f>G2-G3</f>
        <v>287001</v>
      </c>
      <c r="N1">
        <f>N3+N2</f>
        <v>10628881</v>
      </c>
    </row>
    <row r="2" spans="1:15" x14ac:dyDescent="0.3">
      <c r="B2" s="3">
        <v>45313</v>
      </c>
      <c r="C2">
        <v>212569</v>
      </c>
      <c r="D2">
        <v>221815</v>
      </c>
      <c r="G2" s="50">
        <v>-3103169</v>
      </c>
      <c r="K2" s="127">
        <v>10628881</v>
      </c>
      <c r="L2" s="127">
        <v>601727</v>
      </c>
      <c r="N2">
        <v>1105677</v>
      </c>
    </row>
    <row r="3" spans="1:15" x14ac:dyDescent="0.3">
      <c r="B3" s="3">
        <v>45313</v>
      </c>
      <c r="C3">
        <v>389158</v>
      </c>
      <c r="D3">
        <v>406086</v>
      </c>
      <c r="G3" s="50">
        <v>-3390170</v>
      </c>
      <c r="J3" s="126">
        <f>K2-C2-C3</f>
        <v>10027154</v>
      </c>
      <c r="K3" s="50">
        <f>SUM(C2:C15)</f>
        <v>3924572</v>
      </c>
      <c r="L3" s="127">
        <v>253950</v>
      </c>
      <c r="N3">
        <v>9523204</v>
      </c>
      <c r="O3">
        <v>2.1</v>
      </c>
    </row>
    <row r="4" spans="1:15" x14ac:dyDescent="0.3">
      <c r="B4" s="3">
        <v>45315</v>
      </c>
      <c r="C4">
        <v>253950</v>
      </c>
      <c r="D4">
        <v>264936</v>
      </c>
      <c r="K4" s="126">
        <f>K2-K3</f>
        <v>6704309</v>
      </c>
      <c r="L4" s="127">
        <v>250000</v>
      </c>
      <c r="N4">
        <v>6704309</v>
      </c>
      <c r="O4">
        <v>3.29</v>
      </c>
    </row>
    <row r="5" spans="1:15" x14ac:dyDescent="0.3">
      <c r="B5" s="3">
        <v>45316</v>
      </c>
      <c r="C5">
        <v>250000</v>
      </c>
      <c r="D5">
        <v>260785</v>
      </c>
      <c r="F5" s="50" t="s">
        <v>530</v>
      </c>
      <c r="G5" s="50" t="s">
        <v>531</v>
      </c>
      <c r="H5" t="s">
        <v>532</v>
      </c>
      <c r="I5" t="s">
        <v>533</v>
      </c>
      <c r="L5" s="127">
        <v>1197076</v>
      </c>
      <c r="N5">
        <f>N3-N4</f>
        <v>2818895</v>
      </c>
    </row>
    <row r="6" spans="1:15" x14ac:dyDescent="0.3">
      <c r="A6" s="124">
        <v>44979</v>
      </c>
      <c r="B6" s="124">
        <f t="shared" ref="B6:B25" si="0">EDATE(A6,12)</f>
        <v>45344</v>
      </c>
      <c r="C6" s="125">
        <v>212400</v>
      </c>
      <c r="D6" s="125">
        <v>219601</v>
      </c>
      <c r="F6" s="128">
        <v>2777566</v>
      </c>
      <c r="G6" s="128"/>
      <c r="H6" s="129">
        <v>45292</v>
      </c>
      <c r="I6" s="130"/>
      <c r="L6" s="127">
        <v>212483</v>
      </c>
    </row>
    <row r="7" spans="1:15" x14ac:dyDescent="0.3">
      <c r="A7" s="124">
        <v>44979</v>
      </c>
      <c r="B7" s="124">
        <f t="shared" si="0"/>
        <v>45344</v>
      </c>
      <c r="C7" s="125">
        <v>389501</v>
      </c>
      <c r="D7" s="125">
        <v>402090</v>
      </c>
      <c r="F7" s="128">
        <v>3118466</v>
      </c>
      <c r="G7" s="128">
        <f t="shared" ref="G7:G40" si="1">F7-F6</f>
        <v>340900</v>
      </c>
      <c r="H7" s="129">
        <v>45310</v>
      </c>
      <c r="I7" s="130" t="s">
        <v>534</v>
      </c>
      <c r="L7" s="127">
        <v>1197176</v>
      </c>
    </row>
    <row r="8" spans="1:15" x14ac:dyDescent="0.3">
      <c r="A8" s="124">
        <v>44979</v>
      </c>
      <c r="B8" s="124">
        <f t="shared" si="0"/>
        <v>45344</v>
      </c>
      <c r="C8" s="125">
        <v>254275</v>
      </c>
      <c r="D8" s="125">
        <v>262494</v>
      </c>
      <c r="F8" s="128">
        <f>F7+627901</f>
        <v>3746367</v>
      </c>
      <c r="G8" s="128">
        <f t="shared" si="1"/>
        <v>627901</v>
      </c>
      <c r="H8" s="129">
        <v>45313</v>
      </c>
      <c r="I8" s="130" t="s">
        <v>538</v>
      </c>
      <c r="L8" s="127">
        <v>212160</v>
      </c>
    </row>
    <row r="9" spans="1:15" x14ac:dyDescent="0.3">
      <c r="A9" s="124">
        <v>44979</v>
      </c>
      <c r="B9" s="124">
        <f t="shared" si="0"/>
        <v>45344</v>
      </c>
      <c r="C9" s="125">
        <v>340900</v>
      </c>
      <c r="D9" s="125">
        <v>351919</v>
      </c>
      <c r="F9" s="128">
        <f>F8-340900</f>
        <v>3405467</v>
      </c>
      <c r="G9" s="128">
        <f t="shared" si="1"/>
        <v>-340900</v>
      </c>
      <c r="H9" s="129">
        <v>45313</v>
      </c>
      <c r="I9" s="130" t="s">
        <v>543</v>
      </c>
    </row>
    <row r="10" spans="1:15" x14ac:dyDescent="0.3">
      <c r="A10" s="124">
        <v>44981</v>
      </c>
      <c r="B10" s="124">
        <v>45348</v>
      </c>
      <c r="C10" s="125">
        <v>212483</v>
      </c>
      <c r="D10" s="125">
        <v>219311</v>
      </c>
      <c r="F10" s="128">
        <v>15297</v>
      </c>
      <c r="G10" s="128">
        <f t="shared" si="1"/>
        <v>-3390170</v>
      </c>
      <c r="H10" s="129">
        <v>45313</v>
      </c>
      <c r="I10" s="130" t="s">
        <v>535</v>
      </c>
    </row>
    <row r="11" spans="1:15" x14ac:dyDescent="0.3">
      <c r="A11" s="124">
        <v>45007</v>
      </c>
      <c r="B11" s="124">
        <f t="shared" si="0"/>
        <v>45373</v>
      </c>
      <c r="C11" s="125">
        <v>212212</v>
      </c>
      <c r="D11" s="125">
        <v>218517</v>
      </c>
      <c r="F11" s="128">
        <f>F10+264996</f>
        <v>280293</v>
      </c>
      <c r="G11" s="128">
        <f t="shared" si="1"/>
        <v>264996</v>
      </c>
      <c r="H11" s="129">
        <v>45315</v>
      </c>
      <c r="I11" s="130" t="s">
        <v>538</v>
      </c>
    </row>
    <row r="12" spans="1:15" x14ac:dyDescent="0.3">
      <c r="A12" s="124">
        <v>45007</v>
      </c>
      <c r="B12" s="124">
        <f t="shared" si="0"/>
        <v>45373</v>
      </c>
      <c r="C12" s="125">
        <v>389614</v>
      </c>
      <c r="D12" s="125">
        <v>401191</v>
      </c>
      <c r="F12" s="128">
        <f>F11+260875</f>
        <v>541168</v>
      </c>
      <c r="G12" s="128">
        <f t="shared" si="1"/>
        <v>260875</v>
      </c>
      <c r="H12" s="129">
        <v>45316</v>
      </c>
      <c r="I12" s="130" t="s">
        <v>538</v>
      </c>
    </row>
    <row r="13" spans="1:15" x14ac:dyDescent="0.3">
      <c r="A13" s="124">
        <v>45007</v>
      </c>
      <c r="B13" s="124">
        <f t="shared" si="0"/>
        <v>45373</v>
      </c>
      <c r="C13" s="125">
        <v>254450</v>
      </c>
      <c r="D13" s="125">
        <v>262010</v>
      </c>
      <c r="F13" s="128">
        <f>F12+6695</f>
        <v>547863</v>
      </c>
      <c r="G13" s="128">
        <f t="shared" si="1"/>
        <v>6695</v>
      </c>
      <c r="H13" s="129">
        <v>45322</v>
      </c>
      <c r="I13" s="130" t="s">
        <v>537</v>
      </c>
    </row>
    <row r="14" spans="1:15" x14ac:dyDescent="0.3">
      <c r="A14" s="124">
        <v>45007</v>
      </c>
      <c r="B14" s="124">
        <f t="shared" si="0"/>
        <v>45373</v>
      </c>
      <c r="C14" s="125">
        <v>340900</v>
      </c>
      <c r="D14" s="125">
        <v>351029</v>
      </c>
      <c r="F14" s="128">
        <v>1380563</v>
      </c>
      <c r="G14" s="128">
        <f t="shared" si="1"/>
        <v>832700</v>
      </c>
      <c r="H14" s="129">
        <v>45343</v>
      </c>
      <c r="I14" s="130" t="s">
        <v>534</v>
      </c>
    </row>
    <row r="15" spans="1:15" x14ac:dyDescent="0.3">
      <c r="A15" s="124">
        <v>45008</v>
      </c>
      <c r="B15" s="124">
        <f t="shared" si="0"/>
        <v>45374</v>
      </c>
      <c r="C15" s="125">
        <v>212160</v>
      </c>
      <c r="D15" s="125">
        <v>218444</v>
      </c>
      <c r="F15" s="128">
        <v>2618338</v>
      </c>
      <c r="G15" s="128">
        <f t="shared" si="1"/>
        <v>1237775</v>
      </c>
      <c r="H15" s="129">
        <v>45344</v>
      </c>
      <c r="I15" s="130" t="s">
        <v>538</v>
      </c>
    </row>
    <row r="16" spans="1:15" x14ac:dyDescent="0.3">
      <c r="A16" s="124">
        <v>45038</v>
      </c>
      <c r="B16" s="124">
        <f t="shared" si="0"/>
        <v>45404</v>
      </c>
      <c r="C16" s="125">
        <v>216264</v>
      </c>
      <c r="D16" s="125">
        <v>221639</v>
      </c>
      <c r="F16" s="128">
        <v>2838084</v>
      </c>
      <c r="G16" s="128">
        <f t="shared" si="1"/>
        <v>219746</v>
      </c>
      <c r="H16" s="129">
        <v>45348</v>
      </c>
      <c r="I16" s="130" t="s">
        <v>538</v>
      </c>
    </row>
    <row r="17" spans="1:9" x14ac:dyDescent="0.3">
      <c r="A17" s="124">
        <v>45038</v>
      </c>
      <c r="B17" s="124">
        <f t="shared" si="0"/>
        <v>45404</v>
      </c>
      <c r="C17" s="125">
        <v>212180</v>
      </c>
      <c r="D17" s="125">
        <v>217453</v>
      </c>
      <c r="F17" s="131">
        <v>2841341</v>
      </c>
      <c r="G17" s="128">
        <f t="shared" si="1"/>
        <v>3257</v>
      </c>
      <c r="H17" s="129">
        <v>45351</v>
      </c>
      <c r="I17" s="130" t="s">
        <v>537</v>
      </c>
    </row>
    <row r="18" spans="1:9" x14ac:dyDescent="0.3">
      <c r="A18" s="124">
        <v>45038</v>
      </c>
      <c r="B18" s="124">
        <f t="shared" si="0"/>
        <v>45404</v>
      </c>
      <c r="C18" s="125">
        <v>390036</v>
      </c>
      <c r="D18" s="125">
        <v>399730</v>
      </c>
      <c r="F18" s="131">
        <v>1301</v>
      </c>
      <c r="G18" s="128">
        <f t="shared" si="1"/>
        <v>-2840040</v>
      </c>
      <c r="H18" s="129">
        <v>45357</v>
      </c>
      <c r="I18" s="130" t="s">
        <v>536</v>
      </c>
    </row>
    <row r="19" spans="1:9" x14ac:dyDescent="0.3">
      <c r="A19" s="124">
        <v>45038</v>
      </c>
      <c r="B19" s="124">
        <f t="shared" si="0"/>
        <v>45404</v>
      </c>
      <c r="C19" s="125">
        <v>254675</v>
      </c>
      <c r="D19" s="125">
        <v>261004</v>
      </c>
      <c r="F19" s="128">
        <v>849701</v>
      </c>
      <c r="G19" s="128">
        <f t="shared" si="1"/>
        <v>848400</v>
      </c>
      <c r="H19" s="129">
        <v>45372</v>
      </c>
      <c r="I19" s="130" t="s">
        <v>534</v>
      </c>
    </row>
    <row r="20" spans="1:9" x14ac:dyDescent="0.3">
      <c r="A20" s="124">
        <v>45040</v>
      </c>
      <c r="B20" s="124">
        <f t="shared" si="0"/>
        <v>45406</v>
      </c>
      <c r="C20" s="125">
        <v>340900</v>
      </c>
      <c r="D20" s="125">
        <v>349314</v>
      </c>
      <c r="F20" s="128">
        <v>2087691</v>
      </c>
      <c r="G20" s="128">
        <f t="shared" si="1"/>
        <v>1237990</v>
      </c>
      <c r="H20" s="129">
        <v>45373</v>
      </c>
      <c r="I20" s="130" t="s">
        <v>538</v>
      </c>
    </row>
    <row r="21" spans="1:9" x14ac:dyDescent="0.3">
      <c r="A21" s="124">
        <v>45068</v>
      </c>
      <c r="B21" s="124">
        <f t="shared" si="0"/>
        <v>45434</v>
      </c>
      <c r="C21" s="125">
        <v>216196</v>
      </c>
      <c r="D21" s="125">
        <v>220979</v>
      </c>
      <c r="F21" s="128">
        <v>2307123</v>
      </c>
      <c r="G21" s="128">
        <f t="shared" si="1"/>
        <v>219432</v>
      </c>
      <c r="H21" s="129">
        <v>45376</v>
      </c>
      <c r="I21" s="130" t="s">
        <v>538</v>
      </c>
    </row>
    <row r="22" spans="1:9" x14ac:dyDescent="0.3">
      <c r="A22" s="124">
        <v>45068</v>
      </c>
      <c r="B22" s="124">
        <f t="shared" si="0"/>
        <v>45434</v>
      </c>
      <c r="C22" s="125">
        <v>212154</v>
      </c>
      <c r="D22" s="125">
        <v>216847</v>
      </c>
      <c r="F22" s="128">
        <v>7953</v>
      </c>
      <c r="G22" s="128">
        <f t="shared" si="1"/>
        <v>-2299170</v>
      </c>
      <c r="H22" s="129">
        <v>45378</v>
      </c>
      <c r="I22" s="130" t="s">
        <v>539</v>
      </c>
    </row>
    <row r="23" spans="1:9" x14ac:dyDescent="0.3">
      <c r="A23" s="124">
        <v>45068</v>
      </c>
      <c r="B23" s="124">
        <f t="shared" si="0"/>
        <v>45434</v>
      </c>
      <c r="C23" s="125">
        <v>340900</v>
      </c>
      <c r="D23" s="125">
        <v>348442</v>
      </c>
      <c r="F23" s="128">
        <v>11411</v>
      </c>
      <c r="G23" s="128">
        <f t="shared" si="1"/>
        <v>3458</v>
      </c>
      <c r="H23" s="129">
        <v>45380</v>
      </c>
      <c r="I23" s="130" t="s">
        <v>540</v>
      </c>
    </row>
    <row r="24" spans="1:9" x14ac:dyDescent="0.3">
      <c r="A24" s="124">
        <v>45069</v>
      </c>
      <c r="B24" s="124">
        <f t="shared" si="0"/>
        <v>45435</v>
      </c>
      <c r="C24" s="125">
        <v>255275</v>
      </c>
      <c r="D24" s="125">
        <v>260900</v>
      </c>
      <c r="F24" s="128">
        <f>F23+11088</f>
        <v>22499</v>
      </c>
      <c r="G24" s="128">
        <f t="shared" si="1"/>
        <v>11088</v>
      </c>
      <c r="H24" s="129">
        <v>45384</v>
      </c>
      <c r="I24" s="130" t="s">
        <v>541</v>
      </c>
    </row>
    <row r="25" spans="1:9" x14ac:dyDescent="0.3">
      <c r="A25" s="124">
        <v>45070</v>
      </c>
      <c r="B25" s="124">
        <f t="shared" si="0"/>
        <v>45436</v>
      </c>
      <c r="C25" s="125">
        <v>257342</v>
      </c>
      <c r="D25" s="125">
        <v>262991</v>
      </c>
      <c r="F25" s="128">
        <v>870899</v>
      </c>
      <c r="G25" s="128">
        <f t="shared" si="1"/>
        <v>848400</v>
      </c>
      <c r="H25" s="129">
        <v>45401</v>
      </c>
      <c r="I25" s="130" t="s">
        <v>534</v>
      </c>
    </row>
    <row r="26" spans="1:9" x14ac:dyDescent="0.3">
      <c r="A26" s="124">
        <v>45099</v>
      </c>
      <c r="B26" s="124">
        <f>EDATE(A26,12)</f>
        <v>45465</v>
      </c>
      <c r="C26" s="125">
        <v>396945</v>
      </c>
      <c r="D26" s="125">
        <v>405338</v>
      </c>
      <c r="F26" s="128">
        <v>1977948</v>
      </c>
      <c r="G26" s="128">
        <f t="shared" si="1"/>
        <v>1107049</v>
      </c>
      <c r="H26" s="129">
        <v>45404</v>
      </c>
      <c r="I26" s="130" t="s">
        <v>538</v>
      </c>
    </row>
    <row r="27" spans="1:9" x14ac:dyDescent="0.3">
      <c r="A27" s="124">
        <v>45099</v>
      </c>
      <c r="B27" s="124">
        <f t="shared" ref="B27:B38" si="2">EDATE(A27,12)</f>
        <v>45465</v>
      </c>
      <c r="C27" s="125">
        <v>154520</v>
      </c>
      <c r="D27" s="125">
        <v>157787</v>
      </c>
      <c r="E27">
        <v>113459</v>
      </c>
      <c r="F27" s="128">
        <v>2329615</v>
      </c>
      <c r="G27" s="128">
        <f t="shared" si="1"/>
        <v>351667</v>
      </c>
      <c r="H27" s="129">
        <v>45406</v>
      </c>
      <c r="I27" s="130" t="s">
        <v>538</v>
      </c>
    </row>
    <row r="28" spans="1:9" x14ac:dyDescent="0.3">
      <c r="A28" s="124">
        <v>45099</v>
      </c>
      <c r="B28" s="124">
        <f t="shared" si="2"/>
        <v>45465</v>
      </c>
      <c r="C28" s="125">
        <v>257719</v>
      </c>
      <c r="D28" s="125">
        <v>263168</v>
      </c>
      <c r="E28">
        <v>154520</v>
      </c>
      <c r="F28" s="128">
        <v>2331833</v>
      </c>
      <c r="G28" s="128">
        <f t="shared" si="1"/>
        <v>2218</v>
      </c>
      <c r="H28" s="129">
        <v>45412</v>
      </c>
      <c r="I28" s="130" t="s">
        <v>540</v>
      </c>
    </row>
    <row r="29" spans="1:9" x14ac:dyDescent="0.3">
      <c r="A29" s="124">
        <v>45099</v>
      </c>
      <c r="B29" s="124">
        <f t="shared" si="2"/>
        <v>45465</v>
      </c>
      <c r="C29" s="125">
        <v>255725</v>
      </c>
      <c r="D29" s="125">
        <v>261132</v>
      </c>
      <c r="E29">
        <f>E28-E27</f>
        <v>41061</v>
      </c>
      <c r="F29" s="128">
        <f>F28+8064+79800</f>
        <v>2419697</v>
      </c>
      <c r="G29" s="128">
        <f t="shared" si="1"/>
        <v>87864</v>
      </c>
      <c r="H29" s="129">
        <v>45415</v>
      </c>
      <c r="I29" s="130" t="s">
        <v>542</v>
      </c>
    </row>
    <row r="30" spans="1:9" x14ac:dyDescent="0.3">
      <c r="A30" s="124">
        <v>45099</v>
      </c>
      <c r="B30" s="124">
        <f t="shared" si="2"/>
        <v>45465</v>
      </c>
      <c r="C30" s="125">
        <v>340900</v>
      </c>
      <c r="D30" s="125">
        <v>348108</v>
      </c>
      <c r="F30" s="128">
        <v>3268097</v>
      </c>
      <c r="G30" s="128">
        <f t="shared" si="1"/>
        <v>848400</v>
      </c>
      <c r="H30" s="129">
        <v>45433</v>
      </c>
      <c r="I30" s="130" t="s">
        <v>534</v>
      </c>
    </row>
    <row r="31" spans="1:9" x14ac:dyDescent="0.3">
      <c r="A31" s="124">
        <v>45101</v>
      </c>
      <c r="B31" s="124">
        <f t="shared" si="2"/>
        <v>45467</v>
      </c>
      <c r="C31" s="125">
        <v>216278</v>
      </c>
      <c r="D31" s="125">
        <v>220810</v>
      </c>
      <c r="F31" s="128">
        <v>4061489</v>
      </c>
      <c r="G31" s="128">
        <f t="shared" si="1"/>
        <v>793392</v>
      </c>
      <c r="H31" s="129">
        <v>45434</v>
      </c>
      <c r="I31" s="130" t="s">
        <v>538</v>
      </c>
    </row>
    <row r="32" spans="1:9" x14ac:dyDescent="0.3">
      <c r="A32" s="124">
        <v>45131</v>
      </c>
      <c r="B32" s="124">
        <f t="shared" si="2"/>
        <v>45497</v>
      </c>
      <c r="C32" s="89">
        <v>340900</v>
      </c>
      <c r="D32" s="125">
        <v>347183</v>
      </c>
      <c r="F32" s="128">
        <v>4324775</v>
      </c>
      <c r="G32" s="128">
        <f t="shared" si="1"/>
        <v>263286</v>
      </c>
      <c r="H32" s="129">
        <v>45435</v>
      </c>
      <c r="I32" s="130" t="s">
        <v>538</v>
      </c>
    </row>
    <row r="33" spans="1:9" x14ac:dyDescent="0.3">
      <c r="A33" s="124">
        <v>45160</v>
      </c>
      <c r="B33" s="124">
        <f t="shared" si="2"/>
        <v>45526</v>
      </c>
      <c r="C33" s="89">
        <v>340900</v>
      </c>
      <c r="D33" s="125">
        <v>346279</v>
      </c>
      <c r="F33" s="128">
        <v>4590193</v>
      </c>
      <c r="G33" s="128">
        <f t="shared" si="1"/>
        <v>265418</v>
      </c>
      <c r="H33" s="129">
        <v>45436</v>
      </c>
      <c r="I33" s="130" t="s">
        <v>538</v>
      </c>
    </row>
    <row r="34" spans="1:9" x14ac:dyDescent="0.3">
      <c r="A34" s="124">
        <v>45191</v>
      </c>
      <c r="B34" s="124">
        <f t="shared" si="2"/>
        <v>45557</v>
      </c>
      <c r="C34" s="89">
        <v>340900</v>
      </c>
      <c r="D34" s="125">
        <v>345313</v>
      </c>
      <c r="F34" s="128">
        <v>4599402</v>
      </c>
      <c r="G34" s="128">
        <f t="shared" si="1"/>
        <v>9209</v>
      </c>
      <c r="H34" s="129">
        <v>45443</v>
      </c>
      <c r="I34" s="130" t="s">
        <v>537</v>
      </c>
    </row>
    <row r="35" spans="1:9" x14ac:dyDescent="0.3">
      <c r="A35" s="124">
        <v>45222</v>
      </c>
      <c r="B35" s="124">
        <f>EDATE(A35,12)</f>
        <v>45588</v>
      </c>
      <c r="C35" s="89">
        <v>340900</v>
      </c>
      <c r="D35" s="125">
        <v>344493</v>
      </c>
      <c r="F35" s="50">
        <v>4609230</v>
      </c>
      <c r="G35" s="128">
        <f t="shared" si="1"/>
        <v>9828</v>
      </c>
      <c r="H35" s="129">
        <v>45447</v>
      </c>
      <c r="I35" s="130" t="s">
        <v>541</v>
      </c>
    </row>
    <row r="36" spans="1:9" x14ac:dyDescent="0.3">
      <c r="A36" s="124">
        <v>45225</v>
      </c>
      <c r="B36" s="124">
        <f>EDATE(A36,12)</f>
        <v>45591</v>
      </c>
      <c r="C36" s="89">
        <v>6123103</v>
      </c>
      <c r="D36" s="125">
        <v>6199116</v>
      </c>
      <c r="E36" t="s">
        <v>388</v>
      </c>
      <c r="F36" s="50">
        <v>590</v>
      </c>
      <c r="G36" s="128">
        <f t="shared" si="1"/>
        <v>-4608640</v>
      </c>
      <c r="H36" s="132">
        <v>45448</v>
      </c>
      <c r="I36" s="130" t="s">
        <v>544</v>
      </c>
    </row>
    <row r="37" spans="1:9" x14ac:dyDescent="0.3">
      <c r="A37" s="124">
        <v>45252</v>
      </c>
      <c r="B37" s="124">
        <f t="shared" si="2"/>
        <v>45618</v>
      </c>
      <c r="C37" s="89">
        <v>340900</v>
      </c>
      <c r="D37" s="125">
        <v>343526</v>
      </c>
      <c r="F37" s="50">
        <f>F36+848400</f>
        <v>848990</v>
      </c>
      <c r="G37" s="128">
        <f t="shared" si="1"/>
        <v>848400</v>
      </c>
      <c r="H37" s="132">
        <v>45464</v>
      </c>
      <c r="I37" s="130" t="s">
        <v>534</v>
      </c>
    </row>
    <row r="38" spans="1:9" x14ac:dyDescent="0.3">
      <c r="A38" s="124">
        <v>45282</v>
      </c>
      <c r="B38" s="124">
        <f t="shared" si="2"/>
        <v>45648</v>
      </c>
      <c r="C38" s="89">
        <v>340900</v>
      </c>
      <c r="D38" s="125">
        <v>342441</v>
      </c>
      <c r="F38" s="50">
        <v>2484973</v>
      </c>
      <c r="G38" s="128">
        <f t="shared" si="1"/>
        <v>1635983</v>
      </c>
      <c r="H38" s="132">
        <v>45467</v>
      </c>
      <c r="I38" t="s">
        <v>545</v>
      </c>
    </row>
    <row r="39" spans="1:9" x14ac:dyDescent="0.3">
      <c r="A39" s="124">
        <v>45313</v>
      </c>
      <c r="B39" s="124">
        <f>EDATE(A39,12)</f>
        <v>45679</v>
      </c>
      <c r="C39" s="89">
        <v>340900</v>
      </c>
      <c r="D39" s="125">
        <v>341324</v>
      </c>
      <c r="F39" s="50">
        <v>2490839</v>
      </c>
      <c r="G39" s="128">
        <f t="shared" si="1"/>
        <v>5866</v>
      </c>
      <c r="H39" s="132">
        <v>45473</v>
      </c>
      <c r="I39" s="130" t="s">
        <v>537</v>
      </c>
    </row>
    <row r="40" spans="1:9" x14ac:dyDescent="0.3">
      <c r="F40" s="50">
        <v>2501927</v>
      </c>
      <c r="G40" s="128">
        <f t="shared" si="1"/>
        <v>11088</v>
      </c>
      <c r="H40" s="132">
        <v>45475</v>
      </c>
      <c r="I40" s="130" t="s">
        <v>541</v>
      </c>
    </row>
    <row r="53" spans="11:16" x14ac:dyDescent="0.3">
      <c r="K53" s="3"/>
      <c r="L53" s="3"/>
      <c r="O53" s="50"/>
      <c r="P53" s="55"/>
    </row>
  </sheetData>
  <phoneticPr fontId="7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4"/>
  <sheetViews>
    <sheetView tabSelected="1" topLeftCell="A7" workbookViewId="0">
      <selection activeCell="M44" sqref="M44"/>
    </sheetView>
  </sheetViews>
  <sheetFormatPr defaultRowHeight="16.5" x14ac:dyDescent="0.3"/>
  <cols>
    <col min="1" max="2" width="10.25" customWidth="1"/>
    <col min="3" max="3" width="21.375" bestFit="1" customWidth="1"/>
    <col min="4" max="4" width="14" style="50" customWidth="1"/>
    <col min="6" max="6" width="13.125" customWidth="1"/>
    <col min="7" max="8" width="10.25" customWidth="1"/>
    <col min="9" max="9" width="11.125" bestFit="1" customWidth="1"/>
    <col min="10" max="10" width="17.25" bestFit="1" customWidth="1"/>
    <col min="11" max="11" width="12.125" style="50" customWidth="1"/>
    <col min="12" max="12" width="13.5" style="50" customWidth="1"/>
    <col min="13" max="14" width="10.25" customWidth="1"/>
    <col min="16" max="16" width="9.625" customWidth="1"/>
    <col min="17" max="17" width="13.375" customWidth="1"/>
  </cols>
  <sheetData>
    <row r="1" spans="1:14" x14ac:dyDescent="0.3">
      <c r="A1" t="s">
        <v>404</v>
      </c>
      <c r="B1" t="s">
        <v>405</v>
      </c>
      <c r="D1" s="50" t="s">
        <v>406</v>
      </c>
    </row>
    <row r="2" spans="1:14" x14ac:dyDescent="0.3">
      <c r="A2" s="3">
        <v>43524</v>
      </c>
      <c r="B2" s="3">
        <v>45351</v>
      </c>
      <c r="C2" t="s">
        <v>407</v>
      </c>
      <c r="D2" s="134">
        <v>5600</v>
      </c>
    </row>
    <row r="3" spans="1:14" x14ac:dyDescent="0.3">
      <c r="A3" s="3">
        <v>43868</v>
      </c>
      <c r="B3" s="3">
        <v>45329</v>
      </c>
      <c r="C3" t="s">
        <v>407</v>
      </c>
      <c r="D3" s="134">
        <v>6070</v>
      </c>
    </row>
    <row r="4" spans="1:14" x14ac:dyDescent="0.3">
      <c r="A4" s="3">
        <v>44244</v>
      </c>
      <c r="B4" s="3">
        <v>45339</v>
      </c>
      <c r="C4" t="s">
        <v>407</v>
      </c>
      <c r="D4" s="134">
        <v>6510</v>
      </c>
    </row>
    <row r="5" spans="1:14" x14ac:dyDescent="0.3">
      <c r="A5" s="3">
        <v>44609</v>
      </c>
      <c r="B5" s="3">
        <v>45339</v>
      </c>
      <c r="C5" t="s">
        <v>407</v>
      </c>
      <c r="D5" s="134">
        <v>6260</v>
      </c>
      <c r="I5" t="s">
        <v>560</v>
      </c>
      <c r="J5" t="s">
        <v>554</v>
      </c>
      <c r="K5" s="50" t="s">
        <v>556</v>
      </c>
      <c r="L5" s="50" t="s">
        <v>557</v>
      </c>
      <c r="M5" t="s">
        <v>561</v>
      </c>
    </row>
    <row r="6" spans="1:14" x14ac:dyDescent="0.3">
      <c r="A6" s="3">
        <v>44966</v>
      </c>
      <c r="B6" s="3">
        <v>45331</v>
      </c>
      <c r="C6" t="s">
        <v>407</v>
      </c>
      <c r="D6" s="134">
        <v>6470</v>
      </c>
      <c r="I6" s="3">
        <v>43497</v>
      </c>
      <c r="J6" t="s">
        <v>555</v>
      </c>
      <c r="L6" s="50">
        <v>7834990</v>
      </c>
    </row>
    <row r="7" spans="1:14" x14ac:dyDescent="0.3">
      <c r="A7" s="3">
        <v>45322</v>
      </c>
      <c r="B7" s="3">
        <v>45688</v>
      </c>
      <c r="C7" t="s">
        <v>407</v>
      </c>
      <c r="D7" s="136">
        <v>9915590</v>
      </c>
      <c r="I7" s="3">
        <v>43524</v>
      </c>
      <c r="J7" t="s">
        <v>555</v>
      </c>
      <c r="L7" s="139">
        <v>5600</v>
      </c>
    </row>
    <row r="8" spans="1:14" x14ac:dyDescent="0.3">
      <c r="A8" s="3">
        <v>45314</v>
      </c>
      <c r="B8" s="3"/>
      <c r="C8" t="s">
        <v>408</v>
      </c>
      <c r="D8" s="50">
        <v>5064619</v>
      </c>
      <c r="I8" s="3">
        <v>43853</v>
      </c>
      <c r="J8" t="s">
        <v>555</v>
      </c>
      <c r="L8" s="50">
        <v>4612090</v>
      </c>
    </row>
    <row r="9" spans="1:14" x14ac:dyDescent="0.3">
      <c r="A9" s="3">
        <v>45323</v>
      </c>
      <c r="B9" s="3"/>
      <c r="C9" t="s">
        <v>408</v>
      </c>
      <c r="D9" s="50">
        <v>10087835</v>
      </c>
      <c r="I9" s="3">
        <v>43857</v>
      </c>
      <c r="J9" t="s">
        <v>555</v>
      </c>
      <c r="L9" s="50">
        <v>19770400</v>
      </c>
    </row>
    <row r="10" spans="1:14" x14ac:dyDescent="0.3">
      <c r="A10" s="3">
        <v>45322</v>
      </c>
      <c r="B10" s="3"/>
      <c r="C10" s="92" t="s">
        <v>550</v>
      </c>
      <c r="D10" s="50">
        <v>4195346</v>
      </c>
      <c r="E10">
        <v>4716069</v>
      </c>
      <c r="F10" s="135">
        <f>E10/D10-1</f>
        <v>0.1241192025639839</v>
      </c>
      <c r="I10" s="3">
        <v>43868</v>
      </c>
      <c r="J10" t="s">
        <v>555</v>
      </c>
      <c r="L10" s="139">
        <v>6070</v>
      </c>
    </row>
    <row r="11" spans="1:14" x14ac:dyDescent="0.3">
      <c r="A11" s="3">
        <v>45322</v>
      </c>
      <c r="B11" s="3"/>
      <c r="C11" s="92" t="s">
        <v>549</v>
      </c>
      <c r="D11" s="50">
        <v>2097673</v>
      </c>
      <c r="E11">
        <v>2224970</v>
      </c>
      <c r="F11" s="135">
        <f t="shared" ref="F11:F17" si="0">E11/D11-1</f>
        <v>6.068486365606085E-2</v>
      </c>
      <c r="I11" s="3">
        <v>43878</v>
      </c>
      <c r="J11" s="138" t="s">
        <v>555</v>
      </c>
      <c r="L11" s="139">
        <v>6260</v>
      </c>
    </row>
    <row r="12" spans="1:14" x14ac:dyDescent="0.3">
      <c r="A12" s="3">
        <v>45322</v>
      </c>
      <c r="B12" s="3"/>
      <c r="C12" s="92" t="s">
        <v>548</v>
      </c>
      <c r="D12" s="50">
        <v>2097673</v>
      </c>
      <c r="E12">
        <v>2268128</v>
      </c>
      <c r="F12" s="135">
        <f t="shared" si="0"/>
        <v>8.1259090430205294E-2</v>
      </c>
      <c r="I12" s="3">
        <v>44225</v>
      </c>
      <c r="J12" s="138" t="s">
        <v>555</v>
      </c>
      <c r="L12" s="50">
        <v>6357600</v>
      </c>
    </row>
    <row r="13" spans="1:14" x14ac:dyDescent="0.3">
      <c r="A13" s="3">
        <v>45322</v>
      </c>
      <c r="B13" s="3"/>
      <c r="C13" s="92" t="s">
        <v>547</v>
      </c>
      <c r="D13" s="50">
        <v>4195346</v>
      </c>
      <c r="E13">
        <v>4325014</v>
      </c>
      <c r="F13" s="135">
        <f t="shared" si="0"/>
        <v>3.0907581877632984E-2</v>
      </c>
      <c r="I13" s="3">
        <v>44244</v>
      </c>
      <c r="J13" s="138" t="s">
        <v>555</v>
      </c>
      <c r="L13" s="139">
        <v>6510</v>
      </c>
    </row>
    <row r="14" spans="1:14" x14ac:dyDescent="0.3">
      <c r="A14" s="3">
        <v>45322</v>
      </c>
      <c r="B14" s="3"/>
      <c r="C14" s="92" t="s">
        <v>546</v>
      </c>
      <c r="D14" s="50">
        <v>4195346</v>
      </c>
      <c r="E14">
        <v>4921381</v>
      </c>
      <c r="F14" s="135">
        <f t="shared" si="0"/>
        <v>0.17305724009414236</v>
      </c>
      <c r="I14" s="3">
        <v>44958</v>
      </c>
      <c r="J14" s="138" t="s">
        <v>555</v>
      </c>
      <c r="L14" s="50">
        <v>1313340</v>
      </c>
    </row>
    <row r="15" spans="1:14" ht="17.25" thickBot="1" x14ac:dyDescent="0.35">
      <c r="A15" s="3">
        <v>45323</v>
      </c>
      <c r="B15" s="3"/>
      <c r="C15" s="92" t="s">
        <v>553</v>
      </c>
      <c r="D15" s="50">
        <v>2097672</v>
      </c>
      <c r="E15">
        <v>2350901</v>
      </c>
      <c r="F15" s="135">
        <f t="shared" si="0"/>
        <v>0.12071906380025088</v>
      </c>
      <c r="I15" s="3">
        <v>44966</v>
      </c>
      <c r="J15" s="133" t="s">
        <v>555</v>
      </c>
      <c r="L15" s="139">
        <v>6470</v>
      </c>
    </row>
    <row r="16" spans="1:14" x14ac:dyDescent="0.3">
      <c r="A16" s="3">
        <v>45323</v>
      </c>
      <c r="B16" s="3"/>
      <c r="C16" s="92" t="s">
        <v>552</v>
      </c>
      <c r="D16" s="50">
        <v>2097673</v>
      </c>
      <c r="E16">
        <v>2463160</v>
      </c>
      <c r="F16" s="135">
        <f t="shared" si="0"/>
        <v>0.17423449698785265</v>
      </c>
      <c r="I16" s="140">
        <v>45314</v>
      </c>
      <c r="J16" s="141" t="s">
        <v>555</v>
      </c>
      <c r="K16" s="142">
        <v>-5064619</v>
      </c>
      <c r="L16" s="142"/>
      <c r="M16" s="141" t="s">
        <v>562</v>
      </c>
      <c r="N16" s="143"/>
    </row>
    <row r="17" spans="1:14" x14ac:dyDescent="0.3">
      <c r="A17" s="3">
        <v>45324</v>
      </c>
      <c r="B17" s="3"/>
      <c r="C17" s="92" t="s">
        <v>551</v>
      </c>
      <c r="D17" s="50">
        <v>6843270</v>
      </c>
      <c r="E17">
        <v>7552113</v>
      </c>
      <c r="F17" s="135">
        <f t="shared" si="0"/>
        <v>0.10358249784094453</v>
      </c>
      <c r="I17" s="144">
        <v>45314</v>
      </c>
      <c r="J17" s="69" t="s">
        <v>558</v>
      </c>
      <c r="K17" s="145"/>
      <c r="L17" s="145">
        <v>5064619</v>
      </c>
      <c r="M17" s="69" t="s">
        <v>563</v>
      </c>
      <c r="N17" s="146"/>
    </row>
    <row r="18" spans="1:14" x14ac:dyDescent="0.3">
      <c r="I18" s="144">
        <v>45320</v>
      </c>
      <c r="J18" s="138" t="s">
        <v>555</v>
      </c>
      <c r="K18" s="145">
        <v>-20976729</v>
      </c>
      <c r="L18" s="145"/>
      <c r="M18" s="69"/>
      <c r="N18" s="146"/>
    </row>
    <row r="19" spans="1:14" x14ac:dyDescent="0.3">
      <c r="I19" s="144">
        <v>45321</v>
      </c>
      <c r="J19" s="138" t="s">
        <v>555</v>
      </c>
      <c r="K19" s="145">
        <v>-6843270</v>
      </c>
      <c r="L19" s="145"/>
      <c r="M19" s="69"/>
      <c r="N19" s="146"/>
    </row>
    <row r="20" spans="1:14" x14ac:dyDescent="0.3">
      <c r="I20" s="144">
        <v>45322</v>
      </c>
      <c r="J20" s="138" t="s">
        <v>555</v>
      </c>
      <c r="K20" s="145"/>
      <c r="L20" s="147">
        <v>9915590</v>
      </c>
      <c r="M20" s="69"/>
      <c r="N20" s="146"/>
    </row>
    <row r="21" spans="1:14" x14ac:dyDescent="0.3">
      <c r="I21" s="144">
        <v>45322</v>
      </c>
      <c r="J21" s="137" t="s">
        <v>550</v>
      </c>
      <c r="K21" s="145"/>
      <c r="L21" s="145">
        <v>4195346</v>
      </c>
      <c r="M21" s="69"/>
      <c r="N21" s="146"/>
    </row>
    <row r="22" spans="1:14" x14ac:dyDescent="0.3">
      <c r="I22" s="144">
        <v>45322</v>
      </c>
      <c r="J22" s="137" t="s">
        <v>549</v>
      </c>
      <c r="K22" s="145"/>
      <c r="L22" s="145">
        <v>2097673</v>
      </c>
      <c r="M22" s="69"/>
      <c r="N22" s="146"/>
    </row>
    <row r="23" spans="1:14" x14ac:dyDescent="0.3">
      <c r="I23" s="144">
        <v>45322</v>
      </c>
      <c r="J23" s="137" t="s">
        <v>548</v>
      </c>
      <c r="K23" s="145"/>
      <c r="L23" s="145">
        <v>2097673</v>
      </c>
      <c r="M23" s="69"/>
      <c r="N23" s="146"/>
    </row>
    <row r="24" spans="1:14" x14ac:dyDescent="0.3">
      <c r="I24" s="144">
        <v>45322</v>
      </c>
      <c r="J24" s="137" t="s">
        <v>547</v>
      </c>
      <c r="K24" s="145"/>
      <c r="L24" s="145">
        <v>4195346</v>
      </c>
      <c r="M24" s="69"/>
      <c r="N24" s="146"/>
    </row>
    <row r="25" spans="1:14" x14ac:dyDescent="0.3">
      <c r="I25" s="144">
        <v>45322</v>
      </c>
      <c r="J25" s="137" t="s">
        <v>546</v>
      </c>
      <c r="K25" s="145"/>
      <c r="L25" s="145">
        <v>4195346</v>
      </c>
      <c r="M25" s="69"/>
      <c r="N25" s="146"/>
    </row>
    <row r="26" spans="1:14" x14ac:dyDescent="0.3">
      <c r="I26" s="144">
        <v>45323</v>
      </c>
      <c r="J26" s="69" t="s">
        <v>555</v>
      </c>
      <c r="K26" s="145">
        <v>-10087835</v>
      </c>
      <c r="L26" s="145"/>
      <c r="M26" s="69"/>
      <c r="N26" s="146"/>
    </row>
    <row r="27" spans="1:14" x14ac:dyDescent="0.3">
      <c r="I27" s="144">
        <v>45323</v>
      </c>
      <c r="J27" s="69" t="s">
        <v>558</v>
      </c>
      <c r="K27" s="145"/>
      <c r="L27" s="145">
        <v>10087835</v>
      </c>
      <c r="M27" s="69"/>
      <c r="N27" s="146"/>
    </row>
    <row r="28" spans="1:14" x14ac:dyDescent="0.3">
      <c r="I28" s="144">
        <v>45323</v>
      </c>
      <c r="J28" s="137" t="s">
        <v>553</v>
      </c>
      <c r="K28" s="145"/>
      <c r="L28" s="145">
        <v>2097672</v>
      </c>
      <c r="M28" s="69"/>
      <c r="N28" s="146"/>
    </row>
    <row r="29" spans="1:14" x14ac:dyDescent="0.3">
      <c r="I29" s="144">
        <v>45323</v>
      </c>
      <c r="J29" s="137" t="s">
        <v>552</v>
      </c>
      <c r="K29" s="145"/>
      <c r="L29" s="145">
        <v>2097673</v>
      </c>
      <c r="M29" s="69"/>
      <c r="N29" s="146"/>
    </row>
    <row r="30" spans="1:14" x14ac:dyDescent="0.3">
      <c r="I30" s="144">
        <v>45324</v>
      </c>
      <c r="J30" s="137" t="s">
        <v>551</v>
      </c>
      <c r="K30" s="145"/>
      <c r="L30" s="145">
        <v>6843270</v>
      </c>
      <c r="M30" s="69"/>
      <c r="N30" s="146"/>
    </row>
    <row r="31" spans="1:14" x14ac:dyDescent="0.3">
      <c r="I31" s="144">
        <v>45329</v>
      </c>
      <c r="J31" s="69" t="s">
        <v>555</v>
      </c>
      <c r="K31" s="148">
        <v>-6435</v>
      </c>
      <c r="L31" s="145"/>
      <c r="M31" s="69"/>
      <c r="N31" s="146"/>
    </row>
    <row r="32" spans="1:14" x14ac:dyDescent="0.3">
      <c r="I32" s="144">
        <v>45329</v>
      </c>
      <c r="J32" s="69" t="s">
        <v>558</v>
      </c>
      <c r="K32" s="145"/>
      <c r="L32" s="145">
        <v>6435</v>
      </c>
      <c r="M32" s="69"/>
      <c r="N32" s="146"/>
    </row>
    <row r="33" spans="9:14" x14ac:dyDescent="0.3">
      <c r="I33" s="144">
        <v>45335</v>
      </c>
      <c r="J33" s="69" t="s">
        <v>555</v>
      </c>
      <c r="K33" s="148">
        <v>-6839</v>
      </c>
      <c r="L33" s="149">
        <v>7400</v>
      </c>
      <c r="M33" s="69"/>
      <c r="N33" s="146"/>
    </row>
    <row r="34" spans="9:14" x14ac:dyDescent="0.3">
      <c r="I34" s="144">
        <v>45335</v>
      </c>
      <c r="J34" s="69" t="s">
        <v>558</v>
      </c>
      <c r="K34" s="145"/>
      <c r="L34" s="145">
        <v>6839</v>
      </c>
      <c r="M34" s="69"/>
      <c r="N34" s="146"/>
    </row>
    <row r="35" spans="9:14" x14ac:dyDescent="0.3">
      <c r="I35" s="144">
        <v>45341</v>
      </c>
      <c r="J35" s="69" t="s">
        <v>555</v>
      </c>
      <c r="K35" s="148">
        <v>-13504</v>
      </c>
      <c r="L35" s="145"/>
      <c r="M35" s="69"/>
      <c r="N35" s="146"/>
    </row>
    <row r="36" spans="9:14" x14ac:dyDescent="0.3">
      <c r="I36" s="144">
        <v>45341</v>
      </c>
      <c r="J36" s="69" t="s">
        <v>558</v>
      </c>
      <c r="K36" s="145"/>
      <c r="L36" s="145">
        <v>13504</v>
      </c>
      <c r="M36" s="69"/>
      <c r="N36" s="146"/>
    </row>
    <row r="37" spans="9:14" x14ac:dyDescent="0.3">
      <c r="I37" s="144">
        <v>45350</v>
      </c>
      <c r="J37" s="69" t="s">
        <v>555</v>
      </c>
      <c r="K37" s="148">
        <v>-5965</v>
      </c>
      <c r="L37" s="145"/>
      <c r="M37" s="69"/>
      <c r="N37" s="146"/>
    </row>
    <row r="38" spans="9:14" x14ac:dyDescent="0.3">
      <c r="I38" s="144">
        <v>45350</v>
      </c>
      <c r="J38" s="69" t="s">
        <v>558</v>
      </c>
      <c r="K38" s="145"/>
      <c r="L38" s="145">
        <v>5965</v>
      </c>
      <c r="M38" s="69"/>
      <c r="N38" s="146"/>
    </row>
    <row r="39" spans="9:14" x14ac:dyDescent="0.3">
      <c r="I39" s="144">
        <v>45471</v>
      </c>
      <c r="J39" s="69" t="s">
        <v>558</v>
      </c>
      <c r="K39" s="145">
        <v>-3000000</v>
      </c>
      <c r="L39" s="145"/>
      <c r="M39" s="69"/>
      <c r="N39" s="146"/>
    </row>
    <row r="40" spans="9:14" ht="17.25" thickBot="1" x14ac:dyDescent="0.35">
      <c r="I40" s="150">
        <v>45476</v>
      </c>
      <c r="J40" s="151" t="s">
        <v>559</v>
      </c>
      <c r="K40" s="152"/>
      <c r="L40" s="152">
        <v>3000000</v>
      </c>
      <c r="M40" s="151"/>
      <c r="N40" s="153"/>
    </row>
    <row r="42" spans="9:14" x14ac:dyDescent="0.3">
      <c r="L42" s="50">
        <v>12212454</v>
      </c>
    </row>
    <row r="43" spans="9:14" x14ac:dyDescent="0.3">
      <c r="L43" s="127">
        <v>12185197</v>
      </c>
    </row>
    <row r="44" spans="9:14" x14ac:dyDescent="0.3">
      <c r="K44" s="50">
        <v>3000000</v>
      </c>
      <c r="L44" s="50">
        <f>L42-L43</f>
        <v>27257</v>
      </c>
      <c r="M44" s="55">
        <f>K44-L44</f>
        <v>2972743</v>
      </c>
    </row>
  </sheetData>
  <autoFilter ref="I5:M40" xr:uid="{411B14A6-31E1-4DA3-9990-05EE2A27F6A7}"/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2"/>
  <sheetViews>
    <sheetView workbookViewId="0">
      <selection activeCell="F2" sqref="F2"/>
    </sheetView>
  </sheetViews>
  <sheetFormatPr defaultRowHeight="16.5" x14ac:dyDescent="0.3"/>
  <cols>
    <col min="1" max="2" width="10.25" customWidth="1"/>
    <col min="3" max="3" width="21.375" bestFit="1" customWidth="1"/>
    <col min="4" max="4" width="11.375" bestFit="1" customWidth="1"/>
    <col min="5" max="5" width="10.25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369</v>
      </c>
      <c r="C2" s="71" t="str">
        <f>VLOOKUP(삼성DC[[#This Row],[종목코드]],연금종목정보[],2,FALSE)</f>
        <v>삼성변동예금</v>
      </c>
      <c r="D2" s="73" t="str">
        <f>VLOOKUP(삼성DC[[#This Row],[종목코드]],연금종목정보[],4,FALSE)</f>
        <v>삼성DC</v>
      </c>
      <c r="E2" s="74">
        <v>1</v>
      </c>
      <c r="F2" s="75">
        <v>15152454</v>
      </c>
      <c r="G2" s="76">
        <v>15152454</v>
      </c>
      <c r="H2" s="76">
        <f>삼성DC[[#This Row],[현금지출]]-삼성DC[[#This Row],[매입액]]</f>
        <v>0</v>
      </c>
      <c r="I2" s="77"/>
      <c r="J2" s="75"/>
      <c r="K2" s="75"/>
      <c r="L2" s="78"/>
      <c r="M2" s="75"/>
      <c r="N2" s="78">
        <f>삼성DC[[#This Row],[매도액]]-삼성DC[[#This Row],[매도원금]]</f>
        <v>0</v>
      </c>
      <c r="O2" s="78">
        <f>삼성DC[[#This Row],[매도액]]+삼성DC[[#This Row],[이자배당액]]-삼성DC[[#This Row],[현금수입]]</f>
        <v>0</v>
      </c>
      <c r="P2" s="78">
        <f>삼성DC[[#This Row],[매매수익]]+삼성DC[[#This Row],[이자배당액]]-삼성DC[[#This Row],[매도비용]]-삼성DC[[#This Row],[매입비용]]</f>
        <v>0</v>
      </c>
      <c r="Q2" s="79">
        <v>15152454</v>
      </c>
      <c r="R2" s="77">
        <f>삼성DC[[#This Row],[입출금]]+삼성DC[[#This Row],[현금수입]]-삼성DC[[#This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371</v>
      </c>
      <c r="C3" s="71" t="str">
        <f>VLOOKUP(삼성DC[[#This Row],[종목코드]],연금종목정보[],2,FALSE)</f>
        <v>삼성정기예금1년</v>
      </c>
      <c r="D3" s="73" t="str">
        <f>VLOOKUP(삼성DC[[#This Row],[종목코드]],연금종목정보[],4,FALSE)</f>
        <v>삼성DC</v>
      </c>
      <c r="E3" s="74">
        <v>1</v>
      </c>
      <c r="F3" s="75">
        <v>9946500</v>
      </c>
      <c r="G3" s="76">
        <v>9946500</v>
      </c>
      <c r="H3" s="76">
        <f>삼성DC[[#This Row],[현금지출]]-삼성DC[[#This Row],[매입액]]</f>
        <v>0</v>
      </c>
      <c r="I3" s="77"/>
      <c r="J3" s="75"/>
      <c r="K3" s="75"/>
      <c r="L3" s="78"/>
      <c r="M3" s="75"/>
      <c r="N3" s="78">
        <f>삼성DC[[#This Row],[매도액]]-삼성DC[[#This Row],[매도원금]]</f>
        <v>0</v>
      </c>
      <c r="O3" s="78">
        <f>삼성DC[[#This Row],[매도액]]+삼성DC[[#This Row],[이자배당액]]-삼성DC[[#This Row],[현금수입]]</f>
        <v>0</v>
      </c>
      <c r="P3" s="78">
        <f>삼성DC[[#This Row],[매매수익]]+삼성DC[[#This Row],[이자배당액]]-삼성DC[[#This Row],[매도비용]]-삼성DC[[#This Row],[매입비용]]</f>
        <v>0</v>
      </c>
      <c r="Q3" s="79">
        <v>9946500</v>
      </c>
      <c r="R3" s="77">
        <f>삼성DC[[#This Row],[입출금]]+삼성DC[[#This Row],[현금수입]]-삼성DC[[#This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356</v>
      </c>
      <c r="C4" s="80" t="str">
        <f>VLOOKUP(삼성DC[[#This Row],[종목코드]],연금종목정보[],2,FALSE)</f>
        <v>삼성주가지수펀드</v>
      </c>
      <c r="D4" s="82" t="str">
        <f>VLOOKUP(삼성DC[[#This Row],[종목코드]],연금종목정보[],4,FALSE)</f>
        <v>삼성DC</v>
      </c>
      <c r="E4" s="83">
        <v>1</v>
      </c>
      <c r="F4" s="84">
        <v>4195346</v>
      </c>
      <c r="G4" s="85">
        <v>4195346</v>
      </c>
      <c r="H4" s="85">
        <f>삼성DC[[#This Row],[현금지출]]-삼성DC[[#This Row],[매입액]]</f>
        <v>0</v>
      </c>
      <c r="I4" s="86"/>
      <c r="J4" s="84"/>
      <c r="K4" s="84"/>
      <c r="L4" s="87"/>
      <c r="M4" s="84"/>
      <c r="N4" s="87">
        <f>삼성DC[[#This Row],[매도액]]-삼성DC[[#This Row],[매도원금]]</f>
        <v>0</v>
      </c>
      <c r="O4" s="87">
        <f>삼성DC[[#This Row],[매도액]]+삼성DC[[#This Row],[이자배당액]]-삼성DC[[#This Row],[현금수입]]</f>
        <v>0</v>
      </c>
      <c r="P4" s="87">
        <f>삼성DC[[#This Row],[매매수익]]+삼성DC[[#This Row],[이자배당액]]-삼성DC[[#This Row],[매도비용]]-삼성DC[[#This Row],[매입비용]]</f>
        <v>0</v>
      </c>
      <c r="Q4" s="88">
        <v>4195346</v>
      </c>
      <c r="R4" s="86">
        <f>삼성DC[[#This Row],[입출금]]+삼성DC[[#This Row],[현금수입]]-삼성DC[[#This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 t="s">
        <v>358</v>
      </c>
      <c r="C5" s="80" t="str">
        <f>VLOOKUP(삼성DC[[#This Row],[종목코드]],연금종목정보[],2,FALSE)</f>
        <v>삼성채권혼합펀드</v>
      </c>
      <c r="D5" s="82" t="str">
        <f>VLOOKUP(삼성DC[[#This Row],[종목코드]],연금종목정보[],4,FALSE)</f>
        <v>삼성DC</v>
      </c>
      <c r="E5" s="83">
        <v>1</v>
      </c>
      <c r="F5" s="84">
        <v>4195346</v>
      </c>
      <c r="G5" s="85">
        <v>4195346</v>
      </c>
      <c r="H5" s="85">
        <f>삼성DC[[#This Row],[현금지출]]-삼성DC[[#This Row],[매입액]]</f>
        <v>0</v>
      </c>
      <c r="I5" s="86"/>
      <c r="J5" s="84"/>
      <c r="K5" s="84"/>
      <c r="L5" s="87"/>
      <c r="M5" s="84"/>
      <c r="N5" s="87">
        <f>삼성DC[[#This Row],[매도액]]-삼성DC[[#This Row],[매도원금]]</f>
        <v>0</v>
      </c>
      <c r="O5" s="87">
        <f>삼성DC[[#This Row],[매도액]]+삼성DC[[#This Row],[이자배당액]]-삼성DC[[#This Row],[현금수입]]</f>
        <v>0</v>
      </c>
      <c r="P5" s="87">
        <f>삼성DC[[#This Row],[매매수익]]+삼성DC[[#This Row],[이자배당액]]-삼성DC[[#This Row],[매도비용]]-삼성DC[[#This Row],[매입비용]]</f>
        <v>0</v>
      </c>
      <c r="Q5" s="88">
        <v>4195346</v>
      </c>
      <c r="R5" s="86">
        <f>삼성DC[[#This Row],[입출금]]+삼성DC[[#This Row],[현금수입]]-삼성DC[[#This Row],[현금지출]]</f>
        <v>0</v>
      </c>
      <c r="S5" s="86">
        <f>SUM($R$2:R5)</f>
        <v>0</v>
      </c>
    </row>
    <row r="6" spans="1:19" x14ac:dyDescent="0.3">
      <c r="A6" s="71">
        <v>45292</v>
      </c>
      <c r="B6" s="81" t="s">
        <v>360</v>
      </c>
      <c r="C6" s="80" t="str">
        <f>VLOOKUP(삼성DC[[#This Row],[종목코드]],연금종목정보[],2,FALSE)</f>
        <v>미래채권혼합펀드</v>
      </c>
      <c r="D6" s="82" t="str">
        <f>VLOOKUP(삼성DC[[#This Row],[종목코드]],연금종목정보[],4,FALSE)</f>
        <v>삼성DC</v>
      </c>
      <c r="E6" s="83">
        <v>1</v>
      </c>
      <c r="F6" s="84">
        <v>2097673</v>
      </c>
      <c r="G6" s="85">
        <v>2097673</v>
      </c>
      <c r="H6" s="85">
        <f>삼성DC[[#This Row],[현금지출]]-삼성DC[[#This Row],[매입액]]</f>
        <v>0</v>
      </c>
      <c r="I6" s="86"/>
      <c r="J6" s="84"/>
      <c r="K6" s="84"/>
      <c r="L6" s="87"/>
      <c r="M6" s="84"/>
      <c r="N6" s="87">
        <f>삼성DC[[#This Row],[매도액]]-삼성DC[[#This Row],[매도원금]]</f>
        <v>0</v>
      </c>
      <c r="O6" s="87">
        <f>삼성DC[[#This Row],[매도액]]+삼성DC[[#This Row],[이자배당액]]-삼성DC[[#This Row],[현금수입]]</f>
        <v>0</v>
      </c>
      <c r="P6" s="87">
        <f>삼성DC[[#This Row],[매매수익]]+삼성DC[[#This Row],[이자배당액]]-삼성DC[[#This Row],[매도비용]]-삼성DC[[#This Row],[매입비용]]</f>
        <v>0</v>
      </c>
      <c r="Q6" s="88">
        <v>2097673</v>
      </c>
      <c r="R6" s="86">
        <f>삼성DC[[#This Row],[입출금]]+삼성DC[[#This Row],[현금수입]]-삼성DC[[#This Row],[현금지출]]</f>
        <v>0</v>
      </c>
      <c r="S6" s="86">
        <f>SUM($R$2:R6)</f>
        <v>0</v>
      </c>
    </row>
    <row r="7" spans="1:19" x14ac:dyDescent="0.3">
      <c r="A7" s="71">
        <v>45292</v>
      </c>
      <c r="B7" s="81" t="s">
        <v>362</v>
      </c>
      <c r="C7" s="80" t="str">
        <f>VLOOKUP(삼성DC[[#This Row],[종목코드]],연금종목정보[],2,FALSE)</f>
        <v>신영채권혼합펀드</v>
      </c>
      <c r="D7" s="82" t="str">
        <f>VLOOKUP(삼성DC[[#This Row],[종목코드]],연금종목정보[],4,FALSE)</f>
        <v>삼성DC</v>
      </c>
      <c r="E7" s="83">
        <v>1</v>
      </c>
      <c r="F7" s="84">
        <v>2097673</v>
      </c>
      <c r="G7" s="85">
        <v>2097673</v>
      </c>
      <c r="H7" s="85">
        <f>삼성DC[[#This Row],[현금지출]]-삼성DC[[#This Row],[매입액]]</f>
        <v>0</v>
      </c>
      <c r="I7" s="86"/>
      <c r="J7" s="84"/>
      <c r="K7" s="84"/>
      <c r="L7" s="87"/>
      <c r="M7" s="84"/>
      <c r="N7" s="87">
        <f>삼성DC[[#This Row],[매도액]]-삼성DC[[#This Row],[매도원금]]</f>
        <v>0</v>
      </c>
      <c r="O7" s="87">
        <f>삼성DC[[#This Row],[매도액]]+삼성DC[[#This Row],[이자배당액]]-삼성DC[[#This Row],[현금수입]]</f>
        <v>0</v>
      </c>
      <c r="P7" s="87">
        <f>삼성DC[[#This Row],[매매수익]]+삼성DC[[#This Row],[이자배당액]]-삼성DC[[#This Row],[매도비용]]-삼성DC[[#This Row],[매입비용]]</f>
        <v>0</v>
      </c>
      <c r="Q7" s="88">
        <v>2097673</v>
      </c>
      <c r="R7" s="86">
        <f>삼성DC[[#This Row],[입출금]]+삼성DC[[#This Row],[현금수입]]-삼성DC[[#This Row],[현금지출]]</f>
        <v>0</v>
      </c>
      <c r="S7" s="86">
        <f>SUM($R$2:R7)</f>
        <v>0</v>
      </c>
    </row>
    <row r="8" spans="1:19" x14ac:dyDescent="0.3">
      <c r="A8" s="71">
        <v>45292</v>
      </c>
      <c r="B8" s="81" t="s">
        <v>363</v>
      </c>
      <c r="C8" s="80" t="str">
        <f>VLOOKUP(삼성DC[[#This Row],[종목코드]],연금종목정보[],2,FALSE)</f>
        <v>신영주식혼합펀드</v>
      </c>
      <c r="D8" s="82" t="str">
        <f>VLOOKUP(삼성DC[[#This Row],[종목코드]],연금종목정보[],4,FALSE)</f>
        <v>삼성DC</v>
      </c>
      <c r="E8" s="83">
        <v>1</v>
      </c>
      <c r="F8" s="84">
        <v>4195346</v>
      </c>
      <c r="G8" s="85">
        <v>4195346</v>
      </c>
      <c r="H8" s="85">
        <f>삼성DC[[#This Row],[현금지출]]-삼성DC[[#This Row],[매입액]]</f>
        <v>0</v>
      </c>
      <c r="I8" s="86"/>
      <c r="J8" s="84"/>
      <c r="K8" s="84"/>
      <c r="L8" s="87"/>
      <c r="M8" s="84"/>
      <c r="N8" s="87">
        <f>삼성DC[[#This Row],[매도액]]-삼성DC[[#This Row],[매도원금]]</f>
        <v>0</v>
      </c>
      <c r="O8" s="87">
        <f>삼성DC[[#This Row],[매도액]]+삼성DC[[#This Row],[이자배당액]]-삼성DC[[#This Row],[현금수입]]</f>
        <v>0</v>
      </c>
      <c r="P8" s="87">
        <f>삼성DC[[#This Row],[매매수익]]+삼성DC[[#This Row],[이자배당액]]-삼성DC[[#This Row],[매도비용]]-삼성DC[[#This Row],[매입비용]]</f>
        <v>0</v>
      </c>
      <c r="Q8" s="88">
        <v>4195346</v>
      </c>
      <c r="R8" s="86">
        <f>삼성DC[[#This Row],[입출금]]+삼성DC[[#This Row],[현금수입]]-삼성DC[[#This Row],[현금지출]]</f>
        <v>0</v>
      </c>
      <c r="S8" s="86">
        <f>SUM($R$2:R8)</f>
        <v>0</v>
      </c>
    </row>
    <row r="9" spans="1:19" x14ac:dyDescent="0.3">
      <c r="A9" s="71">
        <v>45292</v>
      </c>
      <c r="B9" s="81" t="s">
        <v>364</v>
      </c>
      <c r="C9" s="80" t="str">
        <f>VLOOKUP(삼성DC[[#This Row],[종목코드]],연금종목정보[],2,FALSE)</f>
        <v>한투TDF</v>
      </c>
      <c r="D9" s="82" t="str">
        <f>VLOOKUP(삼성DC[[#This Row],[종목코드]],연금종목정보[],4,FALSE)</f>
        <v>삼성DC</v>
      </c>
      <c r="E9" s="83">
        <v>1</v>
      </c>
      <c r="F9" s="84">
        <v>6843270</v>
      </c>
      <c r="G9" s="85">
        <v>6843270</v>
      </c>
      <c r="H9" s="85">
        <f>삼성DC[[#This Row],[현금지출]]-삼성DC[[#This Row],[매입액]]</f>
        <v>0</v>
      </c>
      <c r="I9" s="86"/>
      <c r="J9" s="84"/>
      <c r="K9" s="84"/>
      <c r="L9" s="87"/>
      <c r="M9" s="84"/>
      <c r="N9" s="87">
        <f>삼성DC[[#This Row],[매도액]]-삼성DC[[#This Row],[매도원금]]</f>
        <v>0</v>
      </c>
      <c r="O9" s="87">
        <f>삼성DC[[#This Row],[매도액]]+삼성DC[[#This Row],[이자배당액]]-삼성DC[[#This Row],[현금수입]]</f>
        <v>0</v>
      </c>
      <c r="P9" s="87">
        <f>삼성DC[[#This Row],[매매수익]]+삼성DC[[#This Row],[이자배당액]]-삼성DC[[#This Row],[매도비용]]-삼성DC[[#This Row],[매입비용]]</f>
        <v>0</v>
      </c>
      <c r="Q9" s="88">
        <v>6843270</v>
      </c>
      <c r="R9" s="86">
        <f>삼성DC[[#This Row],[입출금]]+삼성DC[[#This Row],[현금수입]]-삼성DC[[#This Row],[현금지출]]</f>
        <v>0</v>
      </c>
      <c r="S9" s="86">
        <f>SUM($R$2:R9)</f>
        <v>0</v>
      </c>
    </row>
    <row r="10" spans="1:19" x14ac:dyDescent="0.3">
      <c r="A10" s="71">
        <v>45292</v>
      </c>
      <c r="B10" s="81" t="s">
        <v>365</v>
      </c>
      <c r="C10" s="80" t="str">
        <f>VLOOKUP(삼성DC[[#This Row],[종목코드]],연금종목정보[],2,FALSE)</f>
        <v>KB미국성장주펀드</v>
      </c>
      <c r="D10" s="82" t="str">
        <f>VLOOKUP(삼성DC[[#This Row],[종목코드]],연금종목정보[],4,FALSE)</f>
        <v>삼성DC</v>
      </c>
      <c r="E10" s="83">
        <v>1</v>
      </c>
      <c r="F10" s="84">
        <v>2097673</v>
      </c>
      <c r="G10" s="85">
        <v>2097673</v>
      </c>
      <c r="H10" s="85">
        <f>삼성DC[[#This Row],[현금지출]]-삼성DC[[#This Row],[매입액]]</f>
        <v>0</v>
      </c>
      <c r="I10" s="86"/>
      <c r="J10" s="84"/>
      <c r="K10" s="84"/>
      <c r="L10" s="87"/>
      <c r="M10" s="84"/>
      <c r="N10" s="87">
        <f>삼성DC[[#This Row],[매도액]]-삼성DC[[#This Row],[매도원금]]</f>
        <v>0</v>
      </c>
      <c r="O10" s="87">
        <f>삼성DC[[#This Row],[매도액]]+삼성DC[[#This Row],[이자배당액]]-삼성DC[[#This Row],[현금수입]]</f>
        <v>0</v>
      </c>
      <c r="P10" s="87">
        <f>삼성DC[[#This Row],[매매수익]]+삼성DC[[#This Row],[이자배당액]]-삼성DC[[#This Row],[매도비용]]-삼성DC[[#This Row],[매입비용]]</f>
        <v>0</v>
      </c>
      <c r="Q10" s="88">
        <v>2097673</v>
      </c>
      <c r="R10" s="86">
        <f>삼성DC[[#This Row],[입출금]]+삼성DC[[#This Row],[현금수입]]-삼성DC[[#This Row],[현금지출]]</f>
        <v>0</v>
      </c>
      <c r="S10" s="86">
        <f>SUM($R$2:R10)</f>
        <v>0</v>
      </c>
    </row>
    <row r="11" spans="1:19" x14ac:dyDescent="0.3">
      <c r="A11" s="71">
        <v>45292</v>
      </c>
      <c r="B11" s="81" t="s">
        <v>366</v>
      </c>
      <c r="C11" s="80" t="str">
        <f>VLOOKUP(삼성DC[[#This Row],[종목코드]],연금종목정보[],2,FALSE)</f>
        <v>삼성미국주가지수펀드</v>
      </c>
      <c r="D11" s="82" t="str">
        <f>VLOOKUP(삼성DC[[#This Row],[종목코드]],연금종목정보[],4,FALSE)</f>
        <v>삼성DC</v>
      </c>
      <c r="E11" s="83">
        <v>1</v>
      </c>
      <c r="F11" s="84">
        <v>2097672</v>
      </c>
      <c r="G11" s="85">
        <v>2097672</v>
      </c>
      <c r="H11" s="85">
        <f>삼성DC[[#This Row],[현금지출]]-삼성DC[[#This Row],[매입액]]</f>
        <v>0</v>
      </c>
      <c r="I11" s="86"/>
      <c r="J11" s="84"/>
      <c r="K11" s="84"/>
      <c r="L11" s="87"/>
      <c r="M11" s="84"/>
      <c r="N11" s="87">
        <f>삼성DC[[#This Row],[매도액]]-삼성DC[[#This Row],[매도원금]]</f>
        <v>0</v>
      </c>
      <c r="O11" s="87">
        <f>삼성DC[[#This Row],[매도액]]+삼성DC[[#This Row],[이자배당액]]-삼성DC[[#This Row],[현금수입]]</f>
        <v>0</v>
      </c>
      <c r="P11" s="87">
        <f>삼성DC[[#This Row],[매매수익]]+삼성DC[[#This Row],[이자배당액]]-삼성DC[[#This Row],[매도비용]]-삼성DC[[#This Row],[매입비용]]</f>
        <v>0</v>
      </c>
      <c r="Q11" s="88">
        <v>2097672</v>
      </c>
      <c r="R11" s="86">
        <f>삼성DC[[#This Row],[입출금]]+삼성DC[[#This Row],[현금수입]]-삼성DC[[#This Row],[현금지출]]</f>
        <v>0</v>
      </c>
      <c r="S11" s="86">
        <f>SUM($R$2:R11)</f>
        <v>0</v>
      </c>
    </row>
    <row r="12" spans="1:19" x14ac:dyDescent="0.3">
      <c r="A12" s="71">
        <v>45292</v>
      </c>
      <c r="B12" s="81" t="s">
        <v>367</v>
      </c>
      <c r="C12" s="80" t="str">
        <f>VLOOKUP(삼성DC[[#This Row],[종목코드]],연금종목정보[],2,FALSE)</f>
        <v>삼성현금</v>
      </c>
      <c r="D12" s="82" t="str">
        <f>VLOOKUP(삼성DC[[#This Row],[종목코드]],연금종목정보[],4,FALSE)</f>
        <v>삼성DC</v>
      </c>
      <c r="E12" s="83">
        <v>1</v>
      </c>
      <c r="F12" s="84">
        <v>3086</v>
      </c>
      <c r="G12" s="85">
        <v>3086</v>
      </c>
      <c r="H12" s="85">
        <f>삼성DC[[#This Row],[현금지출]]-삼성DC[[#This Row],[매입액]]</f>
        <v>0</v>
      </c>
      <c r="I12" s="86"/>
      <c r="J12" s="84"/>
      <c r="K12" s="84"/>
      <c r="L12" s="87"/>
      <c r="M12" s="84"/>
      <c r="N12" s="87">
        <f>삼성DC[[#This Row],[매도액]]-삼성DC[[#This Row],[매도원금]]</f>
        <v>0</v>
      </c>
      <c r="O12" s="87">
        <f>삼성DC[[#This Row],[매도액]]+삼성DC[[#This Row],[이자배당액]]-삼성DC[[#This Row],[현금수입]]</f>
        <v>0</v>
      </c>
      <c r="P12" s="87">
        <f>삼성DC[[#This Row],[매매수익]]+삼성DC[[#This Row],[이자배당액]]-삼성DC[[#This Row],[매도비용]]-삼성DC[[#This Row],[매입비용]]</f>
        <v>0</v>
      </c>
      <c r="Q12" s="88">
        <v>3086</v>
      </c>
      <c r="R12" s="86">
        <f>삼성DC[[#This Row],[입출금]]+삼성DC[[#This Row],[현금수입]]-삼성DC[[#This Row],[현금지출]]</f>
        <v>0</v>
      </c>
      <c r="S12" s="86">
        <f>SUM($R$2:R12)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4"/>
  <sheetViews>
    <sheetView workbookViewId="0">
      <selection activeCell="A15" sqref="A15"/>
    </sheetView>
  </sheetViews>
  <sheetFormatPr defaultRowHeight="16.5" x14ac:dyDescent="0.3"/>
  <cols>
    <col min="1" max="1" width="13.25" bestFit="1" customWidth="1"/>
    <col min="3" max="3" width="13" bestFit="1" customWidth="1"/>
    <col min="4" max="4" width="18.875" bestFit="1" customWidth="1"/>
    <col min="6" max="6" width="9.5" bestFit="1" customWidth="1"/>
    <col min="10" max="10" width="9.5" bestFit="1" customWidth="1"/>
    <col min="19" max="19" width="12.375" customWidth="1"/>
  </cols>
  <sheetData>
    <row r="1" spans="1:21" x14ac:dyDescent="0.3">
      <c r="A1" s="13" t="s">
        <v>393</v>
      </c>
      <c r="B1" s="123" t="s">
        <v>77</v>
      </c>
      <c r="C1" s="13" t="s">
        <v>394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395</v>
      </c>
      <c r="I1" s="41" t="s">
        <v>134</v>
      </c>
      <c r="J1" s="15" t="s">
        <v>53</v>
      </c>
      <c r="K1" s="15" t="s">
        <v>396</v>
      </c>
      <c r="L1" s="15" t="s">
        <v>397</v>
      </c>
      <c r="M1" s="15" t="s">
        <v>398</v>
      </c>
      <c r="N1" s="15" t="s">
        <v>399</v>
      </c>
      <c r="O1" s="15" t="s">
        <v>400</v>
      </c>
      <c r="P1" s="15" t="s">
        <v>401</v>
      </c>
      <c r="Q1" s="16" t="s">
        <v>402</v>
      </c>
      <c r="R1" s="16" t="s">
        <v>61</v>
      </c>
      <c r="S1" s="16" t="s">
        <v>403</v>
      </c>
    </row>
    <row r="2" spans="1:21" x14ac:dyDescent="0.3">
      <c r="A2" s="3">
        <v>45327</v>
      </c>
      <c r="B2" s="31" t="s">
        <v>504</v>
      </c>
      <c r="C2" t="str">
        <f>VLOOKUP(농협IRP17[[#This Row],[종목코드]],연금종목정보[],2,FALSE)</f>
        <v>엔투현금</v>
      </c>
      <c r="D2" t="str">
        <f>VLOOKUP(농협IRP17[[#This Row],[종목코드]],연금종목정보[],4,FALSE)</f>
        <v>엔투저축연금</v>
      </c>
      <c r="E2">
        <v>1</v>
      </c>
      <c r="F2">
        <v>12709251</v>
      </c>
      <c r="G2">
        <v>12709251</v>
      </c>
      <c r="H2">
        <f>농협IRP17[[#This Row],[현금지출]]-농협IRP17[[#This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농협IRP17[[#This Row],[매도액]]-농협IRP17[[#This Row],[매도원금]]</f>
        <v>0</v>
      </c>
      <c r="O2">
        <f>농협IRP17[[#This Row],[매도액]]+농협IRP17[[#This Row],[이자배당액]]-농협IRP17[[#This Row],[현금수입]]</f>
        <v>0</v>
      </c>
      <c r="P2">
        <f>농협IRP17[[#This Row],[매매수익]]+농협IRP17[[#This Row],[이자배당액]]-농협IRP17[[#This Row],[매도비용]]-농협IRP17[[#This Row],[매입비용]]</f>
        <v>0</v>
      </c>
      <c r="Q2">
        <v>12709251</v>
      </c>
      <c r="R2">
        <f>농협IRP17[[#This Row],[입출금]]+농협IRP17[[#This Row],[현금수입]]-농협IRP17[[#This Row],[현금지출]]</f>
        <v>0</v>
      </c>
      <c r="S2">
        <f>SUM($R$2:R2)</f>
        <v>0</v>
      </c>
      <c r="U2">
        <v>12709251</v>
      </c>
    </row>
    <row r="3" spans="1:21" x14ac:dyDescent="0.3">
      <c r="A3" s="3">
        <v>45345</v>
      </c>
      <c r="B3" s="31" t="s">
        <v>504</v>
      </c>
      <c r="C3" t="str">
        <f>VLOOKUP(농협IRP17[[#This Row],[종목코드]],연금종목정보[],2,FALSE)</f>
        <v>엔투현금</v>
      </c>
      <c r="D3" t="str">
        <f>VLOOKUP(농협IRP17[[#This Row],[종목코드]],연금종목정보[],4,FALSE)</f>
        <v>엔투저축연금</v>
      </c>
      <c r="E3">
        <v>0</v>
      </c>
      <c r="F3">
        <v>0</v>
      </c>
      <c r="G3">
        <v>0</v>
      </c>
      <c r="H3" s="5">
        <f>농협IRP17[[#This Row],[현금지출]]-농협IRP17[[#This Row],[매입액]]</f>
        <v>0</v>
      </c>
      <c r="I3">
        <v>0</v>
      </c>
      <c r="J3">
        <v>12628340</v>
      </c>
      <c r="K3">
        <v>12628340</v>
      </c>
      <c r="L3">
        <v>0</v>
      </c>
      <c r="M3">
        <v>12628340</v>
      </c>
      <c r="N3" s="5">
        <f>농협IRP17[[#This Row],[매도액]]-농협IRP17[[#This Row],[매도원금]]</f>
        <v>0</v>
      </c>
      <c r="O3" s="5">
        <f>농협IRP17[[#This Row],[매도액]]+농협IRP17[[#This Row],[이자배당액]]-농협IRP17[[#This Row],[현금수입]]</f>
        <v>0</v>
      </c>
      <c r="P3" s="5">
        <f>농협IRP17[[#This Row],[매매수익]]+농협IRP17[[#This Row],[이자배당액]]-농협IRP17[[#This Row],[매도비용]]-농협IRP17[[#This Row],[매입비용]]</f>
        <v>0</v>
      </c>
      <c r="R3" s="5">
        <f>농협IRP17[[#This Row],[입출금]]+농협IRP17[[#This Row],[현금수입]]-농협IRP17[[#This Row],[현금지출]]</f>
        <v>12628340</v>
      </c>
      <c r="S3" s="5">
        <f>SUM($R$2:R3)</f>
        <v>12628340</v>
      </c>
      <c r="U3">
        <v>12628340</v>
      </c>
    </row>
    <row r="4" spans="1:21" x14ac:dyDescent="0.3">
      <c r="A4" s="3">
        <v>45345</v>
      </c>
      <c r="B4" s="31" t="s">
        <v>505</v>
      </c>
      <c r="C4" t="str">
        <f>VLOOKUP(농협IRP17[[#This Row],[종목코드]],연금종목정보[],2,FALSE)</f>
        <v>국내채권 중기</v>
      </c>
      <c r="D4" t="str">
        <f>VLOOKUP(농협IRP17[[#This Row],[종목코드]],연금종목정보[],4,FALSE)</f>
        <v>엔투저축연금</v>
      </c>
      <c r="E4">
        <v>11</v>
      </c>
      <c r="F4">
        <v>651200</v>
      </c>
      <c r="G4">
        <v>651260</v>
      </c>
      <c r="H4">
        <f>농협IRP17[[#This Row],[현금지출]]-농협IRP17[[#This Row],[매입액]]</f>
        <v>60</v>
      </c>
      <c r="I4">
        <v>0</v>
      </c>
      <c r="J4">
        <v>0</v>
      </c>
      <c r="K4">
        <v>0</v>
      </c>
      <c r="L4">
        <v>0</v>
      </c>
      <c r="M4">
        <v>0</v>
      </c>
      <c r="N4">
        <f>농협IRP17[[#This Row],[매도액]]-농협IRP17[[#This Row],[매도원금]]</f>
        <v>0</v>
      </c>
      <c r="O4">
        <f>농협IRP17[[#This Row],[매도액]]+농협IRP17[[#This Row],[이자배당액]]-농협IRP17[[#This Row],[현금수입]]</f>
        <v>0</v>
      </c>
      <c r="P4">
        <f>농협IRP17[[#This Row],[매매수익]]+농협IRP17[[#This Row],[이자배당액]]-농협IRP17[[#This Row],[매도비용]]-농협IRP17[[#This Row],[매입비용]]</f>
        <v>-60</v>
      </c>
      <c r="R4">
        <f>농협IRP17[[#This Row],[입출금]]+농협IRP17[[#This Row],[현금수입]]-농협IRP17[[#This Row],[현금지출]]</f>
        <v>-651260</v>
      </c>
      <c r="S4">
        <f>SUM($R$2:R4)</f>
        <v>11977080</v>
      </c>
      <c r="U4">
        <f>U2-U3</f>
        <v>80911</v>
      </c>
    </row>
    <row r="5" spans="1:21" x14ac:dyDescent="0.3">
      <c r="A5" s="3">
        <v>45345</v>
      </c>
      <c r="B5" s="31" t="s">
        <v>506</v>
      </c>
      <c r="C5" t="str">
        <f>VLOOKUP(농협IRP17[[#This Row],[종목코드]],연금종목정보[],2,FALSE)</f>
        <v>국내채권 단기</v>
      </c>
      <c r="D5" t="str">
        <f>VLOOKUP(농협IRP17[[#This Row],[종목코드]],연금종목정보[],4,FALSE)</f>
        <v>엔투저축연금</v>
      </c>
      <c r="E5">
        <v>11</v>
      </c>
      <c r="F5">
        <v>1196195</v>
      </c>
      <c r="G5">
        <v>1196305</v>
      </c>
      <c r="H5">
        <f>농협IRP17[[#This Row],[현금지출]]-농협IRP17[[#This Row],[매입액]]</f>
        <v>110</v>
      </c>
      <c r="I5">
        <v>0</v>
      </c>
      <c r="J5">
        <v>0</v>
      </c>
      <c r="K5">
        <v>0</v>
      </c>
      <c r="L5">
        <v>0</v>
      </c>
      <c r="M5">
        <v>0</v>
      </c>
      <c r="N5">
        <f>농협IRP17[[#This Row],[매도액]]-농협IRP17[[#This Row],[매도원금]]</f>
        <v>0</v>
      </c>
      <c r="O5">
        <f>농협IRP17[[#This Row],[매도액]]+농협IRP17[[#This Row],[이자배당액]]-농협IRP17[[#This Row],[현금수입]]</f>
        <v>0</v>
      </c>
      <c r="P5">
        <f>농협IRP17[[#This Row],[매매수익]]+농협IRP17[[#This Row],[이자배당액]]-농협IRP17[[#This Row],[매도비용]]-농협IRP17[[#This Row],[매입비용]]</f>
        <v>-110</v>
      </c>
      <c r="R5">
        <f>농협IRP17[[#This Row],[입출금]]+농협IRP17[[#This Row],[현금수입]]-농협IRP17[[#This Row],[현금지출]]</f>
        <v>-1196305</v>
      </c>
      <c r="S5">
        <f>SUM($R$2:R5)</f>
        <v>10780775</v>
      </c>
    </row>
    <row r="6" spans="1:21" x14ac:dyDescent="0.3">
      <c r="A6" s="3">
        <v>45345</v>
      </c>
      <c r="B6" s="31" t="s">
        <v>507</v>
      </c>
      <c r="C6" t="str">
        <f>VLOOKUP(농협IRP17[[#This Row],[종목코드]],연금종목정보[],2,FALSE)</f>
        <v>미국채권 종합</v>
      </c>
      <c r="D6" t="str">
        <f>VLOOKUP(농협IRP17[[#This Row],[종목코드]],연금종목정보[],4,FALSE)</f>
        <v>엔투저축연금</v>
      </c>
      <c r="E6">
        <v>13</v>
      </c>
      <c r="F6">
        <f>889155+394980</f>
        <v>1284135</v>
      </c>
      <c r="G6">
        <f>889275+394980</f>
        <v>1284255</v>
      </c>
      <c r="H6">
        <f>농협IRP17[[#This Row],[현금지출]]-농협IRP17[[#This Row],[매입액]]</f>
        <v>120</v>
      </c>
      <c r="I6">
        <v>0</v>
      </c>
      <c r="J6">
        <v>0</v>
      </c>
      <c r="K6">
        <v>0</v>
      </c>
      <c r="L6">
        <v>0</v>
      </c>
      <c r="M6">
        <v>0</v>
      </c>
      <c r="N6">
        <f>농협IRP17[[#This Row],[매도액]]-농협IRP17[[#This Row],[매도원금]]</f>
        <v>0</v>
      </c>
      <c r="O6">
        <f>농협IRP17[[#This Row],[매도액]]+농협IRP17[[#This Row],[이자배당액]]-농협IRP17[[#This Row],[현금수입]]</f>
        <v>0</v>
      </c>
      <c r="P6">
        <f>농협IRP17[[#This Row],[매매수익]]+농협IRP17[[#This Row],[이자배당액]]-농협IRP17[[#This Row],[매도비용]]-농협IRP17[[#This Row],[매입비용]]</f>
        <v>-120</v>
      </c>
      <c r="R6">
        <f>농협IRP17[[#This Row],[입출금]]+농협IRP17[[#This Row],[현금수입]]-농협IRP17[[#This Row],[현금지출]]</f>
        <v>-1284255</v>
      </c>
      <c r="S6">
        <f>SUM($R$2:R6)</f>
        <v>9496520</v>
      </c>
    </row>
    <row r="7" spans="1:21" x14ac:dyDescent="0.3">
      <c r="A7" s="3">
        <v>45345</v>
      </c>
      <c r="B7" s="31" t="s">
        <v>508</v>
      </c>
      <c r="C7" t="str">
        <f>VLOOKUP(농협IRP17[[#This Row],[종목코드]],연금종목정보[],2,FALSE)</f>
        <v>금</v>
      </c>
      <c r="D7" t="str">
        <f>VLOOKUP(농협IRP17[[#This Row],[종목코드]],연금종목정보[],4,FALSE)</f>
        <v>엔투저축연금</v>
      </c>
      <c r="E7">
        <v>103</v>
      </c>
      <c r="F7">
        <v>1281320</v>
      </c>
      <c r="G7">
        <v>1281440</v>
      </c>
      <c r="H7">
        <f>농협IRP17[[#This Row],[현금지출]]-농협IRP17[[#This Row],[매입액]]</f>
        <v>120</v>
      </c>
      <c r="I7">
        <v>0</v>
      </c>
      <c r="J7">
        <v>0</v>
      </c>
      <c r="K7">
        <v>0</v>
      </c>
      <c r="L7">
        <v>0</v>
      </c>
      <c r="M7">
        <v>0</v>
      </c>
      <c r="N7">
        <f>농협IRP17[[#This Row],[매도액]]-농협IRP17[[#This Row],[매도원금]]</f>
        <v>0</v>
      </c>
      <c r="O7">
        <f>농협IRP17[[#This Row],[매도액]]+농협IRP17[[#This Row],[이자배당액]]-농협IRP17[[#This Row],[현금수입]]</f>
        <v>0</v>
      </c>
      <c r="P7">
        <f>농협IRP17[[#This Row],[매매수익]]+농협IRP17[[#This Row],[이자배당액]]-농협IRP17[[#This Row],[매도비용]]-농협IRP17[[#This Row],[매입비용]]</f>
        <v>-120</v>
      </c>
      <c r="R7">
        <f>농협IRP17[[#This Row],[입출금]]+농협IRP17[[#This Row],[현금수입]]-농협IRP17[[#This Row],[현금지출]]</f>
        <v>-1281440</v>
      </c>
      <c r="S7">
        <f>SUM($R$2:R7)</f>
        <v>8215080</v>
      </c>
    </row>
    <row r="8" spans="1:21" x14ac:dyDescent="0.3">
      <c r="A8" s="3">
        <v>45345</v>
      </c>
      <c r="B8" s="31" t="s">
        <v>509</v>
      </c>
      <c r="C8" t="str">
        <f>VLOOKUP(농협IRP17[[#This Row],[종목코드]],연금종목정보[],2,FALSE)</f>
        <v>리츠</v>
      </c>
      <c r="D8" t="str">
        <f>VLOOKUP(농협IRP17[[#This Row],[종목코드]],연금종목정보[],4,FALSE)</f>
        <v>엔투저축연금</v>
      </c>
      <c r="E8">
        <v>290</v>
      </c>
      <c r="F8">
        <v>1274550</v>
      </c>
      <c r="G8">
        <v>1274670</v>
      </c>
      <c r="H8">
        <f>농협IRP17[[#This Row],[현금지출]]-농협IRP17[[#This Row],[매입액]]</f>
        <v>120</v>
      </c>
      <c r="I8">
        <v>0</v>
      </c>
      <c r="J8">
        <v>0</v>
      </c>
      <c r="K8">
        <v>0</v>
      </c>
      <c r="L8">
        <v>0</v>
      </c>
      <c r="M8">
        <v>0</v>
      </c>
      <c r="N8">
        <f>농협IRP17[[#This Row],[매도액]]-농협IRP17[[#This Row],[매도원금]]</f>
        <v>0</v>
      </c>
      <c r="O8">
        <f>농협IRP17[[#This Row],[매도액]]+농협IRP17[[#This Row],[이자배당액]]-농협IRP17[[#This Row],[현금수입]]</f>
        <v>0</v>
      </c>
      <c r="P8">
        <f>농협IRP17[[#This Row],[매매수익]]+농협IRP17[[#This Row],[이자배당액]]-농협IRP17[[#This Row],[매도비용]]-농협IRP17[[#This Row],[매입비용]]</f>
        <v>-120</v>
      </c>
      <c r="R8">
        <f>농협IRP17[[#This Row],[입출금]]+농협IRP17[[#This Row],[현금수입]]-농협IRP17[[#This Row],[현금지출]]</f>
        <v>-1274670</v>
      </c>
      <c r="S8">
        <f>SUM($R$2:R8)</f>
        <v>6940410</v>
      </c>
    </row>
    <row r="9" spans="1:21" x14ac:dyDescent="0.3">
      <c r="A9" s="3">
        <v>45345</v>
      </c>
      <c r="B9" s="31" t="s">
        <v>510</v>
      </c>
      <c r="C9" t="str">
        <f>VLOOKUP(농협IRP17[[#This Row],[종목코드]],연금종목정보[],2,FALSE)</f>
        <v>국내주식 대형주</v>
      </c>
      <c r="D9" t="str">
        <f>VLOOKUP(농협IRP17[[#This Row],[종목코드]],연금종목정보[],4,FALSE)</f>
        <v>엔투저축연금</v>
      </c>
      <c r="E9">
        <v>63</v>
      </c>
      <c r="F9">
        <v>1260315</v>
      </c>
      <c r="G9">
        <v>1260435</v>
      </c>
      <c r="H9">
        <f>농협IRP17[[#This Row],[현금지출]]-농협IRP17[[#This Row],[매입액]]</f>
        <v>120</v>
      </c>
      <c r="I9">
        <v>0</v>
      </c>
      <c r="J9">
        <v>0</v>
      </c>
      <c r="K9">
        <v>0</v>
      </c>
      <c r="L9">
        <v>0</v>
      </c>
      <c r="M9">
        <v>0</v>
      </c>
      <c r="N9">
        <f>농협IRP17[[#This Row],[매도액]]-농협IRP17[[#This Row],[매도원금]]</f>
        <v>0</v>
      </c>
      <c r="O9">
        <f>농협IRP17[[#This Row],[매도액]]+농협IRP17[[#This Row],[이자배당액]]-농협IRP17[[#This Row],[현금수입]]</f>
        <v>0</v>
      </c>
      <c r="P9">
        <f>농협IRP17[[#This Row],[매매수익]]+농협IRP17[[#This Row],[이자배당액]]-농협IRP17[[#This Row],[매도비용]]-농협IRP17[[#This Row],[매입비용]]</f>
        <v>-120</v>
      </c>
      <c r="R9">
        <f>농협IRP17[[#This Row],[입출금]]+농협IRP17[[#This Row],[현금수입]]-농협IRP17[[#This Row],[현금지출]]</f>
        <v>-1260435</v>
      </c>
      <c r="S9">
        <f>SUM($R$2:R9)</f>
        <v>5679975</v>
      </c>
    </row>
    <row r="10" spans="1:21" x14ac:dyDescent="0.3">
      <c r="A10" s="3">
        <v>45345</v>
      </c>
      <c r="B10" s="31" t="s">
        <v>511</v>
      </c>
      <c r="C10" t="str">
        <f>VLOOKUP(농협IRP17[[#This Row],[종목코드]],연금종목정보[],2,FALSE)</f>
        <v>국내주식 반도체</v>
      </c>
      <c r="D10" t="str">
        <f>VLOOKUP(농협IRP17[[#This Row],[종목코드]],연금종목정보[],4,FALSE)</f>
        <v>엔투저축연금</v>
      </c>
      <c r="E10">
        <v>47</v>
      </c>
      <c r="F10">
        <v>629800</v>
      </c>
      <c r="G10">
        <v>629860</v>
      </c>
      <c r="H10">
        <f>농협IRP17[[#This Row],[현금지출]]-농협IRP17[[#This Row],[매입액]]</f>
        <v>60</v>
      </c>
      <c r="I10">
        <v>0</v>
      </c>
      <c r="J10">
        <v>0</v>
      </c>
      <c r="K10">
        <v>0</v>
      </c>
      <c r="L10">
        <v>0</v>
      </c>
      <c r="M10">
        <v>0</v>
      </c>
      <c r="N10">
        <f>농협IRP17[[#This Row],[매도액]]-농협IRP17[[#This Row],[매도원금]]</f>
        <v>0</v>
      </c>
      <c r="O10">
        <f>농협IRP17[[#This Row],[매도액]]+농협IRP17[[#This Row],[이자배당액]]-농협IRP17[[#This Row],[현금수입]]</f>
        <v>0</v>
      </c>
      <c r="P10">
        <f>농협IRP17[[#This Row],[매매수익]]+농협IRP17[[#This Row],[이자배당액]]-농협IRP17[[#This Row],[매도비용]]-농협IRP17[[#This Row],[매입비용]]</f>
        <v>-60</v>
      </c>
      <c r="R10">
        <f>농협IRP17[[#This Row],[입출금]]+농협IRP17[[#This Row],[현금수입]]-농협IRP17[[#This Row],[현금지출]]</f>
        <v>-629860</v>
      </c>
      <c r="S10">
        <f>SUM($R$2:R10)</f>
        <v>5050115</v>
      </c>
    </row>
    <row r="11" spans="1:21" x14ac:dyDescent="0.3">
      <c r="A11" s="3">
        <v>45345</v>
      </c>
      <c r="B11" s="31" t="s">
        <v>512</v>
      </c>
      <c r="C11" t="str">
        <f>VLOOKUP(농협IRP17[[#This Row],[종목코드]],연금종목정보[],2,FALSE)</f>
        <v>미국채권 투자등급</v>
      </c>
      <c r="D11" t="str">
        <f>VLOOKUP(농협IRP17[[#This Row],[종목코드]],연금종목정보[],4,FALSE)</f>
        <v>엔투저축연금</v>
      </c>
      <c r="E11">
        <v>120</v>
      </c>
      <c r="F11">
        <v>1281000</v>
      </c>
      <c r="G11">
        <v>1281120</v>
      </c>
      <c r="H11">
        <f>농협IRP17[[#This Row],[현금지출]]-농협IRP17[[#This Row],[매입액]]</f>
        <v>120</v>
      </c>
      <c r="I11">
        <v>0</v>
      </c>
      <c r="J11">
        <v>0</v>
      </c>
      <c r="K11">
        <v>0</v>
      </c>
      <c r="L11">
        <v>0</v>
      </c>
      <c r="M11">
        <v>0</v>
      </c>
      <c r="N11">
        <f>농협IRP17[[#This Row],[매도액]]-농협IRP17[[#This Row],[매도원금]]</f>
        <v>0</v>
      </c>
      <c r="O11">
        <f>농협IRP17[[#This Row],[매도액]]+농협IRP17[[#This Row],[이자배당액]]-농협IRP17[[#This Row],[현금수입]]</f>
        <v>0</v>
      </c>
      <c r="P11">
        <f>농협IRP17[[#This Row],[매매수익]]+농협IRP17[[#This Row],[이자배당액]]-농협IRP17[[#This Row],[매도비용]]-농협IRP17[[#This Row],[매입비용]]</f>
        <v>-120</v>
      </c>
      <c r="R11">
        <f>농협IRP17[[#This Row],[입출금]]+농협IRP17[[#This Row],[현금수입]]-농협IRP17[[#This Row],[현금지출]]</f>
        <v>-1281120</v>
      </c>
      <c r="S11">
        <f>SUM($R$2:R11)</f>
        <v>3768995</v>
      </c>
    </row>
    <row r="12" spans="1:21" x14ac:dyDescent="0.3">
      <c r="A12" s="3">
        <v>45345</v>
      </c>
      <c r="B12" s="31" t="s">
        <v>436</v>
      </c>
      <c r="C12" t="str">
        <f>VLOOKUP(농협IRP17[[#This Row],[종목코드]],연금종목정보[],2,FALSE)</f>
        <v>미국주식 S&amp;P</v>
      </c>
      <c r="D12" t="str">
        <f>VLOOKUP(농협IRP17[[#This Row],[종목코드]],연금종목정보[],4,FALSE)</f>
        <v>엔투저축연금</v>
      </c>
      <c r="E12">
        <v>108</v>
      </c>
      <c r="F12">
        <v>1270620</v>
      </c>
      <c r="G12">
        <v>1270740</v>
      </c>
      <c r="H12">
        <f>농협IRP17[[#This Row],[현금지출]]-농협IRP17[[#This Row],[매입액]]</f>
        <v>120</v>
      </c>
      <c r="I12">
        <v>0</v>
      </c>
      <c r="J12">
        <v>0</v>
      </c>
      <c r="K12">
        <v>0</v>
      </c>
      <c r="L12">
        <v>0</v>
      </c>
      <c r="M12">
        <v>0</v>
      </c>
      <c r="N12">
        <f>농협IRP17[[#This Row],[매도액]]-농협IRP17[[#This Row],[매도원금]]</f>
        <v>0</v>
      </c>
      <c r="O12">
        <f>농협IRP17[[#This Row],[매도액]]+농협IRP17[[#This Row],[이자배당액]]-농협IRP17[[#This Row],[현금수입]]</f>
        <v>0</v>
      </c>
      <c r="P12">
        <f>농협IRP17[[#This Row],[매매수익]]+농협IRP17[[#This Row],[이자배당액]]-농협IRP17[[#This Row],[매도비용]]-농협IRP17[[#This Row],[매입비용]]</f>
        <v>-120</v>
      </c>
      <c r="R12">
        <f>농협IRP17[[#This Row],[입출금]]+농협IRP17[[#This Row],[현금수입]]-농협IRP17[[#This Row],[현금지출]]</f>
        <v>-1270740</v>
      </c>
      <c r="S12">
        <f>SUM($R$2:R12)</f>
        <v>2498255</v>
      </c>
    </row>
    <row r="13" spans="1:21" x14ac:dyDescent="0.3">
      <c r="A13" s="3">
        <v>45345</v>
      </c>
      <c r="B13" s="31" t="s">
        <v>437</v>
      </c>
      <c r="C13" t="str">
        <f>VLOOKUP(농협IRP17[[#This Row],[종목코드]],연금종목정보[],2,FALSE)</f>
        <v>글로벌 인공지능</v>
      </c>
      <c r="D13" t="str">
        <f>VLOOKUP(농협IRP17[[#This Row],[종목코드]],연금종목정보[],4,FALSE)</f>
        <v>엔투저축연금</v>
      </c>
      <c r="E13">
        <v>73</v>
      </c>
      <c r="F13">
        <v>1235890</v>
      </c>
      <c r="G13">
        <v>1236010</v>
      </c>
      <c r="H13">
        <f>농협IRP17[[#This Row],[현금지출]]-농협IRP17[[#This Row],[매입액]]</f>
        <v>120</v>
      </c>
      <c r="I13">
        <v>0</v>
      </c>
      <c r="J13">
        <v>0</v>
      </c>
      <c r="K13">
        <v>0</v>
      </c>
      <c r="L13">
        <v>0</v>
      </c>
      <c r="M13">
        <v>0</v>
      </c>
      <c r="N13">
        <f>농협IRP17[[#This Row],[매도액]]-농협IRP17[[#This Row],[매도원금]]</f>
        <v>0</v>
      </c>
      <c r="O13">
        <f>농협IRP17[[#This Row],[매도액]]+농협IRP17[[#This Row],[이자배당액]]-농협IRP17[[#This Row],[현금수입]]</f>
        <v>0</v>
      </c>
      <c r="P13">
        <f>농협IRP17[[#This Row],[매매수익]]+농협IRP17[[#This Row],[이자배당액]]-농협IRP17[[#This Row],[매도비용]]-농협IRP17[[#This Row],[매입비용]]</f>
        <v>-120</v>
      </c>
      <c r="R13">
        <f>농협IRP17[[#This Row],[입출금]]+농협IRP17[[#This Row],[현금수입]]-농협IRP17[[#This Row],[현금지출]]</f>
        <v>-1236010</v>
      </c>
      <c r="S13">
        <f>SUM($R$2:R13)</f>
        <v>1262245</v>
      </c>
    </row>
    <row r="14" spans="1:21" x14ac:dyDescent="0.3">
      <c r="A14" s="3">
        <v>45345</v>
      </c>
      <c r="B14" s="31" t="s">
        <v>438</v>
      </c>
      <c r="C14" t="str">
        <f>VLOOKUP(농협IRP17[[#This Row],[종목코드]],연금종목정보[],2,FALSE)</f>
        <v>미국배당주</v>
      </c>
      <c r="D14" t="str">
        <f>VLOOKUP(농협IRP17[[#This Row],[종목코드]],연금종목정보[],4,FALSE)</f>
        <v>엔투저축연금</v>
      </c>
      <c r="E14">
        <v>115</v>
      </c>
      <c r="F14">
        <v>1262125</v>
      </c>
      <c r="G14">
        <v>1262245</v>
      </c>
      <c r="H14">
        <f>농협IRP17[[#This Row],[현금지출]]-농협IRP17[[#This Row],[매입액]]</f>
        <v>120</v>
      </c>
      <c r="I14">
        <v>0</v>
      </c>
      <c r="J14">
        <v>0</v>
      </c>
      <c r="K14">
        <v>0</v>
      </c>
      <c r="L14">
        <v>0</v>
      </c>
      <c r="M14">
        <v>0</v>
      </c>
      <c r="N14">
        <f>농협IRP17[[#This Row],[매도액]]-농협IRP17[[#This Row],[매도원금]]</f>
        <v>0</v>
      </c>
      <c r="O14">
        <f>농협IRP17[[#This Row],[매도액]]+농협IRP17[[#This Row],[이자배당액]]-농협IRP17[[#This Row],[현금수입]]</f>
        <v>0</v>
      </c>
      <c r="P14">
        <f>농협IRP17[[#This Row],[매매수익]]+농협IRP17[[#This Row],[이자배당액]]-농협IRP17[[#This Row],[매도비용]]-농협IRP17[[#This Row],[매입비용]]</f>
        <v>-120</v>
      </c>
      <c r="R14">
        <f>농협IRP17[[#This Row],[입출금]]+농협IRP17[[#This Row],[현금수입]]-농협IRP17[[#This Row],[현금지출]]</f>
        <v>-1262245</v>
      </c>
      <c r="S14">
        <f>SUM($R$2:R14)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40"/>
  <sheetViews>
    <sheetView workbookViewId="0">
      <pane xSplit="4" ySplit="1" topLeftCell="E17" activePane="bottomRight" state="frozen"/>
      <selection activeCell="A59" sqref="A59"/>
      <selection pane="topRight" activeCell="F1" sqref="F1"/>
      <selection pane="bottomLeft" activeCell="A69" sqref="A69"/>
      <selection pane="bottomRight" activeCell="L38" sqref="L38:M40"/>
    </sheetView>
  </sheetViews>
  <sheetFormatPr defaultRowHeight="16.5" x14ac:dyDescent="0.3"/>
  <cols>
    <col min="1" max="1" width="11.125" style="91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91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91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150.4</v>
      </c>
      <c r="G2" s="61">
        <v>150.4</v>
      </c>
      <c r="H2" s="61">
        <f>불리오[[#This Row],[현금지출]]-불리오[[#This Row],[매입액]]</f>
        <v>0</v>
      </c>
      <c r="I2" s="12">
        <v>0</v>
      </c>
      <c r="J2" s="6">
        <v>0</v>
      </c>
      <c r="K2" s="6">
        <v>0</v>
      </c>
      <c r="L2" s="11">
        <v>0</v>
      </c>
      <c r="M2" s="6">
        <v>0</v>
      </c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150.4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91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79.960000000000008</v>
      </c>
      <c r="G3" s="61">
        <v>79.960000000000008</v>
      </c>
      <c r="H3" s="61">
        <f>불리오[[#This Row],[현금지출]]-불리오[[#This Row],[매입액]]</f>
        <v>0</v>
      </c>
      <c r="I3" s="12">
        <v>0</v>
      </c>
      <c r="J3" s="6">
        <v>0</v>
      </c>
      <c r="K3" s="6">
        <v>0</v>
      </c>
      <c r="L3" s="11">
        <v>0</v>
      </c>
      <c r="M3" s="6">
        <v>0</v>
      </c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79.960000000000008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91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233</v>
      </c>
      <c r="G4" s="61">
        <v>233</v>
      </c>
      <c r="H4" s="61">
        <f>불리오[[#This Row],[현금지출]]-불리오[[#This Row],[매입액]]</f>
        <v>0</v>
      </c>
      <c r="I4" s="12">
        <v>0</v>
      </c>
      <c r="J4" s="6">
        <v>0</v>
      </c>
      <c r="K4" s="6">
        <v>0</v>
      </c>
      <c r="L4" s="11">
        <v>0</v>
      </c>
      <c r="M4" s="6">
        <v>0</v>
      </c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233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91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213.54</v>
      </c>
      <c r="G5" s="61">
        <v>213.54</v>
      </c>
      <c r="H5" s="61">
        <f>불리오[[#This Row],[현금지출]]-불리오[[#This Row],[매입액]]</f>
        <v>0</v>
      </c>
      <c r="I5" s="12">
        <v>0</v>
      </c>
      <c r="J5" s="6">
        <v>0</v>
      </c>
      <c r="K5" s="6">
        <v>0</v>
      </c>
      <c r="L5" s="11">
        <v>0</v>
      </c>
      <c r="M5" s="6">
        <v>0</v>
      </c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213.54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91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241.01</v>
      </c>
      <c r="G6" s="61">
        <v>241.01</v>
      </c>
      <c r="H6" s="61">
        <f>불리오[[#This Row],[현금지출]]-불리오[[#This Row],[매입액]]</f>
        <v>0</v>
      </c>
      <c r="I6" s="12">
        <v>0</v>
      </c>
      <c r="J6" s="6">
        <v>0</v>
      </c>
      <c r="K6" s="6">
        <v>0</v>
      </c>
      <c r="L6" s="11">
        <v>0</v>
      </c>
      <c r="M6" s="6">
        <v>0</v>
      </c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241.01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91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120.1099999999999</v>
      </c>
      <c r="G7" s="61">
        <v>120.1099999999999</v>
      </c>
      <c r="H7" s="61">
        <f>불리오[[#This Row],[현금지출]]-불리오[[#This Row],[매입액]]</f>
        <v>0</v>
      </c>
      <c r="I7" s="12">
        <v>0</v>
      </c>
      <c r="J7" s="6">
        <v>0</v>
      </c>
      <c r="K7" s="6">
        <v>0</v>
      </c>
      <c r="L7" s="11">
        <v>0</v>
      </c>
      <c r="M7" s="6">
        <v>0</v>
      </c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120.1099999999999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91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69.140000000000015</v>
      </c>
      <c r="G8" s="61">
        <v>69.140000000000015</v>
      </c>
      <c r="H8" s="61">
        <f>불리오[[#This Row],[현금지출]]-불리오[[#This Row],[매입액]]</f>
        <v>0</v>
      </c>
      <c r="I8" s="12">
        <v>0</v>
      </c>
      <c r="J8" s="6">
        <v>0</v>
      </c>
      <c r="K8" s="6">
        <v>0</v>
      </c>
      <c r="L8" s="11">
        <v>0</v>
      </c>
      <c r="M8" s="6">
        <v>0</v>
      </c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69.140000000000015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91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228.99</v>
      </c>
      <c r="G9" s="61">
        <v>228.99</v>
      </c>
      <c r="H9" s="61">
        <f>불리오[[#This Row],[현금지출]]-불리오[[#This Row],[매입액]]</f>
        <v>0</v>
      </c>
      <c r="I9" s="12">
        <v>0</v>
      </c>
      <c r="J9" s="6">
        <v>0</v>
      </c>
      <c r="K9" s="6">
        <v>0</v>
      </c>
      <c r="L9" s="11">
        <v>0</v>
      </c>
      <c r="M9" s="6">
        <v>0</v>
      </c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228.99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91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387.21</v>
      </c>
      <c r="G10" s="61">
        <v>387.21</v>
      </c>
      <c r="H10" s="61">
        <f>불리오[[#This Row],[현금지출]]-불리오[[#This Row],[매입액]]</f>
        <v>0</v>
      </c>
      <c r="I10" s="12">
        <v>0</v>
      </c>
      <c r="J10" s="6">
        <v>0</v>
      </c>
      <c r="K10" s="6">
        <v>0</v>
      </c>
      <c r="L10" s="11">
        <v>0</v>
      </c>
      <c r="M10" s="6">
        <v>0</v>
      </c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387.21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91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516.64</v>
      </c>
      <c r="G11" s="61">
        <v>516.64</v>
      </c>
      <c r="H11" s="61">
        <f>불리오[[#This Row],[현금지출]]-불리오[[#This Row],[매입액]]</f>
        <v>0</v>
      </c>
      <c r="I11" s="12">
        <v>0</v>
      </c>
      <c r="J11" s="6">
        <v>0</v>
      </c>
      <c r="K11" s="6">
        <v>0</v>
      </c>
      <c r="L11" s="11">
        <v>0</v>
      </c>
      <c r="M11" s="6">
        <v>0</v>
      </c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516.64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91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386.09</v>
      </c>
      <c r="G12" s="61">
        <v>386.09</v>
      </c>
      <c r="H12" s="61">
        <f>불리오[[#This Row],[현금지출]]-불리오[[#This Row],[매입액]]</f>
        <v>0</v>
      </c>
      <c r="I12" s="12">
        <v>0</v>
      </c>
      <c r="J12" s="6">
        <v>0</v>
      </c>
      <c r="K12" s="6">
        <v>0</v>
      </c>
      <c r="L12" s="11">
        <v>0</v>
      </c>
      <c r="M12" s="6">
        <v>0</v>
      </c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386.09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91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627.46</v>
      </c>
      <c r="G13" s="61">
        <v>627.46</v>
      </c>
      <c r="H13" s="61">
        <f>불리오[[#This Row],[현금지출]]-불리오[[#This Row],[매입액]]</f>
        <v>0</v>
      </c>
      <c r="I13" s="12">
        <v>0</v>
      </c>
      <c r="J13" s="6">
        <v>0</v>
      </c>
      <c r="K13" s="6">
        <v>0</v>
      </c>
      <c r="L13" s="11">
        <v>0</v>
      </c>
      <c r="M13" s="6">
        <v>0</v>
      </c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627.46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91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380.28</v>
      </c>
      <c r="G14" s="61">
        <v>380.28</v>
      </c>
      <c r="H14" s="61">
        <f>불리오[[#This Row],[현금지출]]-불리오[[#This Row],[매입액]]</f>
        <v>0</v>
      </c>
      <c r="I14" s="12">
        <v>0</v>
      </c>
      <c r="J14" s="6">
        <v>0</v>
      </c>
      <c r="K14" s="6">
        <v>0</v>
      </c>
      <c r="L14" s="11">
        <v>0</v>
      </c>
      <c r="M14" s="6">
        <v>0</v>
      </c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380.28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91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>
        <v>0</v>
      </c>
      <c r="G15" s="61">
        <v>0</v>
      </c>
      <c r="H15" s="61">
        <f>불리오[[#This Row],[현금지출]]-불리오[[#This Row],[매입액]]</f>
        <v>0</v>
      </c>
      <c r="I15" s="12">
        <v>0</v>
      </c>
      <c r="J15" s="6">
        <v>0</v>
      </c>
      <c r="K15" s="6">
        <v>0</v>
      </c>
      <c r="L15" s="11">
        <v>0</v>
      </c>
      <c r="M15" s="6">
        <v>0</v>
      </c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1">
        <f>SUM($R$2:R15)</f>
        <v>212.15999999999991</v>
      </c>
    </row>
    <row r="16" spans="1:19" x14ac:dyDescent="0.3">
      <c r="A16" s="91">
        <v>45328</v>
      </c>
      <c r="B16" s="46" t="s">
        <v>122</v>
      </c>
      <c r="C16" s="1" t="str">
        <f>VLOOKUP(불리오[[#This Row],[종목코드]],표3[],2,FALSE)</f>
        <v>신흥국주식</v>
      </c>
      <c r="D16" s="9" t="str">
        <f>VLOOKUP(불리오[[#This Row],[종목코드]],표3[],4,FALSE)</f>
        <v>SCHWAB EMERGING MARKETS EQUITY ETF</v>
      </c>
      <c r="E16" s="38">
        <v>0</v>
      </c>
      <c r="F16" s="7">
        <v>0</v>
      </c>
      <c r="G16" s="8">
        <v>0</v>
      </c>
      <c r="H16" s="8">
        <f>불리오[[#This Row],[현금지출]]-불리오[[#This Row],[매입액]]</f>
        <v>0</v>
      </c>
      <c r="I16" s="12">
        <v>6</v>
      </c>
      <c r="J16" s="7">
        <v>145.19999999999999</v>
      </c>
      <c r="K16" s="7">
        <v>143.52000000000001</v>
      </c>
      <c r="L16" s="11">
        <v>0</v>
      </c>
      <c r="M16" s="7">
        <v>143.28</v>
      </c>
      <c r="N16" s="11">
        <f>불리오[[#This Row],[매도액]]-불리오[[#This Row],[매도원금]]</f>
        <v>-1.6799999999999784</v>
      </c>
      <c r="O16" s="11">
        <f>불리오[[#This Row],[매도액]]+불리오[[#This Row],[이자배당액]]-불리오[[#This Row],[현금수입]]</f>
        <v>0.24000000000000909</v>
      </c>
      <c r="P16" s="11">
        <f>불리오[[#This Row],[매매수익]]+불리오[[#This Row],[이자배당액]]-불리오[[#This Row],[매도비용]]-불리오[[#This Row],[매입비용]]</f>
        <v>-1.9199999999999875</v>
      </c>
      <c r="Q16" s="90">
        <v>0</v>
      </c>
      <c r="R16" s="12">
        <f>불리오[[#This Row],[입출금]]+불리오[[#This Row],[현금수입]]-불리오[[#This Row],[현금지출]]</f>
        <v>143.28</v>
      </c>
      <c r="S16" s="11">
        <f>SUM($R$2:R16)</f>
        <v>355.43999999999994</v>
      </c>
    </row>
    <row r="17" spans="1:19" x14ac:dyDescent="0.3">
      <c r="A17" s="91">
        <v>45328</v>
      </c>
      <c r="B17" s="46" t="s">
        <v>123</v>
      </c>
      <c r="C17" s="1" t="str">
        <f>VLOOKUP(불리오[[#This Row],[종목코드]],표3[],2,FALSE)</f>
        <v>전세계주식</v>
      </c>
      <c r="D17" s="9" t="str">
        <f>VLOOKUP(불리오[[#This Row],[종목코드]],표3[],4,FALSE)</f>
        <v>SPDR INDEX SHARES FUNDS PORTFOLIO MSCI GLOBAL STOCK MARKET E</v>
      </c>
      <c r="E17" s="38">
        <v>0</v>
      </c>
      <c r="F17" s="7">
        <v>0</v>
      </c>
      <c r="G17" s="8">
        <v>0</v>
      </c>
      <c r="H17" s="8">
        <f>불리오[[#This Row],[현금지출]]-불리오[[#This Row],[매입액]]</f>
        <v>0</v>
      </c>
      <c r="I17" s="12">
        <v>5</v>
      </c>
      <c r="J17" s="7">
        <v>258.32</v>
      </c>
      <c r="K17" s="7">
        <v>278.10000000000002</v>
      </c>
      <c r="L17" s="11">
        <v>0</v>
      </c>
      <c r="M17" s="7">
        <v>277.63</v>
      </c>
      <c r="N17" s="11">
        <f>불리오[[#This Row],[매도액]]-불리오[[#This Row],[매도원금]]</f>
        <v>19.78000000000003</v>
      </c>
      <c r="O17" s="11">
        <f>불리오[[#This Row],[매도액]]+불리오[[#This Row],[이자배당액]]-불리오[[#This Row],[현금수입]]</f>
        <v>0.47000000000002728</v>
      </c>
      <c r="P17" s="11">
        <f>불리오[[#This Row],[매매수익]]+불리오[[#This Row],[이자배당액]]-불리오[[#This Row],[매도비용]]-불리오[[#This Row],[매입비용]]</f>
        <v>19.310000000000002</v>
      </c>
      <c r="Q17" s="90">
        <v>0</v>
      </c>
      <c r="R17" s="12">
        <f>불리오[[#This Row],[입출금]]+불리오[[#This Row],[현금수입]]-불리오[[#This Row],[현금지출]]</f>
        <v>277.63</v>
      </c>
      <c r="S17" s="11">
        <f>SUM($R$2:R17)</f>
        <v>633.06999999999994</v>
      </c>
    </row>
    <row r="18" spans="1:19" x14ac:dyDescent="0.3">
      <c r="A18" s="91">
        <v>45328</v>
      </c>
      <c r="B18" s="46" t="s">
        <v>125</v>
      </c>
      <c r="C18" s="1" t="str">
        <f>VLOOKUP(불리오[[#This Row],[종목코드]],표3[],2,FALSE)</f>
        <v>미국주식</v>
      </c>
      <c r="D18" s="9" t="str">
        <f>VLOOKUP(불리오[[#This Row],[종목코드]],표3[],4,FALSE)</f>
        <v>SPDR PORTFOLIO S&amp;P 500 ETF</v>
      </c>
      <c r="E18" s="38">
        <v>0</v>
      </c>
      <c r="F18" s="7">
        <v>0</v>
      </c>
      <c r="G18" s="8">
        <v>0</v>
      </c>
      <c r="H18" s="8">
        <f>불리오[[#This Row],[현금지출]]-불리오[[#This Row],[매입액]]</f>
        <v>0</v>
      </c>
      <c r="I18" s="12">
        <v>5</v>
      </c>
      <c r="J18" s="7">
        <v>261.44</v>
      </c>
      <c r="K18" s="7">
        <v>285.13</v>
      </c>
      <c r="L18" s="11">
        <v>0</v>
      </c>
      <c r="M18" s="7">
        <v>284.64999999999998</v>
      </c>
      <c r="N18" s="11">
        <f>불리오[[#This Row],[매도액]]-불리오[[#This Row],[매도원금]]</f>
        <v>23.689999999999998</v>
      </c>
      <c r="O18" s="11">
        <f>불리오[[#This Row],[매도액]]+불리오[[#This Row],[이자배당액]]-불리오[[#This Row],[현금수입]]</f>
        <v>0.48000000000001819</v>
      </c>
      <c r="P18" s="11">
        <f>불리오[[#This Row],[매매수익]]+불리오[[#This Row],[이자배당액]]-불리오[[#This Row],[매도비용]]-불리오[[#This Row],[매입비용]]</f>
        <v>23.20999999999998</v>
      </c>
      <c r="Q18" s="90">
        <v>0</v>
      </c>
      <c r="R18" s="12">
        <f>불리오[[#This Row],[입출금]]+불리오[[#This Row],[현금수입]]-불리오[[#This Row],[현금지출]]</f>
        <v>284.64999999999998</v>
      </c>
      <c r="S18" s="11">
        <f>SUM($R$2:R18)</f>
        <v>917.71999999999991</v>
      </c>
    </row>
    <row r="19" spans="1:19" x14ac:dyDescent="0.3">
      <c r="A19" s="91">
        <v>45328</v>
      </c>
      <c r="B19" s="46" t="s">
        <v>128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38">
        <v>0</v>
      </c>
      <c r="F19" s="7">
        <v>0</v>
      </c>
      <c r="G19" s="8">
        <v>0</v>
      </c>
      <c r="H19" s="8">
        <f>불리오[[#This Row],[현금지출]]-불리오[[#This Row],[매입액]]</f>
        <v>0</v>
      </c>
      <c r="I19" s="12">
        <v>5</v>
      </c>
      <c r="J19" s="7">
        <v>316.89999999999998</v>
      </c>
      <c r="K19" s="7">
        <v>314.45</v>
      </c>
      <c r="L19" s="11">
        <v>0</v>
      </c>
      <c r="M19" s="7">
        <v>313.92</v>
      </c>
      <c r="N19" s="11">
        <f>불리오[[#This Row],[매도액]]-불리오[[#This Row],[매도원금]]</f>
        <v>-2.4499999999999886</v>
      </c>
      <c r="O19" s="11">
        <f>불리오[[#This Row],[매도액]]+불리오[[#This Row],[이자배당액]]-불리오[[#This Row],[현금수입]]</f>
        <v>0.52999999999997272</v>
      </c>
      <c r="P19" s="11">
        <f>불리오[[#This Row],[매매수익]]+불리오[[#This Row],[이자배당액]]-불리오[[#This Row],[매도비용]]-불리오[[#This Row],[매입비용]]</f>
        <v>-2.9799999999999613</v>
      </c>
      <c r="Q19" s="90">
        <v>0</v>
      </c>
      <c r="R19" s="12">
        <f>불리오[[#This Row],[입출금]]+불리오[[#This Row],[현금수입]]-불리오[[#This Row],[현금지출]]</f>
        <v>313.92</v>
      </c>
      <c r="S19" s="11">
        <f>SUM($R$2:R19)</f>
        <v>1231.6399999999999</v>
      </c>
    </row>
    <row r="20" spans="1:19" x14ac:dyDescent="0.3">
      <c r="A20" s="91">
        <v>45328</v>
      </c>
      <c r="B20" s="46" t="s">
        <v>128</v>
      </c>
      <c r="C20" s="1" t="str">
        <f>VLOOKUP(불리오[[#This Row],[종목코드]],표3[],2,FALSE)</f>
        <v>신흥국채권</v>
      </c>
      <c r="D20" s="9" t="str">
        <f>VLOOKUP(불리오[[#This Row],[종목코드]],표3[],4,FALSE)</f>
        <v>VANGUARD EMERGING MARKETS GOVERNMENT BOND ETF</v>
      </c>
      <c r="E20" s="38">
        <v>0</v>
      </c>
      <c r="F20" s="7">
        <v>0</v>
      </c>
      <c r="G20" s="8">
        <v>0</v>
      </c>
      <c r="H20" s="8">
        <f>불리오[[#This Row],[현금지출]]-불리오[[#This Row],[매입액]]</f>
        <v>0</v>
      </c>
      <c r="I20" s="12">
        <v>0</v>
      </c>
      <c r="J20" s="7">
        <v>0</v>
      </c>
      <c r="K20" s="7">
        <v>0</v>
      </c>
      <c r="L20" s="11">
        <v>1.65</v>
      </c>
      <c r="M20" s="7">
        <v>1.41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0.24</v>
      </c>
      <c r="P20" s="11">
        <f>불리오[[#This Row],[매매수익]]+불리오[[#This Row],[이자배당액]]-불리오[[#This Row],[매도비용]]-불리오[[#This Row],[매입비용]]</f>
        <v>1.41</v>
      </c>
      <c r="Q20" s="90">
        <v>0</v>
      </c>
      <c r="R20" s="12">
        <f>불리오[[#This Row],[입출금]]+불리오[[#This Row],[현금수입]]-불리오[[#This Row],[현금지출]]</f>
        <v>1.41</v>
      </c>
      <c r="S20" s="11">
        <f>SUM($R$2:R20)</f>
        <v>1233.05</v>
      </c>
    </row>
    <row r="21" spans="1:19" x14ac:dyDescent="0.3">
      <c r="A21" s="91">
        <v>45329</v>
      </c>
      <c r="B21" s="46" t="s">
        <v>156</v>
      </c>
      <c r="C21" s="1" t="str">
        <f>VLOOKUP(불리오[[#This Row],[종목코드]],표3[],2,FALSE)</f>
        <v>캐나다주식</v>
      </c>
      <c r="D21" s="9" t="str">
        <f>VLOOKUP(불리오[[#This Row],[종목코드]],표3[],4,FALSE)</f>
        <v>ISHARES MSCI CANADA FUND</v>
      </c>
      <c r="E21" s="38">
        <v>2</v>
      </c>
      <c r="F21" s="7">
        <v>72.84</v>
      </c>
      <c r="G21" s="8">
        <v>72.95</v>
      </c>
      <c r="H21" s="8">
        <f>불리오[[#This Row],[현금지출]]-불리오[[#This Row],[매입액]]</f>
        <v>0.10999999999999943</v>
      </c>
      <c r="I21" s="12">
        <v>0</v>
      </c>
      <c r="J21" s="7">
        <v>0</v>
      </c>
      <c r="K21" s="7">
        <v>0</v>
      </c>
      <c r="L21" s="11">
        <v>0</v>
      </c>
      <c r="M21" s="7">
        <v>0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</v>
      </c>
      <c r="P21" s="11">
        <f>불리오[[#This Row],[매매수익]]+불리오[[#This Row],[이자배당액]]-불리오[[#This Row],[매도비용]]-불리오[[#This Row],[매입비용]]</f>
        <v>-0.10999999999999943</v>
      </c>
      <c r="Q21" s="90">
        <v>0</v>
      </c>
      <c r="R21" s="12">
        <f>불리오[[#This Row],[입출금]]+불리오[[#This Row],[현금수입]]-불리오[[#This Row],[현금지출]]</f>
        <v>-72.95</v>
      </c>
      <c r="S21" s="11">
        <f>SUM($R$2:R21)</f>
        <v>1160.0999999999999</v>
      </c>
    </row>
    <row r="22" spans="1:19" x14ac:dyDescent="0.3">
      <c r="A22" s="91">
        <v>45329</v>
      </c>
      <c r="B22" s="46" t="s">
        <v>117</v>
      </c>
      <c r="C22" s="1" t="str">
        <f>VLOOKUP(불리오[[#This Row],[종목코드]],표3[],2,FALSE)</f>
        <v>홍콩주식</v>
      </c>
      <c r="D22" s="9" t="str">
        <f>VLOOKUP(불리오[[#This Row],[종목코드]],표3[],4,FALSE)</f>
        <v>ISHARES INC MSCI HONG KONG ETF</v>
      </c>
      <c r="E22" s="38">
        <v>2</v>
      </c>
      <c r="F22" s="7">
        <v>31.18</v>
      </c>
      <c r="G22" s="8">
        <v>31.22</v>
      </c>
      <c r="H22" s="8">
        <f>불리오[[#This Row],[현금지출]]-불리오[[#This Row],[매입액]]</f>
        <v>3.9999999999999147E-2</v>
      </c>
      <c r="I22" s="12">
        <v>0</v>
      </c>
      <c r="J22" s="7">
        <v>0</v>
      </c>
      <c r="K22" s="7">
        <v>0</v>
      </c>
      <c r="L22" s="11">
        <v>0</v>
      </c>
      <c r="M22" s="7">
        <v>0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</v>
      </c>
      <c r="P22" s="11">
        <f>불리오[[#This Row],[매매수익]]+불리오[[#This Row],[이자배당액]]-불리오[[#This Row],[매도비용]]-불리오[[#This Row],[매입비용]]</f>
        <v>-3.9999999999999147E-2</v>
      </c>
      <c r="Q22" s="90">
        <v>0</v>
      </c>
      <c r="R22" s="12">
        <f>불리오[[#This Row],[입출금]]+불리오[[#This Row],[현금수입]]-불리오[[#This Row],[현금지출]]</f>
        <v>-31.22</v>
      </c>
      <c r="S22" s="11">
        <f>SUM($R$2:R22)</f>
        <v>1128.8799999999999</v>
      </c>
    </row>
    <row r="23" spans="1:19" x14ac:dyDescent="0.3">
      <c r="A23" s="91">
        <v>45329</v>
      </c>
      <c r="B23" s="46" t="s">
        <v>118</v>
      </c>
      <c r="C23" s="1" t="str">
        <f>VLOOKUP(불리오[[#This Row],[종목코드]],표3[],2,FALSE)</f>
        <v>일본주식</v>
      </c>
      <c r="D23" s="9" t="str">
        <f>VLOOKUP(불리오[[#This Row],[종목코드]],표3[],4,FALSE)</f>
        <v>ISHARES INC MSCI JAPAN ETF NEW(POST REV SPLT)</v>
      </c>
      <c r="E23" s="38">
        <v>4</v>
      </c>
      <c r="F23" s="7">
        <v>265.24</v>
      </c>
      <c r="G23" s="8">
        <v>265.67</v>
      </c>
      <c r="H23" s="8">
        <f>불리오[[#This Row],[현금지출]]-불리오[[#This Row],[매입액]]</f>
        <v>0.43000000000000682</v>
      </c>
      <c r="I23" s="12">
        <v>0</v>
      </c>
      <c r="J23" s="7">
        <v>0</v>
      </c>
      <c r="K23" s="7">
        <v>0</v>
      </c>
      <c r="L23" s="11">
        <v>0</v>
      </c>
      <c r="M23" s="7">
        <v>0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</v>
      </c>
      <c r="P23" s="11">
        <f>불리오[[#This Row],[매매수익]]+불리오[[#This Row],[이자배당액]]-불리오[[#This Row],[매도비용]]-불리오[[#This Row],[매입비용]]</f>
        <v>-0.43000000000000682</v>
      </c>
      <c r="Q23" s="90">
        <v>0</v>
      </c>
      <c r="R23" s="12">
        <f>불리오[[#This Row],[입출금]]+불리오[[#This Row],[현금수입]]-불리오[[#This Row],[현금지출]]</f>
        <v>-265.67</v>
      </c>
      <c r="S23" s="11">
        <f>SUM($R$2:R23)</f>
        <v>863.20999999999981</v>
      </c>
    </row>
    <row r="24" spans="1:19" x14ac:dyDescent="0.3">
      <c r="A24" s="91">
        <v>45329</v>
      </c>
      <c r="B24" s="46" t="s">
        <v>119</v>
      </c>
      <c r="C24" s="1" t="str">
        <f>VLOOKUP(불리오[[#This Row],[종목코드]],표3[],2,FALSE)</f>
        <v>멕시코주식</v>
      </c>
      <c r="D24" s="9" t="str">
        <f>VLOOKUP(불리오[[#This Row],[종목코드]],표3[],4,FALSE)</f>
        <v>ISHARES INC MSCI MEXICO ETF</v>
      </c>
      <c r="E24" s="38">
        <v>1</v>
      </c>
      <c r="F24" s="7">
        <v>67.36</v>
      </c>
      <c r="G24" s="8">
        <v>67.47</v>
      </c>
      <c r="H24" s="8">
        <f>불리오[[#This Row],[현금지출]]-불리오[[#This Row],[매입액]]</f>
        <v>0.10999999999999943</v>
      </c>
      <c r="I24" s="12">
        <v>0</v>
      </c>
      <c r="J24" s="7">
        <v>0</v>
      </c>
      <c r="K24" s="7">
        <v>0</v>
      </c>
      <c r="L24" s="11">
        <v>0</v>
      </c>
      <c r="M24" s="7">
        <v>0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-0.10999999999999943</v>
      </c>
      <c r="Q24" s="90">
        <v>0</v>
      </c>
      <c r="R24" s="12">
        <f>불리오[[#This Row],[입출금]]+불리오[[#This Row],[현금수입]]-불리오[[#This Row],[현금지출]]</f>
        <v>-67.47</v>
      </c>
      <c r="S24" s="11">
        <f>SUM($R$2:R24)</f>
        <v>795.73999999999978</v>
      </c>
    </row>
    <row r="25" spans="1:19" x14ac:dyDescent="0.3">
      <c r="A25" s="91">
        <v>45329</v>
      </c>
      <c r="B25" s="46" t="s">
        <v>115</v>
      </c>
      <c r="C25" s="1" t="str">
        <f>VLOOKUP(불리오[[#This Row],[종목코드]],표3[],2,FALSE)</f>
        <v>중국주식</v>
      </c>
      <c r="D25" s="9" t="str">
        <f>VLOOKUP(불리오[[#This Row],[종목코드]],표3[],4,FALSE)</f>
        <v>ISHARES CHINA LARGE-CAP ETF</v>
      </c>
      <c r="E25" s="38">
        <v>2</v>
      </c>
      <c r="F25" s="7">
        <v>42.93</v>
      </c>
      <c r="G25" s="8">
        <v>43</v>
      </c>
      <c r="H25" s="8">
        <f>불리오[[#This Row],[현금지출]]-불리오[[#This Row],[매입액]]</f>
        <v>7.0000000000000284E-2</v>
      </c>
      <c r="I25" s="12">
        <v>0</v>
      </c>
      <c r="J25" s="7">
        <v>0</v>
      </c>
      <c r="K25" s="7">
        <v>0</v>
      </c>
      <c r="L25" s="11">
        <v>0</v>
      </c>
      <c r="M25" s="7">
        <v>0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</v>
      </c>
      <c r="P25" s="11">
        <f>불리오[[#This Row],[매매수익]]+불리오[[#This Row],[이자배당액]]-불리오[[#This Row],[매도비용]]-불리오[[#This Row],[매입비용]]</f>
        <v>-7.0000000000000284E-2</v>
      </c>
      <c r="Q25" s="90">
        <v>0</v>
      </c>
      <c r="R25" s="12">
        <f>불리오[[#This Row],[입출금]]+불리오[[#This Row],[현금수입]]-불리오[[#This Row],[현금지출]]</f>
        <v>-43</v>
      </c>
      <c r="S25" s="11">
        <f>SUM($R$2:R25)</f>
        <v>752.73999999999978</v>
      </c>
    </row>
    <row r="26" spans="1:19" x14ac:dyDescent="0.3">
      <c r="A26" s="91">
        <v>45329</v>
      </c>
      <c r="B26" s="46" t="s">
        <v>126</v>
      </c>
      <c r="C26" s="1" t="str">
        <f>VLOOKUP(불리오[[#This Row],[종목코드]],표3[],2,FALSE)</f>
        <v>하이일드</v>
      </c>
      <c r="D26" s="9" t="str">
        <f>VLOOKUP(불리오[[#This Row],[종목코드]],표3[],4,FALSE)</f>
        <v>SPDR SERIES TRUST Portfolio High Yield Bond ETF</v>
      </c>
      <c r="E26" s="38">
        <v>20</v>
      </c>
      <c r="F26" s="7">
        <v>465.4</v>
      </c>
      <c r="G26" s="8">
        <v>466.17</v>
      </c>
      <c r="H26" s="8">
        <f>불리오[[#This Row],[현금지출]]-불리오[[#This Row],[매입액]]</f>
        <v>0.77000000000003865</v>
      </c>
      <c r="I26" s="12">
        <v>0</v>
      </c>
      <c r="J26" s="7">
        <v>0</v>
      </c>
      <c r="K26" s="7">
        <v>0</v>
      </c>
      <c r="L26" s="11">
        <v>0</v>
      </c>
      <c r="M26" s="7">
        <v>0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</v>
      </c>
      <c r="P26" s="11">
        <f>불리오[[#This Row],[매매수익]]+불리오[[#This Row],[이자배당액]]-불리오[[#This Row],[매도비용]]-불리오[[#This Row],[매입비용]]</f>
        <v>-0.77000000000003865</v>
      </c>
      <c r="Q26" s="90">
        <v>0</v>
      </c>
      <c r="R26" s="12">
        <f>불리오[[#This Row],[입출금]]+불리오[[#This Row],[현금수입]]-불리오[[#This Row],[현금지출]]</f>
        <v>-466.17</v>
      </c>
      <c r="S26" s="11">
        <f>SUM($R$2:R26)</f>
        <v>286.56999999999977</v>
      </c>
    </row>
    <row r="27" spans="1:19" x14ac:dyDescent="0.3">
      <c r="A27" s="91">
        <v>45329</v>
      </c>
      <c r="B27" s="46" t="s">
        <v>127</v>
      </c>
      <c r="C27" s="1" t="str">
        <f>VLOOKUP(불리오[[#This Row],[종목코드]],표3[],2,FALSE)</f>
        <v>물가연동채</v>
      </c>
      <c r="D27" s="9" t="str">
        <f>VLOOKUP(불리오[[#This Row],[종목코드]],표3[],4,FALSE)</f>
        <v>SPDR SERIES TRUST Portfolio TIPS ETF</v>
      </c>
      <c r="E27" s="38">
        <v>9</v>
      </c>
      <c r="F27" s="7">
        <v>231.08</v>
      </c>
      <c r="G27" s="8">
        <v>231.46</v>
      </c>
      <c r="H27" s="8">
        <f>불리오[[#This Row],[현금지출]]-불리오[[#This Row],[매입액]]</f>
        <v>0.37999999999999545</v>
      </c>
      <c r="I27" s="12">
        <v>0</v>
      </c>
      <c r="J27" s="7">
        <v>0</v>
      </c>
      <c r="K27" s="7">
        <v>0</v>
      </c>
      <c r="L27" s="11">
        <v>0</v>
      </c>
      <c r="M27" s="7">
        <v>0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</v>
      </c>
      <c r="P27" s="11">
        <f>불리오[[#This Row],[매매수익]]+불리오[[#This Row],[이자배당액]]-불리오[[#This Row],[매도비용]]-불리오[[#This Row],[매입비용]]</f>
        <v>-0.37999999999999545</v>
      </c>
      <c r="Q27" s="90">
        <v>0</v>
      </c>
      <c r="R27" s="12">
        <f>불리오[[#This Row],[입출금]]+불리오[[#This Row],[현금수입]]-불리오[[#This Row],[현금지출]]</f>
        <v>-231.46</v>
      </c>
      <c r="S27" s="11">
        <f>SUM($R$2:R27)</f>
        <v>55.109999999999758</v>
      </c>
    </row>
    <row r="28" spans="1:19" x14ac:dyDescent="0.3">
      <c r="A28" s="91">
        <v>45329</v>
      </c>
      <c r="B28" s="46" t="s">
        <v>124</v>
      </c>
      <c r="C28" s="1" t="str">
        <f>VLOOKUP(불리오[[#This Row],[종목코드]],표3[],2,FALSE)</f>
        <v>미국장기채</v>
      </c>
      <c r="D28" s="9" t="str">
        <f>VLOOKUP(불리오[[#This Row],[종목코드]],표3[],4,FALSE)</f>
        <v>SPDR LONG TERM TREASURY ETF</v>
      </c>
      <c r="E28" s="38">
        <v>0</v>
      </c>
      <c r="F28" s="7">
        <v>0</v>
      </c>
      <c r="G28" s="8">
        <v>0</v>
      </c>
      <c r="H28" s="8">
        <f>불리오[[#This Row],[현금지출]]-불리오[[#This Row],[매입액]]</f>
        <v>0</v>
      </c>
      <c r="I28" s="12">
        <v>0</v>
      </c>
      <c r="J28" s="7">
        <v>0</v>
      </c>
      <c r="K28" s="7">
        <v>0</v>
      </c>
      <c r="L28" s="11">
        <v>1.1599999999999999</v>
      </c>
      <c r="M28" s="7">
        <v>0.99</v>
      </c>
      <c r="N28" s="11">
        <f>불리오[[#This Row],[매도액]]-불리오[[#This Row],[매도원금]]</f>
        <v>0</v>
      </c>
      <c r="O28" s="11">
        <f>불리오[[#This Row],[매도액]]+불리오[[#This Row],[이자배당액]]-불리오[[#This Row],[현금수입]]</f>
        <v>0.16999999999999993</v>
      </c>
      <c r="P28" s="11">
        <f>불리오[[#This Row],[매매수익]]+불리오[[#This Row],[이자배당액]]-불리오[[#This Row],[매도비용]]-불리오[[#This Row],[매입비용]]</f>
        <v>0.99</v>
      </c>
      <c r="Q28" s="90">
        <v>0</v>
      </c>
      <c r="R28" s="12">
        <f>불리오[[#This Row],[입출금]]+불리오[[#This Row],[현금수입]]-불리오[[#This Row],[현금지출]]</f>
        <v>0.99</v>
      </c>
      <c r="S28" s="11">
        <f>SUM($R$2:R28)</f>
        <v>56.09999999999976</v>
      </c>
    </row>
    <row r="29" spans="1:19" x14ac:dyDescent="0.3">
      <c r="A29" s="91">
        <v>45344</v>
      </c>
      <c r="B29" s="46" t="s">
        <v>439</v>
      </c>
      <c r="C29" s="1" t="str">
        <f>VLOOKUP(불리오[[#This Row],[종목코드]],표3[],2,FALSE)</f>
        <v>홍콩주식</v>
      </c>
      <c r="D29" s="9" t="str">
        <f>VLOOKUP(불리오[[#This Row],[종목코드]],표3[],4,FALSE)</f>
        <v>ISHARES INC MSCI HONG KONG ETF</v>
      </c>
      <c r="E29" s="38">
        <v>0</v>
      </c>
      <c r="F29" s="93">
        <v>0</v>
      </c>
      <c r="G29" s="94">
        <v>0</v>
      </c>
      <c r="H29" s="94">
        <f>불리오[[#This Row],[현금지출]]-불리오[[#This Row],[매입액]]</f>
        <v>0</v>
      </c>
      <c r="I29" s="109">
        <v>1</v>
      </c>
      <c r="J29" s="93">
        <v>18.149999999999999</v>
      </c>
      <c r="K29" s="93">
        <v>16.36</v>
      </c>
      <c r="L29" s="110">
        <v>0</v>
      </c>
      <c r="M29" s="93">
        <v>16.350000000000001</v>
      </c>
      <c r="N29" s="110">
        <f>불리오[[#This Row],[매도액]]-불리오[[#This Row],[매도원금]]</f>
        <v>-1.7899999999999991</v>
      </c>
      <c r="O29" s="110">
        <f>불리오[[#This Row],[매도액]]+불리오[[#This Row],[이자배당액]]-불리오[[#This Row],[현금수입]]</f>
        <v>9.9999999999980105E-3</v>
      </c>
      <c r="P29" s="110">
        <f>불리오[[#This Row],[매매수익]]+불리오[[#This Row],[이자배당액]]-불리오[[#This Row],[매도비용]]-불리오[[#This Row],[매입비용]]</f>
        <v>-1.7999999999999972</v>
      </c>
      <c r="Q29" s="90">
        <v>0</v>
      </c>
      <c r="R29" s="109">
        <f>불리오[[#This Row],[입출금]]+불리오[[#This Row],[현금수입]]-불리오[[#This Row],[현금지출]]</f>
        <v>16.350000000000001</v>
      </c>
      <c r="S29" s="11">
        <f>SUM($R$2:R29)</f>
        <v>72.449999999999761</v>
      </c>
    </row>
    <row r="30" spans="1:19" x14ac:dyDescent="0.3">
      <c r="A30" s="91">
        <v>45344</v>
      </c>
      <c r="B30" s="46" t="s">
        <v>440</v>
      </c>
      <c r="C30" s="1" t="str">
        <f>VLOOKUP(불리오[[#This Row],[종목코드]],표3[],2,FALSE)</f>
        <v>브라질주식</v>
      </c>
      <c r="D30" s="9" t="str">
        <f>VLOOKUP(불리오[[#This Row],[종목코드]],표3[],4,FALSE)</f>
        <v>ISHARES INC MSCI Brazil ETF</v>
      </c>
      <c r="E30" s="38">
        <v>0</v>
      </c>
      <c r="F30" s="93">
        <v>0</v>
      </c>
      <c r="G30" s="94">
        <v>0</v>
      </c>
      <c r="H30" s="94">
        <f>불리오[[#This Row],[현금지출]]-불리오[[#This Row],[매입액]]</f>
        <v>0</v>
      </c>
      <c r="I30" s="109">
        <v>1</v>
      </c>
      <c r="J30" s="93">
        <v>35.590000000000003</v>
      </c>
      <c r="K30" s="93">
        <v>32.86</v>
      </c>
      <c r="L30" s="110">
        <v>0</v>
      </c>
      <c r="M30" s="93">
        <v>32.82</v>
      </c>
      <c r="N30" s="110">
        <f>불리오[[#This Row],[매도액]]-불리오[[#This Row],[매도원금]]</f>
        <v>-2.730000000000004</v>
      </c>
      <c r="O30" s="110">
        <f>불리오[[#This Row],[매도액]]+불리오[[#This Row],[이자배당액]]-불리오[[#This Row],[현금수입]]</f>
        <v>3.9999999999999147E-2</v>
      </c>
      <c r="P30" s="110">
        <f>불리오[[#This Row],[매매수익]]+불리오[[#This Row],[이자배당액]]-불리오[[#This Row],[매도비용]]-불리오[[#This Row],[매입비용]]</f>
        <v>-2.7700000000000031</v>
      </c>
      <c r="Q30" s="90">
        <v>0</v>
      </c>
      <c r="R30" s="109">
        <f>불리오[[#This Row],[입출금]]+불리오[[#This Row],[현금수입]]-불리오[[#This Row],[현금지출]]</f>
        <v>32.82</v>
      </c>
      <c r="S30" s="11">
        <f>SUM($R$2:R30)</f>
        <v>105.26999999999975</v>
      </c>
    </row>
    <row r="31" spans="1:19" x14ac:dyDescent="0.3">
      <c r="A31" s="91">
        <v>45344</v>
      </c>
      <c r="B31" s="46" t="s">
        <v>441</v>
      </c>
      <c r="C31" s="1" t="str">
        <f>VLOOKUP(불리오[[#This Row],[종목코드]],표3[],2,FALSE)</f>
        <v>중국주식</v>
      </c>
      <c r="D31" s="9" t="str">
        <f>VLOOKUP(불리오[[#This Row],[종목코드]],표3[],4,FALSE)</f>
        <v>ISHARES CHINA LARGE-CAP ETF</v>
      </c>
      <c r="E31" s="38">
        <v>0</v>
      </c>
      <c r="F31" s="93">
        <v>0</v>
      </c>
      <c r="G31" s="94">
        <v>0</v>
      </c>
      <c r="H31" s="94">
        <f>불리오[[#This Row],[현금지출]]-불리오[[#This Row],[매입액]]</f>
        <v>0</v>
      </c>
      <c r="I31" s="109">
        <v>1</v>
      </c>
      <c r="J31" s="93">
        <v>25.08</v>
      </c>
      <c r="K31" s="93">
        <v>23.23</v>
      </c>
      <c r="L31" s="110">
        <v>0</v>
      </c>
      <c r="M31" s="93">
        <v>23.21</v>
      </c>
      <c r="N31" s="110">
        <f>불리오[[#This Row],[매도액]]-불리오[[#This Row],[매도원금]]</f>
        <v>-1.8499999999999979</v>
      </c>
      <c r="O31" s="110">
        <f>불리오[[#This Row],[매도액]]+불리오[[#This Row],[이자배당액]]-불리오[[#This Row],[현금수입]]</f>
        <v>1.9999999999999574E-2</v>
      </c>
      <c r="P31" s="110">
        <f>불리오[[#This Row],[매매수익]]+불리오[[#This Row],[이자배당액]]-불리오[[#This Row],[매도비용]]-불리오[[#This Row],[매입비용]]</f>
        <v>-1.8699999999999974</v>
      </c>
      <c r="Q31" s="90">
        <v>0</v>
      </c>
      <c r="R31" s="109">
        <f>불리오[[#This Row],[입출금]]+불리오[[#This Row],[현금수입]]-불리오[[#This Row],[현금지출]]</f>
        <v>23.21</v>
      </c>
      <c r="S31" s="11">
        <f>SUM($R$2:R31)</f>
        <v>128.47999999999976</v>
      </c>
    </row>
    <row r="32" spans="1:19" x14ac:dyDescent="0.3">
      <c r="A32" s="91">
        <v>45344</v>
      </c>
      <c r="B32" s="46" t="s">
        <v>442</v>
      </c>
      <c r="C32" s="1" t="str">
        <f>VLOOKUP(불리오[[#This Row],[종목코드]],표3[],2,FALSE)</f>
        <v>신흥국주식</v>
      </c>
      <c r="D32" s="9" t="str">
        <f>VLOOKUP(불리오[[#This Row],[종목코드]],표3[],4,FALSE)</f>
        <v>SCHWAB EMERGING MARKETS EQUITY ETF</v>
      </c>
      <c r="E32" s="38">
        <v>0</v>
      </c>
      <c r="F32" s="93">
        <v>0</v>
      </c>
      <c r="G32" s="94">
        <v>0</v>
      </c>
      <c r="H32" s="94">
        <f>불리오[[#This Row],[현금지출]]-불리오[[#This Row],[매입액]]</f>
        <v>0</v>
      </c>
      <c r="I32" s="109">
        <v>1</v>
      </c>
      <c r="J32" s="93">
        <v>24.2</v>
      </c>
      <c r="K32" s="93">
        <v>24.65</v>
      </c>
      <c r="L32" s="110">
        <v>0</v>
      </c>
      <c r="M32" s="93">
        <v>24.62</v>
      </c>
      <c r="N32" s="110">
        <f>불리오[[#This Row],[매도액]]-불리오[[#This Row],[매도원금]]</f>
        <v>0.44999999999999929</v>
      </c>
      <c r="O32" s="110">
        <f>불리오[[#This Row],[매도액]]+불리오[[#This Row],[이자배당액]]-불리오[[#This Row],[현금수입]]</f>
        <v>2.9999999999997584E-2</v>
      </c>
      <c r="P32" s="110">
        <f>불리오[[#This Row],[매매수익]]+불리오[[#This Row],[이자배당액]]-불리오[[#This Row],[매도비용]]-불리오[[#This Row],[매입비용]]</f>
        <v>0.42000000000000171</v>
      </c>
      <c r="Q32" s="90">
        <v>0</v>
      </c>
      <c r="R32" s="109">
        <f>불리오[[#This Row],[입출금]]+불리오[[#This Row],[현금수입]]-불리오[[#This Row],[현금지출]]</f>
        <v>24.62</v>
      </c>
      <c r="S32" s="11">
        <f>SUM($R$2:R32)</f>
        <v>153.09999999999977</v>
      </c>
    </row>
    <row r="33" spans="1:19" x14ac:dyDescent="0.3">
      <c r="A33" s="91">
        <v>45344</v>
      </c>
      <c r="B33" s="46" t="s">
        <v>443</v>
      </c>
      <c r="C33" s="1" t="str">
        <f>VLOOKUP(불리오[[#This Row],[종목코드]],표3[],2,FALSE)</f>
        <v>하이일드</v>
      </c>
      <c r="D33" s="9" t="str">
        <f>VLOOKUP(불리오[[#This Row],[종목코드]],표3[],4,FALSE)</f>
        <v>SPDR SERIES TRUST Portfolio High Yield Bond ETF</v>
      </c>
      <c r="E33" s="38">
        <v>0</v>
      </c>
      <c r="F33" s="93">
        <v>0</v>
      </c>
      <c r="G33" s="94">
        <v>0</v>
      </c>
      <c r="H33" s="94">
        <f>불리오[[#This Row],[현금지출]]-불리오[[#This Row],[매입액]]</f>
        <v>0</v>
      </c>
      <c r="I33" s="109">
        <v>17</v>
      </c>
      <c r="J33" s="93">
        <v>395.59</v>
      </c>
      <c r="K33" s="93">
        <v>394.91</v>
      </c>
      <c r="L33" s="110">
        <v>0</v>
      </c>
      <c r="M33" s="93">
        <v>394.25</v>
      </c>
      <c r="N33" s="110">
        <f>불리오[[#This Row],[매도액]]-불리오[[#This Row],[매도원금]]</f>
        <v>-0.67999999999994998</v>
      </c>
      <c r="O33" s="110">
        <f>불리오[[#This Row],[매도액]]+불리오[[#This Row],[이자배당액]]-불리오[[#This Row],[현금수입]]</f>
        <v>0.66000000000002501</v>
      </c>
      <c r="P33" s="110">
        <f>불리오[[#This Row],[매매수익]]+불리오[[#This Row],[이자배당액]]-불리오[[#This Row],[매도비용]]-불리오[[#This Row],[매입비용]]</f>
        <v>-1.339999999999975</v>
      </c>
      <c r="Q33" s="90">
        <v>0</v>
      </c>
      <c r="R33" s="109">
        <f>불리오[[#This Row],[입출금]]+불리오[[#This Row],[현금수입]]-불리오[[#This Row],[현금지출]]</f>
        <v>394.25</v>
      </c>
      <c r="S33" s="11">
        <f>SUM($R$2:R33)</f>
        <v>547.3499999999998</v>
      </c>
    </row>
    <row r="34" spans="1:19" x14ac:dyDescent="0.3">
      <c r="A34" s="91">
        <v>45345</v>
      </c>
      <c r="B34" s="46" t="s">
        <v>444</v>
      </c>
      <c r="C34" s="1" t="str">
        <f>VLOOKUP(불리오[[#This Row],[종목코드]],표3[],2,FALSE)</f>
        <v>멕시코주식</v>
      </c>
      <c r="D34" s="9" t="str">
        <f>VLOOKUP(불리오[[#This Row],[종목코드]],표3[],4,FALSE)</f>
        <v>ISHARES INC MSCI MEXICO ETF</v>
      </c>
      <c r="E34" s="38">
        <v>1</v>
      </c>
      <c r="F34" s="93">
        <v>67.81</v>
      </c>
      <c r="G34" s="94">
        <v>67.92</v>
      </c>
      <c r="H34" s="94">
        <f>불리오[[#This Row],[현금지출]]-불리오[[#This Row],[매입액]]</f>
        <v>0.10999999999999943</v>
      </c>
      <c r="I34" s="109">
        <v>0</v>
      </c>
      <c r="J34" s="93">
        <v>0</v>
      </c>
      <c r="K34" s="93">
        <v>0</v>
      </c>
      <c r="L34" s="110">
        <v>0</v>
      </c>
      <c r="M34" s="93">
        <v>0</v>
      </c>
      <c r="N34" s="110">
        <f>불리오[[#This Row],[매도액]]-불리오[[#This Row],[매도원금]]</f>
        <v>0</v>
      </c>
      <c r="O34" s="110">
        <f>불리오[[#This Row],[매도액]]+불리오[[#This Row],[이자배당액]]-불리오[[#This Row],[현금수입]]</f>
        <v>0</v>
      </c>
      <c r="P34" s="110">
        <f>불리오[[#This Row],[매매수익]]+불리오[[#This Row],[이자배당액]]-불리오[[#This Row],[매도비용]]-불리오[[#This Row],[매입비용]]</f>
        <v>-0.10999999999999943</v>
      </c>
      <c r="Q34" s="112">
        <v>0</v>
      </c>
      <c r="R34" s="109">
        <f>불리오[[#This Row],[입출금]]+불리오[[#This Row],[현금수입]]-불리오[[#This Row],[현금지출]]</f>
        <v>-67.92</v>
      </c>
      <c r="S34" s="11">
        <f>SUM($R$2:R34)</f>
        <v>479.42999999999978</v>
      </c>
    </row>
    <row r="35" spans="1:19" x14ac:dyDescent="0.3">
      <c r="A35" s="91">
        <v>45345</v>
      </c>
      <c r="B35" s="46" t="s">
        <v>445</v>
      </c>
      <c r="C35" s="1" t="str">
        <f>VLOOKUP(불리오[[#This Row],[종목코드]],표3[],2,FALSE)</f>
        <v>미국장기채</v>
      </c>
      <c r="D35" s="9" t="str">
        <f>VLOOKUP(불리오[[#This Row],[종목코드]],표3[],4,FALSE)</f>
        <v>SPDR LONG TERM TREASURY ETF</v>
      </c>
      <c r="E35" s="38">
        <v>1</v>
      </c>
      <c r="F35" s="93">
        <v>27.4</v>
      </c>
      <c r="G35" s="94">
        <v>27.439999999999998</v>
      </c>
      <c r="H35" s="94">
        <f>불리오[[#This Row],[현금지출]]-불리오[[#This Row],[매입액]]</f>
        <v>3.9999999999999147E-2</v>
      </c>
      <c r="I35" s="109">
        <v>0</v>
      </c>
      <c r="J35" s="93">
        <v>0</v>
      </c>
      <c r="K35" s="93">
        <v>0</v>
      </c>
      <c r="L35" s="110">
        <v>0</v>
      </c>
      <c r="M35" s="93">
        <v>0</v>
      </c>
      <c r="N35" s="110">
        <f>불리오[[#This Row],[매도액]]-불리오[[#This Row],[매도원금]]</f>
        <v>0</v>
      </c>
      <c r="O35" s="110">
        <f>불리오[[#This Row],[매도액]]+불리오[[#This Row],[이자배당액]]-불리오[[#This Row],[현금수입]]</f>
        <v>0</v>
      </c>
      <c r="P35" s="110">
        <f>불리오[[#This Row],[매매수익]]+불리오[[#This Row],[이자배당액]]-불리오[[#This Row],[매도비용]]-불리오[[#This Row],[매입비용]]</f>
        <v>-3.9999999999999147E-2</v>
      </c>
      <c r="Q35" s="112">
        <v>0</v>
      </c>
      <c r="R35" s="109">
        <f>불리오[[#This Row],[입출금]]+불리오[[#This Row],[현금수입]]-불리오[[#This Row],[현금지출]]</f>
        <v>-27.439999999999998</v>
      </c>
      <c r="S35" s="11">
        <f>SUM($R$2:R35)</f>
        <v>451.98999999999978</v>
      </c>
    </row>
    <row r="36" spans="1:19" x14ac:dyDescent="0.3">
      <c r="A36" s="91">
        <v>45345</v>
      </c>
      <c r="B36" s="46" t="s">
        <v>446</v>
      </c>
      <c r="C36" s="1" t="str">
        <f>VLOOKUP(불리오[[#This Row],[종목코드]],표3[],2,FALSE)</f>
        <v>캐나다주식</v>
      </c>
      <c r="D36" s="9" t="str">
        <f>VLOOKUP(불리오[[#This Row],[종목코드]],표3[],4,FALSE)</f>
        <v>ISHARES MSCI CANADA FUND</v>
      </c>
      <c r="E36" s="38">
        <v>1</v>
      </c>
      <c r="F36" s="93">
        <v>36.68</v>
      </c>
      <c r="G36" s="94">
        <v>36.74</v>
      </c>
      <c r="H36" s="94">
        <f>불리오[[#This Row],[현금지출]]-불리오[[#This Row],[매입액]]</f>
        <v>6.0000000000002274E-2</v>
      </c>
      <c r="I36" s="109">
        <v>0</v>
      </c>
      <c r="J36" s="93">
        <v>0</v>
      </c>
      <c r="K36" s="93">
        <v>0</v>
      </c>
      <c r="L36" s="110">
        <v>0</v>
      </c>
      <c r="M36" s="93">
        <v>0</v>
      </c>
      <c r="N36" s="110">
        <f>불리오[[#This Row],[매도액]]-불리오[[#This Row],[매도원금]]</f>
        <v>0</v>
      </c>
      <c r="O36" s="110">
        <f>불리오[[#This Row],[매도액]]+불리오[[#This Row],[이자배당액]]-불리오[[#This Row],[현금수입]]</f>
        <v>0</v>
      </c>
      <c r="P36" s="110">
        <f>불리오[[#This Row],[매매수익]]+불리오[[#This Row],[이자배당액]]-불리오[[#This Row],[매도비용]]-불리오[[#This Row],[매입비용]]</f>
        <v>-6.0000000000002274E-2</v>
      </c>
      <c r="Q36" s="112">
        <v>0</v>
      </c>
      <c r="R36" s="109">
        <f>불리오[[#This Row],[입출금]]+불리오[[#This Row],[현금수입]]-불리오[[#This Row],[현금지출]]</f>
        <v>-36.74</v>
      </c>
      <c r="S36" s="11">
        <f>SUM($R$2:R36)</f>
        <v>415.24999999999977</v>
      </c>
    </row>
    <row r="37" spans="1:19" ht="10.5" customHeight="1" x14ac:dyDescent="0.3">
      <c r="A37" s="91">
        <v>45345</v>
      </c>
      <c r="B37" s="46" t="s">
        <v>447</v>
      </c>
      <c r="C37" s="1" t="str">
        <f>VLOOKUP(불리오[[#This Row],[종목코드]],표3[],2,FALSE)</f>
        <v>유로존주식</v>
      </c>
      <c r="D37" s="9" t="str">
        <f>VLOOKUP(불리오[[#This Row],[종목코드]],표3[],4,FALSE)</f>
        <v>ISHARES MSCI EUROZONE ETF</v>
      </c>
      <c r="E37" s="38">
        <v>8</v>
      </c>
      <c r="F37" s="93">
        <f>8*48.05</f>
        <v>384.4</v>
      </c>
      <c r="G37" s="94">
        <v>385.04999999999995</v>
      </c>
      <c r="H37" s="94">
        <f>불리오[[#This Row],[현금지출]]-불리오[[#This Row],[매입액]]</f>
        <v>0.64999999999997726</v>
      </c>
      <c r="I37" s="109">
        <v>0</v>
      </c>
      <c r="J37" s="93">
        <v>0</v>
      </c>
      <c r="K37" s="93">
        <v>0</v>
      </c>
      <c r="L37" s="110">
        <v>0</v>
      </c>
      <c r="M37" s="93">
        <v>0</v>
      </c>
      <c r="N37" s="110">
        <f>불리오[[#This Row],[매도액]]-불리오[[#This Row],[매도원금]]</f>
        <v>0</v>
      </c>
      <c r="O37" s="110">
        <f>불리오[[#This Row],[매도액]]+불리오[[#This Row],[이자배당액]]-불리오[[#This Row],[현금수입]]</f>
        <v>0</v>
      </c>
      <c r="P37" s="110">
        <f>불리오[[#This Row],[매매수익]]+불리오[[#This Row],[이자배당액]]-불리오[[#This Row],[매도비용]]-불리오[[#This Row],[매입비용]]</f>
        <v>-0.64999999999997726</v>
      </c>
      <c r="Q37" s="112">
        <v>0</v>
      </c>
      <c r="R37" s="109">
        <f>불리오[[#This Row],[입출금]]+불리오[[#This Row],[현금수입]]-불리오[[#This Row],[현금지출]]</f>
        <v>-385.04999999999995</v>
      </c>
      <c r="S37" s="11">
        <f>SUM($R$2:R40)</f>
        <v>31.849999999999817</v>
      </c>
    </row>
    <row r="38" spans="1:19" x14ac:dyDescent="0.3">
      <c r="A38" s="91">
        <v>45357</v>
      </c>
      <c r="B38" s="46" t="s">
        <v>128</v>
      </c>
      <c r="C38" s="1" t="str">
        <f>VLOOKUP(불리오[[#This Row],[종목코드]],표3[],2,FALSE)</f>
        <v>신흥국채권</v>
      </c>
      <c r="D38" s="9" t="str">
        <f>VLOOKUP(불리오[[#This Row],[종목코드]],표3[],4,FALSE)</f>
        <v>VANGUARD EMERGING MARKETS GOVERNMENT BOND ETF</v>
      </c>
      <c r="G38" s="8"/>
      <c r="H38" s="8">
        <f>불리오[[#This Row],[현금지출]]-불리오[[#This Row],[매입액]]</f>
        <v>0</v>
      </c>
      <c r="I38" s="12"/>
      <c r="J38" s="7"/>
      <c r="K38" s="7"/>
      <c r="L38" s="11">
        <v>0.32</v>
      </c>
      <c r="M38" s="7">
        <v>0.28000000000000003</v>
      </c>
      <c r="N38" s="11">
        <f>불리오[[#This Row],[매도액]]-불리오[[#This Row],[매도원금]]</f>
        <v>0</v>
      </c>
      <c r="O38" s="11">
        <f>불리오[[#This Row],[매도액]]+불리오[[#This Row],[이자배당액]]-불리오[[#This Row],[현금수입]]</f>
        <v>3.999999999999998E-2</v>
      </c>
      <c r="P38" s="11">
        <f>불리오[[#This Row],[매매수익]]+불리오[[#This Row],[이자배당액]]-불리오[[#This Row],[매도비용]]-불리오[[#This Row],[매입비용]]</f>
        <v>0.28000000000000003</v>
      </c>
      <c r="Q38" s="90"/>
      <c r="R38" s="12">
        <f>불리오[[#This Row],[입출금]]+불리오[[#This Row],[현금수입]]-불리오[[#This Row],[현금지출]]</f>
        <v>0.28000000000000003</v>
      </c>
      <c r="S38" s="11">
        <f>SUM($R$2:R40)</f>
        <v>31.849999999999817</v>
      </c>
    </row>
    <row r="39" spans="1:19" x14ac:dyDescent="0.3">
      <c r="A39" s="91">
        <v>45358</v>
      </c>
      <c r="B39" s="46" t="s">
        <v>126</v>
      </c>
      <c r="C39" s="1" t="str">
        <f>VLOOKUP(불리오[[#This Row],[종목코드]],표3[],2,FALSE)</f>
        <v>하이일드</v>
      </c>
      <c r="D39" s="9" t="str">
        <f>VLOOKUP(불리오[[#This Row],[종목코드]],표3[],4,FALSE)</f>
        <v>SPDR SERIES TRUST Portfolio High Yield Bond ETF</v>
      </c>
      <c r="G39" s="8"/>
      <c r="H39" s="8">
        <f>불리오[[#This Row],[현금지출]]-불리오[[#This Row],[매입액]]</f>
        <v>0</v>
      </c>
      <c r="I39" s="12"/>
      <c r="J39" s="7"/>
      <c r="K39" s="7"/>
      <c r="L39" s="11">
        <v>0.47</v>
      </c>
      <c r="M39" s="7">
        <v>0.4</v>
      </c>
      <c r="N39" s="11">
        <f>불리오[[#This Row],[매도액]]-불리오[[#This Row],[매도원금]]</f>
        <v>0</v>
      </c>
      <c r="O39" s="11">
        <f>불리오[[#This Row],[매도액]]+불리오[[#This Row],[이자배당액]]-불리오[[#This Row],[현금수입]]</f>
        <v>6.9999999999999951E-2</v>
      </c>
      <c r="P39" s="11">
        <f>불리오[[#This Row],[매매수익]]+불리오[[#This Row],[이자배당액]]-불리오[[#This Row],[매도비용]]-불리오[[#This Row],[매입비용]]</f>
        <v>0.4</v>
      </c>
      <c r="Q39" s="90"/>
      <c r="R39" s="12">
        <f>불리오[[#This Row],[입출금]]+불리오[[#This Row],[현금수입]]-불리오[[#This Row],[현금지출]]</f>
        <v>0.4</v>
      </c>
      <c r="S39" s="11">
        <f>SUM($R$2:R40)</f>
        <v>31.849999999999817</v>
      </c>
    </row>
    <row r="40" spans="1:19" x14ac:dyDescent="0.3">
      <c r="A40" s="91">
        <v>45358</v>
      </c>
      <c r="B40" s="46" t="s">
        <v>124</v>
      </c>
      <c r="C40" s="1" t="str">
        <f>VLOOKUP(불리오[[#This Row],[종목코드]],표3[],2,FALSE)</f>
        <v>미국장기채</v>
      </c>
      <c r="D40" s="9" t="str">
        <f>VLOOKUP(불리오[[#This Row],[종목코드]],표3[],4,FALSE)</f>
        <v>SPDR LONG TERM TREASURY ETF</v>
      </c>
      <c r="G40" s="8"/>
      <c r="H40" s="8">
        <f>불리오[[#This Row],[현금지출]]-불리오[[#This Row],[매입액]]</f>
        <v>0</v>
      </c>
      <c r="I40" s="12"/>
      <c r="J40" s="7"/>
      <c r="K40" s="7"/>
      <c r="L40" s="11">
        <v>1.1299999999999999</v>
      </c>
      <c r="M40" s="7">
        <v>0.97</v>
      </c>
      <c r="N40" s="11">
        <f>불리오[[#This Row],[매도액]]-불리오[[#This Row],[매도원금]]</f>
        <v>0</v>
      </c>
      <c r="O40" s="11">
        <f>불리오[[#This Row],[매도액]]+불리오[[#This Row],[이자배당액]]-불리오[[#This Row],[현금수입]]</f>
        <v>0.15999999999999992</v>
      </c>
      <c r="P40" s="11">
        <f>불리오[[#This Row],[매매수익]]+불리오[[#This Row],[이자배당액]]-불리오[[#This Row],[매도비용]]-불리오[[#This Row],[매입비용]]</f>
        <v>0.97</v>
      </c>
      <c r="Q40" s="90"/>
      <c r="R40" s="12">
        <f>불리오[[#This Row],[입출금]]+불리오[[#This Row],[현금수입]]-불리오[[#This Row],[현금지출]]</f>
        <v>0.97</v>
      </c>
      <c r="S40" s="12">
        <f>SUM($R$2:R40)</f>
        <v>31.849999999999817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1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11" sqref="S11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255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257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2837.55</v>
      </c>
      <c r="G4">
        <v>2837.55</v>
      </c>
      <c r="H4">
        <f>표4[[#This Row],[현금지출]]-표4[[#This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2837.55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s="31" t="s">
        <v>458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  <row r="6" spans="1:19" x14ac:dyDescent="0.3">
      <c r="A6" s="3">
        <v>45292</v>
      </c>
      <c r="B6" s="97" t="s">
        <v>459</v>
      </c>
      <c r="C6" s="115" t="str">
        <f>VLOOKUP(표4[[#This Row],[종목코드]],표3[],2,FALSE)</f>
        <v>직접운용달러</v>
      </c>
      <c r="D6" s="116" t="str">
        <f>VLOOKUP(표4[[#This Row],[종목코드]],표3[],4,FALSE)</f>
        <v>한국투자증권 직접투자계좌 달러예수금</v>
      </c>
      <c r="E6" s="111"/>
      <c r="F6" s="117"/>
      <c r="G6" s="118"/>
      <c r="H6" s="118">
        <f>표4[[#This Row],[현금지출]]-표4[[#This Row],[매입액]]</f>
        <v>0</v>
      </c>
      <c r="I6" s="98"/>
      <c r="J6" s="117"/>
      <c r="K6" s="117"/>
      <c r="L6" s="117"/>
      <c r="M6" s="117"/>
      <c r="N6" s="117">
        <f>표4[[#This Row],[매도액]]-표4[[#This Row],[매도원금]]</f>
        <v>0</v>
      </c>
      <c r="O6" s="117">
        <f>표4[[#This Row],[매도액]]+표4[[#This Row],[이자배당액]]-표4[[#This Row],[현금수입]]</f>
        <v>0</v>
      </c>
      <c r="P6" s="120">
        <f>표4[[#This Row],[매매수익]]+표4[[#This Row],[이자배당액]]-표4[[#This Row],[매도비용]]-표4[[#This Row],[매입비용]]</f>
        <v>0</v>
      </c>
      <c r="Q6" s="26">
        <v>0</v>
      </c>
      <c r="R6" s="26">
        <f>표4[[#This Row],[입출금]]+표4[[#This Row],[현금수입]]-표4[[#This Row],[현금지출]]</f>
        <v>0</v>
      </c>
      <c r="S6" s="122">
        <f>SUM($R$2:R6)</f>
        <v>0</v>
      </c>
    </row>
    <row r="7" spans="1:19" x14ac:dyDescent="0.3">
      <c r="A7" s="99">
        <v>45341</v>
      </c>
      <c r="B7" t="s">
        <v>257</v>
      </c>
      <c r="C7" s="1" t="str">
        <f>VLOOKUP(표4[[#This Row],[종목코드]],표3[],2,FALSE)</f>
        <v>(수시)한투외화발행어음</v>
      </c>
      <c r="D7" s="9" t="str">
        <f>VLOOKUP(표4[[#This Row],[종목코드]],표3[],4,FALSE)</f>
        <v>한국투자증권 직접투자계좌 외화발행어음(수시)</v>
      </c>
      <c r="E7" s="43">
        <v>0</v>
      </c>
      <c r="F7" s="101">
        <v>0</v>
      </c>
      <c r="G7" s="102">
        <v>0</v>
      </c>
      <c r="H7" s="102">
        <f>표4[[#This Row],[현금지출]]-표4[[#This Row],[매입액]]</f>
        <v>0</v>
      </c>
      <c r="I7" s="98">
        <v>1</v>
      </c>
      <c r="J7" s="101">
        <v>5835.86</v>
      </c>
      <c r="K7" s="101">
        <f>3884.79+2023.91</f>
        <v>5908.7</v>
      </c>
      <c r="L7" s="101">
        <v>0</v>
      </c>
      <c r="M7" s="101">
        <v>5897.5</v>
      </c>
      <c r="N7" s="101">
        <f>표4[[#This Row],[매도액]]-표4[[#This Row],[매도원금]]</f>
        <v>72.840000000000146</v>
      </c>
      <c r="O7" s="101">
        <f>표4[[#This Row],[매도액]]+표4[[#This Row],[이자배당액]]-표4[[#This Row],[현금수입]]</f>
        <v>11.199999999999818</v>
      </c>
      <c r="P7" s="103">
        <f>표4[[#This Row],[매매수익]]+표4[[#This Row],[이자배당액]]-표4[[#This Row],[매도비용]]-표4[[#This Row],[매입비용]]</f>
        <v>61.640000000000327</v>
      </c>
      <c r="Q7" s="30">
        <v>0</v>
      </c>
      <c r="R7" s="30">
        <f>표4[[#This Row],[입출금]]+표4[[#This Row],[현금수입]]-표4[[#This Row],[현금지출]]</f>
        <v>5897.5</v>
      </c>
      <c r="S7">
        <f>SUM($R$2:R7)</f>
        <v>5897.5</v>
      </c>
    </row>
    <row r="8" spans="1:19" x14ac:dyDescent="0.3">
      <c r="A8" s="99">
        <v>45341</v>
      </c>
      <c r="B8" s="97" t="s">
        <v>89</v>
      </c>
      <c r="C8" s="104" t="str">
        <f>VLOOKUP(표4[[#This Row],[종목코드]],표3[],2,FALSE)</f>
        <v>한투외화RP</v>
      </c>
      <c r="D8" s="105" t="str">
        <f>VLOOKUP(표4[[#This Row],[종목코드]],표3[],4,FALSE)</f>
        <v>한국투자증권 직접투자계좌 외화RP</v>
      </c>
      <c r="E8" s="43">
        <v>1</v>
      </c>
      <c r="F8" s="101">
        <v>5897.5</v>
      </c>
      <c r="G8" s="101">
        <v>5897.5</v>
      </c>
      <c r="H8" s="102">
        <f>표4[[#This Row],[현금지출]]-표4[[#This Row],[매입액]]</f>
        <v>0</v>
      </c>
      <c r="I8" s="98">
        <v>0</v>
      </c>
      <c r="J8" s="101">
        <v>0</v>
      </c>
      <c r="K8" s="101">
        <v>0</v>
      </c>
      <c r="L8" s="101">
        <v>0</v>
      </c>
      <c r="M8" s="101">
        <v>0</v>
      </c>
      <c r="N8" s="101">
        <f>표4[[#This Row],[매도액]]-표4[[#This Row],[매도원금]]</f>
        <v>0</v>
      </c>
      <c r="O8" s="101">
        <f>표4[[#This Row],[매도액]]+표4[[#This Row],[이자배당액]]-표4[[#This Row],[현금수입]]</f>
        <v>0</v>
      </c>
      <c r="P8" s="103">
        <f>표4[[#This Row],[매매수익]]+표4[[#This Row],[이자배당액]]-표4[[#This Row],[매도비용]]-표4[[#This Row],[매입비용]]</f>
        <v>0</v>
      </c>
      <c r="Q8" s="30">
        <v>0</v>
      </c>
      <c r="R8" s="30">
        <f>표4[[#This Row],[입출금]]+표4[[#This Row],[현금수입]]-표4[[#This Row],[현금지출]]</f>
        <v>-5897.5</v>
      </c>
      <c r="S8">
        <f>SUM($R$2:R8)</f>
        <v>0</v>
      </c>
    </row>
    <row r="9" spans="1:19" x14ac:dyDescent="0.3">
      <c r="A9" s="121">
        <v>45342</v>
      </c>
      <c r="B9" s="97" t="s">
        <v>89</v>
      </c>
      <c r="C9" s="115" t="str">
        <f>VLOOKUP(표4[[#This Row],[종목코드]],표3[],2,FALSE)</f>
        <v>한투외화RP</v>
      </c>
      <c r="D9" s="116" t="str">
        <f>VLOOKUP(표4[[#This Row],[종목코드]],표3[],4,FALSE)</f>
        <v>한국투자증권 직접투자계좌 외화RP</v>
      </c>
      <c r="E9" s="43">
        <v>0</v>
      </c>
      <c r="F9" s="117">
        <v>0</v>
      </c>
      <c r="G9" s="118">
        <v>0</v>
      </c>
      <c r="H9" s="118">
        <f>표4[[#This Row],[현금지출]]-표4[[#This Row],[매입액]]</f>
        <v>0</v>
      </c>
      <c r="I9" s="98">
        <v>1</v>
      </c>
      <c r="J9" s="117">
        <v>5897.5</v>
      </c>
      <c r="K9" s="117">
        <v>5898.02</v>
      </c>
      <c r="L9" s="117">
        <v>0</v>
      </c>
      <c r="M9" s="117">
        <v>5897.95</v>
      </c>
      <c r="N9" s="117">
        <f>표4[[#This Row],[매도액]]-표4[[#This Row],[매도원금]]</f>
        <v>0.52000000000043656</v>
      </c>
      <c r="O9" s="117">
        <f>표4[[#This Row],[매도액]]+표4[[#This Row],[이자배당액]]-표4[[#This Row],[현금수입]]</f>
        <v>7.0000000000618456E-2</v>
      </c>
      <c r="P9" s="120">
        <f>표4[[#This Row],[매매수익]]+표4[[#This Row],[이자배당액]]-표4[[#This Row],[매도비용]]-표4[[#This Row],[매입비용]]</f>
        <v>0.4499999999998181</v>
      </c>
      <c r="Q9" s="30">
        <v>0</v>
      </c>
      <c r="R9" s="30">
        <f>표4[[#This Row],[입출금]]+표4[[#This Row],[현금수입]]-표4[[#This Row],[현금지출]]</f>
        <v>5897.95</v>
      </c>
      <c r="S9">
        <f>SUM($R$2:R9)</f>
        <v>5897.95</v>
      </c>
    </row>
    <row r="10" spans="1:19" x14ac:dyDescent="0.3">
      <c r="A10" s="113">
        <v>45345</v>
      </c>
      <c r="B10" s="97" t="s">
        <v>448</v>
      </c>
      <c r="C10" s="115" t="str">
        <f>VLOOKUP(표4[[#This Row],[종목코드]],표3[],2,FALSE)</f>
        <v>미국인프라</v>
      </c>
      <c r="D10" s="116" t="str">
        <f>VLOOKUP(표4[[#This Row],[종목코드]],표3[],4,FALSE)</f>
        <v>GLOBAL X US INFRASTRUCTURE DEVELOPMENT ETF</v>
      </c>
      <c r="E10" s="43">
        <v>89</v>
      </c>
      <c r="F10" s="117">
        <v>3220.02</v>
      </c>
      <c r="G10" s="118">
        <v>3228.06</v>
      </c>
      <c r="H10" s="118">
        <f>표4[[#This Row],[현금지출]]-표4[[#This Row],[매입액]]</f>
        <v>8.0399999999999636</v>
      </c>
      <c r="I10" s="98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f>표4[[#This Row],[매도액]]-표4[[#This Row],[매도원금]]</f>
        <v>0</v>
      </c>
      <c r="O10" s="117">
        <f>표4[[#This Row],[매도액]]+표4[[#This Row],[이자배당액]]-표4[[#This Row],[현금수입]]</f>
        <v>0</v>
      </c>
      <c r="P10" s="120">
        <f>표4[[#This Row],[매매수익]]+표4[[#This Row],[이자배당액]]-표4[[#This Row],[매도비용]]-표4[[#This Row],[매입비용]]</f>
        <v>-8.0399999999999636</v>
      </c>
      <c r="Q10" s="30">
        <v>0</v>
      </c>
      <c r="R10" s="30">
        <f>표4[[#This Row],[입출금]]+표4[[#This Row],[현금수입]]-표4[[#This Row],[현금지출]]</f>
        <v>-3228.06</v>
      </c>
      <c r="S10">
        <f>SUM($R$2:R10)</f>
        <v>2669.89</v>
      </c>
    </row>
    <row r="11" spans="1:19" x14ac:dyDescent="0.3">
      <c r="A11" s="113">
        <v>45345</v>
      </c>
      <c r="B11" s="114" t="s">
        <v>449</v>
      </c>
      <c r="C11" s="104" t="str">
        <f>VLOOKUP(표4[[#This Row],[종목코드]],표3[],2,FALSE)</f>
        <v>미국부동산</v>
      </c>
      <c r="D11" s="105" t="str">
        <f>VLOOKUP(표4[[#This Row],[종목코드]],표3[],4,FALSE)</f>
        <v>VANGUARD REAL ESTATE ETF</v>
      </c>
      <c r="E11" s="43">
        <v>31</v>
      </c>
      <c r="F11" s="101">
        <v>2607.7200000000003</v>
      </c>
      <c r="G11" s="102">
        <v>2614.2300000000005</v>
      </c>
      <c r="H11" s="102">
        <f>표4[[#This Row],[현금지출]]-표4[[#This Row],[매입액]]</f>
        <v>6.5100000000002183</v>
      </c>
      <c r="I11" s="119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f>표4[[#This Row],[매도액]]-표4[[#This Row],[매도원금]]</f>
        <v>0</v>
      </c>
      <c r="O11" s="101">
        <f>표4[[#This Row],[매도액]]+표4[[#This Row],[이자배당액]]-표4[[#This Row],[현금수입]]</f>
        <v>0</v>
      </c>
      <c r="P11" s="103">
        <f>표4[[#This Row],[매매수익]]+표4[[#This Row],[이자배당액]]-표4[[#This Row],[매도비용]]-표4[[#This Row],[매입비용]]</f>
        <v>-6.5100000000002183</v>
      </c>
      <c r="Q11" s="30">
        <v>0</v>
      </c>
      <c r="R11" s="30">
        <f>표4[[#This Row],[입출금]]+표4[[#This Row],[현금수입]]-표4[[#This Row],[현금지출]]</f>
        <v>-2614.2300000000005</v>
      </c>
      <c r="S11">
        <f>SUM($R$2:R11)</f>
        <v>55.6599999999994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자산정보</vt:lpstr>
      <vt:lpstr>연금종목정보</vt:lpstr>
      <vt:lpstr>농협IRP</vt:lpstr>
      <vt:lpstr>농협IRP (2)</vt:lpstr>
      <vt:lpstr>삼성DC (2)</vt:lpstr>
      <vt:lpstr>삼성DC</vt:lpstr>
      <vt:lpstr>엔투저축연금</vt:lpstr>
      <vt:lpstr>불리오달러</vt:lpstr>
      <vt:lpstr>한투달러</vt:lpstr>
      <vt:lpstr>한투엔화</vt:lpstr>
      <vt:lpstr>외화자산평가</vt:lpstr>
      <vt:lpstr>한투원화</vt:lpstr>
      <vt:lpstr>한투ISA</vt:lpstr>
      <vt:lpstr>별도원화</vt:lpstr>
      <vt:lpstr>한투CMA</vt:lpstr>
      <vt:lpstr>나무원화</vt:lpstr>
      <vt:lpstr>현금흐름</vt:lpstr>
      <vt:lpstr>급여및지출</vt:lpstr>
      <vt:lpstr>각종정보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infomax</cp:lastModifiedBy>
  <dcterms:created xsi:type="dcterms:W3CDTF">2023-07-30T03:48:56Z</dcterms:created>
  <dcterms:modified xsi:type="dcterms:W3CDTF">2024-07-15T08:52:14Z</dcterms:modified>
</cp:coreProperties>
</file>