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OneDrive\1. 프로젝트\my_asset\"/>
    </mc:Choice>
  </mc:AlternateContent>
  <bookViews>
    <workbookView xWindow="0" yWindow="0" windowWidth="17250" windowHeight="5610" tabRatio="810" activeTab="4"/>
  </bookViews>
  <sheets>
    <sheet name="자산정보" sheetId="2" r:id="rId1"/>
    <sheet name="연금종목정보" sheetId="15" r:id="rId2"/>
    <sheet name="농협IRP" sheetId="18" r:id="rId3"/>
    <sheet name="삼성DC" sheetId="17" r:id="rId4"/>
    <sheet name="엔투저축연금" sheetId="16" r:id="rId5"/>
    <sheet name="농협IRP (2)" sheetId="19" r:id="rId6"/>
    <sheet name="삼성DC (2)" sheetId="20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6" l="1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5" i="18"/>
  <c r="C2" i="16"/>
  <c r="H17" i="15"/>
  <c r="I17" i="15" s="1"/>
  <c r="B36" i="19" l="1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C25" i="11"/>
  <c r="D25" i="11"/>
  <c r="H25" i="11"/>
  <c r="N25" i="11"/>
  <c r="P25" i="11" s="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4" i="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P24" i="1" s="1"/>
  <c r="N25" i="1"/>
  <c r="N26" i="1"/>
  <c r="N27" i="1"/>
  <c r="N28" i="1"/>
  <c r="O22" i="1"/>
  <c r="O23" i="1"/>
  <c r="O24" i="1"/>
  <c r="O25" i="1"/>
  <c r="O26" i="1"/>
  <c r="O27" i="1"/>
  <c r="O28" i="1"/>
  <c r="P26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S18" i="1" s="1"/>
  <c r="P24" i="11" l="1"/>
  <c r="P23" i="11"/>
  <c r="S25" i="1"/>
  <c r="S17" i="1"/>
  <c r="P28" i="1"/>
  <c r="P27" i="1"/>
  <c r="S23" i="1"/>
  <c r="S22" i="1"/>
  <c r="P25" i="1"/>
  <c r="S21" i="1"/>
  <c r="P23" i="1"/>
  <c r="S28" i="1"/>
  <c r="S20" i="1"/>
  <c r="S27" i="1"/>
  <c r="S19" i="1"/>
  <c r="S26" i="1"/>
  <c r="P22" i="1"/>
  <c r="P20" i="1"/>
  <c r="P21" i="1"/>
  <c r="P16" i="1"/>
  <c r="P17" i="1"/>
  <c r="P18" i="1"/>
  <c r="P19" i="1"/>
  <c r="C2" i="18"/>
  <c r="C3" i="18"/>
  <c r="C4" i="18"/>
  <c r="C5" i="18"/>
  <c r="R5" i="18"/>
  <c r="O5" i="18"/>
  <c r="N5" i="18"/>
  <c r="H5" i="18"/>
  <c r="R4" i="18"/>
  <c r="O4" i="18"/>
  <c r="N4" i="18"/>
  <c r="H4" i="18"/>
  <c r="R3" i="18"/>
  <c r="O3" i="18"/>
  <c r="N3" i="18"/>
  <c r="H3" i="18"/>
  <c r="R2" i="18"/>
  <c r="O2" i="18"/>
  <c r="N2" i="18"/>
  <c r="H2" i="18"/>
  <c r="C3" i="17"/>
  <c r="C4" i="17"/>
  <c r="C5" i="17"/>
  <c r="C6" i="17"/>
  <c r="C7" i="17"/>
  <c r="C8" i="17"/>
  <c r="C9" i="17"/>
  <c r="C10" i="17"/>
  <c r="C11" i="17"/>
  <c r="C12" i="17"/>
  <c r="H3" i="17"/>
  <c r="H4" i="17"/>
  <c r="H5" i="17"/>
  <c r="H6" i="17"/>
  <c r="H7" i="17"/>
  <c r="H8" i="17"/>
  <c r="H9" i="17"/>
  <c r="H10" i="17"/>
  <c r="H11" i="17"/>
  <c r="H12" i="17"/>
  <c r="N3" i="17"/>
  <c r="N4" i="17"/>
  <c r="N5" i="17"/>
  <c r="N6" i="17"/>
  <c r="N7" i="17"/>
  <c r="N8" i="17"/>
  <c r="N9" i="17"/>
  <c r="N10" i="17"/>
  <c r="N11" i="17"/>
  <c r="N12" i="17"/>
  <c r="O3" i="17"/>
  <c r="O4" i="17"/>
  <c r="O5" i="17"/>
  <c r="O6" i="17"/>
  <c r="O7" i="17"/>
  <c r="O8" i="17"/>
  <c r="O9" i="17"/>
  <c r="O10" i="17"/>
  <c r="O11" i="17"/>
  <c r="O12" i="17"/>
  <c r="R3" i="17"/>
  <c r="R4" i="17"/>
  <c r="R5" i="17"/>
  <c r="R6" i="17"/>
  <c r="R7" i="17"/>
  <c r="R8" i="17"/>
  <c r="R9" i="17"/>
  <c r="R10" i="17"/>
  <c r="R11" i="17"/>
  <c r="R12" i="17"/>
  <c r="C2" i="17"/>
  <c r="R2" i="17"/>
  <c r="O2" i="17"/>
  <c r="N2" i="17"/>
  <c r="H2" i="17"/>
  <c r="S4" i="18" l="1"/>
  <c r="S3" i="18"/>
  <c r="S5" i="18"/>
  <c r="S2" i="18"/>
  <c r="S3" i="17"/>
  <c r="S11" i="17"/>
  <c r="S5" i="17"/>
  <c r="S2" i="17"/>
  <c r="S12" i="17"/>
  <c r="S4" i="17"/>
  <c r="S9" i="17"/>
  <c r="S10" i="17"/>
  <c r="S8" i="17"/>
  <c r="S7" i="17"/>
  <c r="S6" i="17"/>
  <c r="H7" i="15"/>
  <c r="I7" i="15" s="1"/>
  <c r="H8" i="15"/>
  <c r="I8" i="15" s="1"/>
  <c r="H9" i="15"/>
  <c r="I9" i="15" s="1"/>
  <c r="H10" i="15"/>
  <c r="I10" i="15" s="1"/>
  <c r="H11" i="15"/>
  <c r="I11" i="15" s="1"/>
  <c r="H12" i="15"/>
  <c r="I12" i="15" s="1"/>
  <c r="H13" i="15"/>
  <c r="I13" i="15" s="1"/>
  <c r="H14" i="15"/>
  <c r="I14" i="15" s="1"/>
  <c r="H15" i="15"/>
  <c r="I15" i="15" s="1"/>
  <c r="H16" i="15"/>
  <c r="I16" i="15" s="1"/>
  <c r="H6" i="15"/>
  <c r="I6" i="15" s="1"/>
  <c r="I3" i="15"/>
  <c r="J3" i="15"/>
  <c r="I4" i="15"/>
  <c r="J4" i="15" s="1"/>
  <c r="I5" i="15"/>
  <c r="J5" i="15" s="1"/>
  <c r="I2" i="15"/>
  <c r="J2" i="15" s="1"/>
  <c r="S3" i="12" l="1"/>
  <c r="S4" i="12"/>
  <c r="S5" i="12"/>
  <c r="C5" i="12"/>
  <c r="D5" i="12"/>
  <c r="H5" i="12"/>
  <c r="N5" i="12"/>
  <c r="O5" i="12"/>
  <c r="P5" i="12" s="1"/>
  <c r="R5" i="12"/>
  <c r="L58" i="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C15" i="11"/>
  <c r="D15" i="11"/>
  <c r="H15" i="11"/>
  <c r="N15" i="11"/>
  <c r="O15" i="11"/>
  <c r="R15" i="1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14" i="11"/>
  <c r="C14" i="11"/>
  <c r="D14" i="11"/>
  <c r="H14" i="11"/>
  <c r="N14" i="11"/>
  <c r="O14" i="11"/>
  <c r="R14" i="11"/>
  <c r="M13" i="11"/>
  <c r="C13" i="11"/>
  <c r="D13" i="11"/>
  <c r="H13" i="11"/>
  <c r="N13" i="11"/>
  <c r="O13" i="11"/>
  <c r="R13" i="11"/>
  <c r="P22" i="11" l="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S2" i="6" s="1"/>
  <c r="C3" i="6"/>
  <c r="D3" i="6"/>
  <c r="H3" i="6"/>
  <c r="N3" i="6"/>
  <c r="R3" i="6"/>
  <c r="S3" i="6" s="1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25" i="11" l="1"/>
  <c r="S2" i="11"/>
  <c r="S10" i="11"/>
  <c r="S18" i="11"/>
  <c r="S24" i="11"/>
  <c r="S3" i="11"/>
  <c r="S11" i="11"/>
  <c r="S19" i="11"/>
  <c r="S4" i="11"/>
  <c r="S12" i="11"/>
  <c r="S20" i="11"/>
  <c r="S5" i="11"/>
  <c r="S13" i="11"/>
  <c r="S21" i="11"/>
  <c r="S6" i="11"/>
  <c r="S14" i="11"/>
  <c r="S22" i="11"/>
  <c r="S7" i="11"/>
  <c r="S15" i="11"/>
  <c r="S23" i="11"/>
  <c r="S8" i="11"/>
  <c r="S9" i="11"/>
  <c r="S17" i="11"/>
  <c r="S16" i="11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D5" i="4"/>
  <c r="D4" i="4"/>
  <c r="D3" i="4"/>
  <c r="D2" i="4"/>
  <c r="C5" i="4"/>
  <c r="C4" i="4"/>
  <c r="C3" i="4"/>
  <c r="C2" i="4"/>
  <c r="H2" i="4"/>
  <c r="P2" i="4" s="1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P13" i="1" l="1"/>
  <c r="P6" i="1"/>
  <c r="P4" i="1"/>
  <c r="P12" i="1"/>
  <c r="P10" i="17"/>
  <c r="P6" i="17"/>
  <c r="P12" i="17"/>
  <c r="P4" i="18"/>
  <c r="P4" i="17"/>
  <c r="P11" i="17"/>
  <c r="P9" i="17"/>
  <c r="P3" i="1"/>
  <c r="P8" i="17"/>
  <c r="P5" i="17"/>
  <c r="P5" i="18"/>
  <c r="P3" i="17"/>
  <c r="P3" i="18"/>
  <c r="P2" i="17"/>
  <c r="P2" i="18"/>
  <c r="P7" i="17"/>
  <c r="P10" i="1"/>
  <c r="P2" i="1"/>
  <c r="P8" i="1"/>
  <c r="P7" i="1"/>
  <c r="P5" i="1"/>
  <c r="P11" i="1"/>
  <c r="P3" i="4"/>
  <c r="S5" i="4"/>
  <c r="P5" i="4"/>
  <c r="P4" i="4"/>
  <c r="S4" i="4"/>
  <c r="S2" i="4"/>
  <c r="S3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/>
  <c r="G13" i="13"/>
  <c r="D13" i="13"/>
  <c r="F12" i="13"/>
  <c r="G12" i="13"/>
  <c r="D12" i="13"/>
  <c r="F11" i="13"/>
  <c r="G11" i="13"/>
  <c r="D11" i="13"/>
  <c r="F10" i="13"/>
  <c r="G10" i="13"/>
  <c r="D10" i="13"/>
  <c r="F9" i="13"/>
  <c r="G9" i="13"/>
  <c r="D9" i="13"/>
  <c r="F8" i="13"/>
  <c r="G8" i="13"/>
  <c r="D8" i="13"/>
  <c r="F7" i="13"/>
  <c r="G7" i="13"/>
  <c r="D7" i="13"/>
  <c r="F6" i="13"/>
  <c r="G6" i="13"/>
  <c r="D6" i="13"/>
  <c r="F5" i="13"/>
  <c r="G5" i="13"/>
  <c r="D5" i="13"/>
  <c r="F4" i="13"/>
  <c r="G4" i="13"/>
  <c r="D4" i="13"/>
  <c r="F3" i="13"/>
  <c r="G3" i="13"/>
  <c r="D3" i="13"/>
  <c r="F2" i="13"/>
  <c r="G2" i="13"/>
  <c r="D2" i="13"/>
  <c r="D14" i="13"/>
  <c r="R2" i="10"/>
  <c r="R3" i="10"/>
  <c r="C3" i="10"/>
  <c r="D3" i="10"/>
  <c r="H3" i="10"/>
  <c r="N3" i="10"/>
  <c r="O3" i="10"/>
  <c r="O2" i="10"/>
  <c r="N2" i="10"/>
  <c r="H2" i="10"/>
  <c r="P2" i="10" s="1"/>
  <c r="D2" i="10"/>
  <c r="C2" i="10"/>
  <c r="R2" i="3"/>
  <c r="S2" i="3" s="1"/>
  <c r="B1" i="8"/>
  <c r="D2" i="3"/>
  <c r="C2" i="3"/>
  <c r="H2" i="3"/>
  <c r="O2" i="3"/>
  <c r="N2" i="3"/>
  <c r="P3" i="10" l="1"/>
  <c r="P2" i="3"/>
  <c r="S3" i="10"/>
  <c r="S2" i="10"/>
</calcChain>
</file>

<file path=xl/sharedStrings.xml><?xml version="1.0" encoding="utf-8"?>
<sst xmlns="http://schemas.openxmlformats.org/spreadsheetml/2006/main" count="1308" uniqueCount="421">
  <si>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</si>
  <si>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</si>
  <si>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</si>
  <si>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</si>
  <si>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</si>
  <si>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</si>
  <si>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</si>
  <si>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</si>
  <si>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</si>
  <si>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</si>
  <si>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</si>
  <si>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</si>
  <si>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</si>
  <si>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</si>
  <si>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</si>
  <si>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</si>
  <si>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</si>
  <si>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</si>
  <si>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</si>
  <si>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</si>
  <si>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</si>
  <si>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</si>
  <si>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</si>
  <si>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</si>
  <si>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</si>
  <si>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</si>
  <si>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</si>
  <si>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</si>
  <si>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</si>
  <si>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</si>
  <si>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</si>
  <si>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</si>
  <si>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</si>
  <si>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</si>
  <si>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</si>
  <si>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</si>
  <si>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</si>
  <si>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</si>
  <si>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</si>
  <si>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</si>
  <si>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</si>
  <si>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</si>
  <si>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</si>
  <si>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</si>
  <si>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</si>
  <si>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</si>
  <si>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</si>
  <si>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</si>
  <si>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</si>
  <si>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</si>
  <si>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</si>
  <si>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</si>
  <si>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</si>
  <si>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</si>
  <si>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</si>
  <si>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</si>
  <si>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</si>
  <si>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</si>
  <si>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</si>
  <si>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</si>
  <si>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</si>
  <si>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</si>
  <si>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</si>
  <si>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</si>
  <si>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</si>
  <si>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</si>
  <si>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</si>
  <si>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</si>
  <si>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</si>
  <si>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</si>
  <si>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</si>
  <si>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</si>
  <si>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</si>
  <si>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</si>
  <si>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</si>
  <si>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</si>
  <si>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</si>
  <si>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</si>
  <si>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</si>
  <si>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</si>
  <si>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</si>
  <si>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</si>
  <si>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</si>
  <si>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</si>
  <si>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</si>
  <si>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</si>
  <si>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</si>
  <si>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</si>
  <si>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</si>
  <si>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</si>
  <si>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</si>
  <si>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</si>
  <si>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</si>
  <si>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</si>
  <si>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</si>
  <si>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</si>
  <si>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</si>
  <si>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</si>
  <si>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</si>
  <si>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</si>
  <si>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</si>
  <si>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</si>
  <si>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</si>
  <si>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</si>
  <si>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</si>
  <si>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</si>
  <si>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</si>
  <si>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</si>
  <si>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</si>
  <si>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</si>
  <si>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</si>
  <si>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</si>
  <si>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</si>
  <si>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</si>
  <si>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</si>
  <si>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</si>
  <si>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</si>
  <si>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</si>
  <si>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</si>
  <si>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</si>
  <si>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</si>
  <si>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</si>
  <si>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</si>
  <si>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</si>
  <si>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</si>
  <si>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</si>
  <si>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</si>
  <si>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</si>
  <si>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</si>
  <si>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</si>
  <si>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</si>
  <si>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</si>
  <si>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</si>
  <si>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</si>
  <si>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</si>
  <si>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</si>
  <si>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</si>
  <si>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</si>
  <si>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</si>
  <si>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</si>
  <si>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</si>
  <si>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</si>
  <si>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</si>
  <si>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</si>
  <si>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</si>
  <si>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</si>
  <si>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</si>
  <si>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</si>
  <si>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</si>
  <si>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</si>
  <si>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</si>
  <si>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</si>
  <si>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</si>
  <si>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</si>
  <si>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</si>
  <si>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</si>
  <si>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</si>
  <si>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</si>
  <si>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</si>
  <si>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</si>
  <si>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</si>
  <si>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</si>
  <si>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</si>
  <si>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</si>
  <si>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</si>
  <si>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</si>
  <si>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</si>
  <si>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</si>
  <si>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</si>
  <si>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</si>
  <si>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</si>
  <si>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</si>
  <si>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</si>
  <si>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</si>
  <si>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</si>
  <si>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</si>
  <si>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</si>
  <si>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</si>
  <si>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</si>
  <si>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</si>
  <si>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</si>
  <si>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</si>
  <si>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</si>
  <si>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</si>
  <si>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</si>
  <si>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</si>
  <si>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</si>
  <si>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</si>
  <si>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</si>
  <si>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</si>
  <si>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</si>
  <si>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</si>
  <si>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</si>
  <si>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</si>
  <si>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</si>
  <si>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</si>
  <si>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</si>
  <si>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</si>
  <si>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</si>
  <si>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</si>
  <si>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</si>
  <si>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</si>
  <si>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</si>
  <si>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</si>
  <si>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</si>
  <si>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</si>
  <si>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</si>
  <si>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</si>
  <si>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</si>
  <si>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</si>
  <si>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</si>
  <si>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</si>
  <si>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</si>
  <si>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</si>
  <si>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</si>
  <si>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</si>
  <si>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</si>
  <si>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</si>
  <si>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</si>
  <si>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</si>
  <si>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</si>
  <si>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</si>
  <si>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</si>
  <si>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</si>
  <si>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</si>
  <si>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</si>
  <si>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</si>
  <si>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</si>
  <si>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</si>
  <si>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</si>
  <si>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</si>
  <si>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</si>
  <si>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</si>
  <si>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</si>
  <si>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</si>
  <si>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</si>
  <si>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</si>
  <si>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</si>
  <si>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</si>
  <si>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</si>
  <si>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</si>
  <si>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</si>
  <si>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</si>
  <si>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</si>
  <si>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</si>
  <si>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</si>
  <si>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</si>
  <si>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</si>
  <si>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매입장부금액</t>
    <phoneticPr fontId="7" type="noConversion"/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</si>
  <si>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</si>
  <si>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</si>
  <si>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</si>
  <si>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</si>
  <si>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</si>
  <si>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</si>
  <si>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</si>
  <si>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</si>
  <si>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</si>
  <si>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</si>
  <si>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</si>
  <si>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</si>
  <si>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</si>
  <si>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</si>
  <si>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</si>
  <si>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</si>
  <si>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</si>
  <si>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</si>
  <si>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</si>
  <si>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</si>
  <si>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</si>
  <si>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</si>
  <si>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</si>
  <si>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</si>
  <si>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</si>
  <si>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</si>
  <si>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</si>
  <si>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</si>
  <si>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</si>
  <si>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</si>
  <si>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</si>
  <si>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</si>
  <si>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</si>
  <si>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</si>
  <si>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</si>
  <si>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</si>
  <si>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</si>
  <si>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</si>
  <si>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</si>
  <si>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</si>
  <si>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</si>
  <si>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</si>
  <si>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</si>
  <si>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</si>
  <si>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</si>
  <si>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</si>
  <si>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</si>
  <si>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</si>
  <si>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</si>
  <si>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</si>
  <si>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</si>
  <si>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</si>
  <si>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</si>
  <si>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</si>
  <si>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</si>
  <si>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</si>
  <si>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</si>
  <si>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</si>
  <si>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</si>
  <si>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</si>
  <si>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</si>
  <si>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</si>
  <si>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</si>
  <si>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</si>
  <si>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기초장부금액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</si>
  <si>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</si>
  <si>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</si>
  <si>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</si>
  <si>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</si>
  <si>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</si>
  <si>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</si>
  <si>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</si>
  <si>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</si>
  <si>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</si>
  <si>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</si>
  <si>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</si>
  <si>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</si>
  <si>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</si>
  <si>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</si>
  <si>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</si>
  <si>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</si>
  <si>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</si>
  <si>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</si>
  <si>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</si>
  <si>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</si>
  <si>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</si>
  <si>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</si>
  <si>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</si>
  <si>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삼성 KODEX 코스피증권상장지수투자신탁(주식)</t>
    <phoneticPr fontId="7" type="noConversion"/>
  </si>
  <si>
    <t>주식</t>
    <phoneticPr fontId="7" type="noConversion"/>
  </si>
  <si>
    <t>국내주식</t>
    <phoneticPr fontId="7" type="noConversion"/>
  </si>
  <si>
    <t>장부금액</t>
    <phoneticPr fontId="7" type="noConversion"/>
  </si>
  <si>
    <t>평가금액</t>
    <phoneticPr fontId="7" type="noConversion"/>
  </si>
  <si>
    <t>평가손익</t>
    <phoneticPr fontId="7" type="noConversion"/>
  </si>
  <si>
    <t>수익률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</si>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</sst>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9" fontId="6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0" fontId="0" fillId="0" borderId="0" xfId="3" applyNumberFormat="1" applyFont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14" fontId="0" fillId="4" borderId="0" xfId="0" applyNumberFormat="1" applyFill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left" vertical="center"/>
    </xf>
  </cellXfs>
  <cellStyles count="4">
    <cellStyle name="백분율" xfId="3" builtinId="5"/>
    <cellStyle name="쉼표 [0]" xfId="1" builtinId="6"/>
    <cellStyle name="표준" xfId="0" builtinId="0"/>
    <cellStyle name="표준 2" xfId="2"/>
  </cellStyles>
  <dxfs count="2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4" formatCode="0.00%"/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표3" displayName="표3" ref="A1:L58" totalsRowShown="0">
  <autoFilter ref="A1:L58"/>
  <tableColumns count="12">
    <tableColumn id="8" name="종목코드" dataDxfId="267"/>
    <tableColumn id="9" name="종목명" dataDxfId="266">
      <calculatedColumnFormula>LEFT(#REF!,SEARCH("_",#REF!)-1)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" name="매입장부금액" dataDxfId="265"/>
    <tableColumn id="10" name="기초평가손익" dataDxfId="264"/>
    <tableColumn id="11" name="기초장부금액" dataDxfId="263">
      <calculatedColumnFormula>표3[[#This Row],[매입장부금액]]+표3[[#This Row],[기초평가손익]]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CMA_한투183611" displayName="CMA_한투183611" ref="A1:S25" totalsRowShown="0" headerRowDxfId="86" headerRowCellStyle="쉼표 [0]">
  <autoFilter ref="A1:S25"/>
  <tableColumns count="19">
    <tableColumn id="1" name="거래일자" dataDxfId="85"/>
    <tableColumn id="5" name="종목코드" dataDxfId="84"/>
    <tableColumn id="9" name="종목명" dataDxfId="83">
      <calculatedColumnFormula>VLOOKUP(CMA_한투183611[[#This Row],[종목코드]],표3[],2,FALSE)</calculatedColumnFormula>
    </tableColumn>
    <tableColumn id="10" name="상품명" dataDxfId="82">
      <calculatedColumnFormula>VLOOKUP(CMA_한투183611[[#This Row],[종목코드]],표3[],4,FALSE)</calculatedColumnFormula>
    </tableColumn>
    <tableColumn id="6" name="매입수량" dataDxfId="81"/>
    <tableColumn id="2" name="매입액"/>
    <tableColumn id="12" name="현금지출"/>
    <tableColumn id="16" name="매입비용" dataDxfId="80">
      <calculatedColumnFormula>CMA_한투183611[[#This Row],[현금지출]]-CMA_한투183611[[#This Row],[매입액]]</calculatedColumnFormula>
    </tableColumn>
    <tableColumn id="7" name="매도수량" dataDxfId="79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78">
      <calculatedColumnFormula>CMA_한투183611[[#This Row],[입출금]]+CMA_한투183611[[#This Row],[현금수입]]-CMA_한투183611[[#This Row],[현금지출]]</calculatedColumnFormula>
    </tableColumn>
    <tableColumn id="22" name="누적" dataDxfId="77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CMA_한투18361112" displayName="CMA_한투18361112" ref="A1:S5" totalsRowShown="0" headerRowDxfId="76" headerRowCellStyle="쉼표 [0]">
  <autoFilter ref="A1:S5"/>
  <tableColumns count="19">
    <tableColumn id="1" name="거래일자" dataDxfId="75"/>
    <tableColumn id="5" name="종목코드" dataDxfId="74"/>
    <tableColumn id="9" name="종목명" dataDxfId="73">
      <calculatedColumnFormula>VLOOKUP(CMA_한투18361112[[#This Row],[종목코드]],표3[],2,FALSE)</calculatedColumnFormula>
    </tableColumn>
    <tableColumn id="10" name="상품명" dataDxfId="72">
      <calculatedColumnFormula>VLOOKUP(CMA_한투18361112[[#This Row],[종목코드]],표3[],4,FALSE)</calculatedColumnFormula>
    </tableColumn>
    <tableColumn id="6" name="매입수량" dataDxfId="71"/>
    <tableColumn id="2" name="매입액"/>
    <tableColumn id="12" name="현금지출"/>
    <tableColumn id="16" name="매입비용" dataDxfId="70">
      <calculatedColumnFormula>CMA_한투18361112[[#This Row],[현금지출]]-CMA_한투18361112[[#This Row],[매입액]]</calculatedColumnFormula>
    </tableColumn>
    <tableColumn id="7" name="매도수량" dataDxfId="69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68">
      <calculatedColumnFormula>CMA_한투18361112[[#This Row],[입출금]]+CMA_한투18361112[[#This Row],[현금수입]]-CMA_한투18361112[[#This Row],[현금지출]]</calculatedColumnFormula>
    </tableColumn>
    <tableColumn id="22" name="누적" dataDxfId="67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CMA_한투183" displayName="CMA_한투183" ref="A1:S2" totalsRowShown="0" headerRowDxfId="66" dataDxfId="65" headerRowCellStyle="쉼표 [0]" dataCellStyle="쉼표 [0]">
  <autoFilter ref="A1:S2"/>
  <tableColumns count="19">
    <tableColumn id="1" name="거래일자" dataDxfId="64"/>
    <tableColumn id="5" name="종목코드" dataDxfId="63"/>
    <tableColumn id="9" name="종목명" dataDxfId="62">
      <calculatedColumnFormula>VLOOKUP(CMA_한투183[[#This Row],[종목코드]],표3[],2,FALSE)</calculatedColumnFormula>
    </tableColumn>
    <tableColumn id="10" name="상품명" dataDxfId="61">
      <calculatedColumnFormula>VLOOKUP(CMA_한투183[[#This Row],[종목코드]],표3[],4,FALSE)</calculatedColumnFormula>
    </tableColumn>
    <tableColumn id="6" name="매입수량" dataDxfId="60"/>
    <tableColumn id="2" name="매입액" dataDxfId="59" dataCellStyle="쉼표 [0]"/>
    <tableColumn id="12" name="현금지출" dataDxfId="58" dataCellStyle="쉼표 [0]"/>
    <tableColumn id="16" name="매입비용" dataDxfId="57" dataCellStyle="쉼표 [0]">
      <calculatedColumnFormula>CMA_한투183[[#This Row],[현금지출]]-CMA_한투183[[#This Row],[매입액]]</calculatedColumnFormula>
    </tableColumn>
    <tableColumn id="7" name="매도수량" dataDxfId="56" dataCellStyle="쉼표 [0]"/>
    <tableColumn id="3" name="매도원금" dataDxfId="55" dataCellStyle="쉼표 [0]"/>
    <tableColumn id="15" name="매도액" dataDxfId="54" dataCellStyle="쉼표 [0]"/>
    <tableColumn id="14" name="이자배당액" dataDxfId="53" dataCellStyle="쉼표 [0]"/>
    <tableColumn id="13" name="현금수입" dataDxfId="52" dataCellStyle="쉼표 [0]"/>
    <tableColumn id="17" name="매매수익" dataDxfId="51" dataCellStyle="쉼표 [0]">
      <calculatedColumnFormula>CMA_한투183[[#This Row],[매도액]]-CMA_한투183[[#This Row],[매도원금]]</calculatedColumnFormula>
    </tableColumn>
    <tableColumn id="18" name="매도비용" dataDxfId="50" dataCellStyle="쉼표 [0]">
      <calculatedColumnFormula>CMA_한투183[[#This Row],[매도액]]+CMA_한투183[[#This Row],[이자배당액]]-CMA_한투183[[#This Row],[현금수입]]</calculatedColumnFormula>
    </tableColumn>
    <tableColumn id="19" name="순수익" dataDxfId="49" dataCellStyle="쉼표 [0]">
      <calculatedColumnFormula>CMA_한투183[[#This Row],[매매수익]]+CMA_한투183[[#This Row],[이자배당액]]-CMA_한투183[[#This Row],[매도비용]]-CMA_한투183[[#This Row],[매입비용]]</calculatedColumnFormula>
    </tableColumn>
    <tableColumn id="4" name="입출금" dataDxfId="48" dataCellStyle="쉼표 [0]"/>
    <tableColumn id="21" name="순현금수입" dataDxfId="47" dataCellStyle="쉼표 [0]">
      <calculatedColumnFormula>CMA_한투183[[#This Row],[입출금]]+CMA_한투183[[#This Row],[현금수입]]-CMA_한투183[[#This Row],[현금지출]]</calculatedColumnFormula>
    </tableColumn>
    <tableColumn id="22" name="누적" dataDxfId="46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5" name="CMA_한투1836" displayName="CMA_한투1836" ref="A1:S2" insertRow="1" totalsRowShown="0" headerRowDxfId="45" headerRowCellStyle="쉼표 [0]">
  <autoFilter ref="A1:S2"/>
  <tableColumns count="19">
    <tableColumn id="1" name="거래일자" dataDxfId="44"/>
    <tableColumn id="5" name="종목코드" dataDxfId="43"/>
    <tableColumn id="9" name="종목명" dataDxfId="42">
      <calculatedColumnFormula>VLOOKUP(CMA_한투1836[[#This Row],[종목코드]],표3[],2,FALSE)</calculatedColumnFormula>
    </tableColumn>
    <tableColumn id="10" name="상품명" dataDxfId="41">
      <calculatedColumnFormula>VLOOKUP(CMA_한투1836[[#This Row],[종목코드]],표3[],4,FALSE)</calculatedColumnFormula>
    </tableColumn>
    <tableColumn id="6" name="매입수량" dataDxfId="40"/>
    <tableColumn id="2" name="매입액"/>
    <tableColumn id="12" name="현금지출"/>
    <tableColumn id="16" name="매입비용" dataDxfId="39">
      <calculatedColumnFormula>CMA_한투1836[[#This Row],[현금지출]]-CMA_한투1836[[#This Row],[매입액]]</calculatedColumnFormula>
    </tableColumn>
    <tableColumn id="7" name="매도수량" dataDxfId="38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37">
      <calculatedColumnFormula>CMA_한투1836[[#This Row],[입출금]]+CMA_한투1836[[#This Row],[현금수입]]-CMA_한투1836[[#This Row],[현금지출]]</calculatedColumnFormula>
    </tableColumn>
    <tableColumn id="22" name="누적" dataDxfId="36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CMA_한투1838" displayName="CMA_한투1838" ref="A1:S2" insertRow="1" totalsRowShown="0" headerRowDxfId="35" dataDxfId="34" headerRowCellStyle="쉼표 [0]" dataCellStyle="쉼표 [0]">
  <autoFilter ref="A1:S2"/>
  <tableColumns count="19">
    <tableColumn id="1" name="거래일자" dataDxfId="33"/>
    <tableColumn id="5" name="종목코드" dataDxfId="32"/>
    <tableColumn id="9" name="종목명" dataDxfId="31">
      <calculatedColumnFormula>VLOOKUP(CMA_한투1838[[#This Row],[종목코드]],표3[],2,FALSE)</calculatedColumnFormula>
    </tableColumn>
    <tableColumn id="10" name="상품명" dataDxfId="30">
      <calculatedColumnFormula>VLOOKUP(CMA_한투1838[[#This Row],[종목코드]],표3[],4,FALSE)</calculatedColumnFormula>
    </tableColumn>
    <tableColumn id="6" name="매입수량" dataDxfId="29"/>
    <tableColumn id="2" name="매입액" dataDxfId="28" dataCellStyle="쉼표 [0]"/>
    <tableColumn id="12" name="현금지출" dataDxfId="27" dataCellStyle="쉼표 [0]"/>
    <tableColumn id="16" name="매입비용" dataDxfId="26" dataCellStyle="쉼표 [0]">
      <calculatedColumnFormula>CMA_한투1838[[#This Row],[현금지출]]-CMA_한투1838[[#This Row],[매입액]]</calculatedColumnFormula>
    </tableColumn>
    <tableColumn id="7" name="매도수량" dataDxfId="25" dataCellStyle="쉼표 [0]"/>
    <tableColumn id="3" name="매도원금" dataDxfId="24" dataCellStyle="쉼표 [0]"/>
    <tableColumn id="15" name="매도액" dataDxfId="23" dataCellStyle="쉼표 [0]"/>
    <tableColumn id="14" name="이자배당액" dataDxfId="22" dataCellStyle="쉼표 [0]"/>
    <tableColumn id="13" name="현금수입" dataDxfId="21" dataCellStyle="쉼표 [0]"/>
    <tableColumn id="17" name="매매수익" dataDxfId="20" dataCellStyle="쉼표 [0]">
      <calculatedColumnFormula>CMA_한투1838[[#This Row],[매도액]]-CMA_한투1838[[#This Row],[매도원금]]</calculatedColumnFormula>
    </tableColumn>
    <tableColumn id="18" name="매도비용" dataDxfId="19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18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17" dataCellStyle="쉼표 [0]"/>
    <tableColumn id="21" name="순현금수입" dataDxfId="16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15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표8" displayName="표8" ref="A1:F340" totalsRowShown="0" headerRowDxfId="14">
  <autoFilter ref="A1:F340"/>
  <tableColumns count="6">
    <tableColumn id="1" name="거래일자" dataDxfId="13"/>
    <tableColumn id="4" name="원화자금유입" dataDxfId="12"/>
    <tableColumn id="2" name="원화투자회수" dataDxfId="11" dataCellStyle="쉼표 [0]"/>
    <tableColumn id="6" name="원화투자지출" dataDxfId="10" dataCellStyle="쉼표 [0]">
      <calculatedColumnFormula>IF(WEEKDAY(표8[[#This Row],[거래일자]])=4, 2000000,0)</calculatedColumnFormula>
    </tableColumn>
    <tableColumn id="3" name="원화자금유출" dataDxfId="9" dataCellStyle="쉼표 [0]"/>
    <tableColumn id="5" name="달러투자회수" dataDxfId="8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2" name="표1" displayName="표1" ref="A1:T57" totalsRowShown="0" headerRowDxfId="7">
  <autoFilter ref="A1:T57"/>
  <tableColumns count="20">
    <tableColumn id="2" name="종목코드"/>
    <tableColumn id="3" name="거래일자" dataDxfId="6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3" name="연금종목정보" displayName="연금종목정보" ref="A1:J17" totalsRowShown="0">
  <autoFilter ref="A1:J17"/>
  <tableColumns count="10">
    <tableColumn id="1" name="종목코드"/>
    <tableColumn id="2" name="종목명"/>
    <tableColumn id="8" name="평가금액" dataDxfId="5" dataCellStyle="쉼표 [0]"/>
    <tableColumn id="3" name="상품명"/>
    <tableColumn id="4" name="계좌"/>
    <tableColumn id="5" name="자산군"/>
    <tableColumn id="6" name="세부자산군"/>
    <tableColumn id="7" name="장부금액" dataDxfId="262" dataCellStyle="쉼표 [0]">
      <calculatedColumnFormula>C2/(1+J2)</calculatedColumnFormula>
    </tableColumn>
    <tableColumn id="9" name="평가손익" dataDxfId="261">
      <calculatedColumnFormula>C2-H2</calculatedColumnFormula>
    </tableColumn>
    <tableColumn id="10" name="수익률" dataDxfId="260" dataCellStyle="백분율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5" name="농협IRP" displayName="농협IRP" ref="A1:S5" totalsRowShown="0" headerRowDxfId="259" headerRowBorderDxfId="258" tableBorderDxfId="257" totalsRowBorderDxfId="256" headerRowCellStyle="쉼표 [0]">
  <autoFilter ref="A1:S5"/>
  <tableColumns count="19">
    <tableColumn id="1" name="거래일자" dataDxfId="255"/>
    <tableColumn id="2" name="종목코드" dataDxfId="254"/>
    <tableColumn id="3" name="종목명" dataDxfId="253">
      <calculatedColumnFormula>VLOOKUP(농협IRP[[#This Row],[종목코드]],연금종목정보[],2,FALSE)</calculatedColumnFormula>
    </tableColumn>
    <tableColumn id="4" name="상품명" dataDxfId="4">
      <calculatedColumnFormula>VLOOKUP(농협IRP[[#This Row],[종목코드]],연금종목정보[],4,FALSE)</calculatedColumnFormula>
    </tableColumn>
    <tableColumn id="5" name="매입수량" dataDxfId="252" dataCellStyle="쉼표 [0]"/>
    <tableColumn id="6" name="매입액" dataDxfId="251" dataCellStyle="쉼표 [0]"/>
    <tableColumn id="7" name="현금지출" dataDxfId="250" dataCellStyle="쉼표 [0]"/>
    <tableColumn id="8" name="매입비용" dataDxfId="249" dataCellStyle="쉼표 [0]">
      <calculatedColumnFormula>불리오[[#This Row],[현금지출]]-불리오[[#This Row],[매입액]]</calculatedColumnFormula>
    </tableColumn>
    <tableColumn id="9" name="매도수량" dataDxfId="248" dataCellStyle="쉼표 [0]"/>
    <tableColumn id="10" name="매도원금" dataDxfId="247" dataCellStyle="쉼표 [0]"/>
    <tableColumn id="11" name="매도액" dataDxfId="246" dataCellStyle="쉼표 [0]"/>
    <tableColumn id="12" name="이자배당액" dataDxfId="245" dataCellStyle="쉼표 [0]"/>
    <tableColumn id="13" name="현금수입" dataDxfId="244" dataCellStyle="쉼표 [0]"/>
    <tableColumn id="14" name="매매수익" dataDxfId="243" dataCellStyle="쉼표 [0]">
      <calculatedColumnFormula>불리오[[#This Row],[매도액]]-불리오[[#This Row],[매도원금]]</calculatedColumnFormula>
    </tableColumn>
    <tableColumn id="15" name="매도비용" dataDxfId="242" dataCellStyle="쉼표 [0]">
      <calculatedColumnFormula>불리오[[#This Row],[매도액]]+불리오[[#This Row],[이자배당액]]-불리오[[#This Row],[현금수입]]</calculatedColumnFormula>
    </tableColumn>
    <tableColumn id="16" name="순수익" dataDxfId="241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17" name="입출금" dataDxfId="240"/>
    <tableColumn id="18" name="순현금수입" dataDxfId="239" dataCellStyle="쉼표 [0]">
      <calculatedColumnFormula>불리오[[#This Row],[입출금]]+불리오[[#This Row],[현금수입]]-불리오[[#This Row],[현금지출]]</calculatedColumnFormula>
    </tableColumn>
    <tableColumn id="19" name="누적" dataDxfId="23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삼성DC" displayName="삼성DC" ref="A1:S12" totalsRowShown="0" headerRowDxfId="237" headerRowBorderDxfId="236" tableBorderDxfId="235" totalsRowBorderDxfId="234" headerRowCellStyle="쉼표 [0]">
  <autoFilter ref="A1:S12"/>
  <tableColumns count="19">
    <tableColumn id="1" name="거래일자" dataDxfId="233"/>
    <tableColumn id="2" name="종목코드" dataDxfId="232"/>
    <tableColumn id="3" name="종목명" dataDxfId="231">
      <calculatedColumnFormula>VLOOKUP(삼성DC[[#This Row],[종목코드]],연금종목정보[],2,FALSE)</calculatedColumnFormula>
    </tableColumn>
    <tableColumn id="4" name="상품명" dataDxfId="3">
      <calculatedColumnFormula>VLOOKUP(삼성DC[[#This Row],[종목코드]],연금종목정보[],4,FALSE)</calculatedColumnFormula>
    </tableColumn>
    <tableColumn id="5" name="매입수량" dataDxfId="230" dataCellStyle="쉼표 [0]"/>
    <tableColumn id="6" name="매입액" dataDxfId="229" dataCellStyle="쉼표 [0]"/>
    <tableColumn id="7" name="현금지출" dataDxfId="228" dataCellStyle="쉼표 [0]"/>
    <tableColumn id="8" name="매입비용" dataDxfId="227" dataCellStyle="쉼표 [0]">
      <calculatedColumnFormula>불리오[[#This Row],[현금지출]]-불리오[[#This Row],[매입액]]</calculatedColumnFormula>
    </tableColumn>
    <tableColumn id="9" name="매도수량" dataDxfId="226" dataCellStyle="쉼표 [0]"/>
    <tableColumn id="10" name="매도원금" dataDxfId="225" dataCellStyle="쉼표 [0]"/>
    <tableColumn id="11" name="매도액" dataDxfId="224" dataCellStyle="쉼표 [0]"/>
    <tableColumn id="12" name="이자배당액" dataDxfId="223" dataCellStyle="쉼표 [0]"/>
    <tableColumn id="13" name="현금수입" dataDxfId="222" dataCellStyle="쉼표 [0]"/>
    <tableColumn id="14" name="매매수익" dataDxfId="221" dataCellStyle="쉼표 [0]">
      <calculatedColumnFormula>불리오[[#This Row],[매도액]]-불리오[[#This Row],[매도원금]]</calculatedColumnFormula>
    </tableColumn>
    <tableColumn id="15" name="매도비용" dataDxfId="220" dataCellStyle="쉼표 [0]">
      <calculatedColumnFormula>불리오[[#This Row],[매도액]]+불리오[[#This Row],[이자배당액]]-불리오[[#This Row],[현금수입]]</calculatedColumnFormula>
    </tableColumn>
    <tableColumn id="16" name="순수익" dataDxfId="219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17" name="입출금" dataDxfId="218"/>
    <tableColumn id="18" name="순현금수입" dataDxfId="217" dataCellStyle="쉼표 [0]">
      <calculatedColumnFormula>불리오[[#This Row],[입출금]]+불리오[[#This Row],[현금수입]]-불리오[[#This Row],[현금지출]]</calculatedColumnFormula>
    </tableColumn>
    <tableColumn id="19" name="누적" dataDxfId="216" dataCellStyle="쉼표 [0]">
      <calculatedColumnFormula>SUM($R$2:R12)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8" name="농협IRP17" displayName="농협IRP17" ref="A1:S2" totalsRowShown="0" headerRowDxfId="215" headerRowBorderDxfId="214" tableBorderDxfId="213" totalsRowBorderDxfId="212" headerRowCellStyle="쉼표 [0]">
  <autoFilter ref="A1:S2"/>
  <tableColumns count="19">
    <tableColumn id="1" name="거래일자" dataDxfId="211"/>
    <tableColumn id="2" name="종목코드" dataDxfId="210"/>
    <tableColumn id="3" name="종목명" dataDxfId="2">
      <calculatedColumnFormula>VLOOKUP(농협IRP17[[#This Row],[종목코드]],연금종목정보[],2,FALSE)</calculatedColumnFormula>
    </tableColumn>
    <tableColumn id="4" name="상품명" dataDxfId="0">
      <calculatedColumnFormula>VLOOKUP(농협IRP17[[#This Row],[종목코드]],연금종목정보[],4,FALSE)</calculatedColumnFormula>
    </tableColumn>
    <tableColumn id="5" name="매입수량" dataDxfId="1" dataCellStyle="쉼표 [0]"/>
    <tableColumn id="6" name="매입액" dataDxfId="209" dataCellStyle="쉼표 [0]"/>
    <tableColumn id="7" name="현금지출" dataDxfId="208" dataCellStyle="쉼표 [0]"/>
    <tableColumn id="8" name="매입비용" dataDxfId="207" dataCellStyle="쉼표 [0]"/>
    <tableColumn id="9" name="매도수량" dataDxfId="206" dataCellStyle="쉼표 [0]"/>
    <tableColumn id="10" name="매도원금" dataDxfId="205" dataCellStyle="쉼표 [0]"/>
    <tableColumn id="11" name="매도액" dataDxfId="204" dataCellStyle="쉼표 [0]"/>
    <tableColumn id="12" name="이자배당액" dataDxfId="203" dataCellStyle="쉼표 [0]"/>
    <tableColumn id="13" name="현금수입" dataDxfId="202" dataCellStyle="쉼표 [0]"/>
    <tableColumn id="14" name="매매수익" dataDxfId="201" dataCellStyle="쉼표 [0]"/>
    <tableColumn id="15" name="매도비용" dataDxfId="200" dataCellStyle="쉼표 [0]"/>
    <tableColumn id="16" name="순수익" dataDxfId="199" dataCellStyle="쉼표 [0]"/>
    <tableColumn id="17" name="입출금" dataDxfId="198"/>
    <tableColumn id="18" name="순현금수입" dataDxfId="197" dataCellStyle="쉼표 [0]"/>
    <tableColumn id="19" name="누적" dataDxfId="196" dataCellStyle="쉼표 [0]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불리오" displayName="불리오" ref="A1:S28" totalsRowShown="0" headerRowDxfId="195" dataDxfId="194" headerRowCellStyle="쉼표 [0]" dataCellStyle="쉼표 [0]">
  <autoFilter ref="A1:S28"/>
  <tableColumns count="19">
    <tableColumn id="1" name="거래일자" dataDxfId="193"/>
    <tableColumn id="4" name="종목코드" dataDxfId="192"/>
    <tableColumn id="9" name="종목명" dataDxfId="191">
      <calculatedColumnFormula>VLOOKUP(불리오[[#This Row],[종목코드]],표3[],2,FALSE)</calculatedColumnFormula>
    </tableColumn>
    <tableColumn id="10" name="상품명" dataDxfId="190">
      <calculatedColumnFormula>VLOOKUP(불리오[[#This Row],[종목코드]],표3[],4,FALSE)</calculatedColumnFormula>
    </tableColumn>
    <tableColumn id="6" name="매입수량" dataDxfId="189"/>
    <tableColumn id="2" name="매입액" dataDxfId="188" dataCellStyle="쉼표 [0]"/>
    <tableColumn id="16" name="현금지출" dataDxfId="187" dataCellStyle="쉼표 [0]"/>
    <tableColumn id="12" name="매입비용" dataDxfId="186" dataCellStyle="쉼표 [0]">
      <calculatedColumnFormula>불리오[[#This Row],[현금지출]]-불리오[[#This Row],[매입액]]</calculatedColumnFormula>
    </tableColumn>
    <tableColumn id="7" name="매도수량" dataDxfId="185" dataCellStyle="쉼표 [0]"/>
    <tableColumn id="3" name="매도원금" dataDxfId="184" dataCellStyle="쉼표 [0]"/>
    <tableColumn id="19" name="매도액" dataDxfId="183" dataCellStyle="쉼표 [0]"/>
    <tableColumn id="14" name="이자배당액" dataDxfId="182" dataCellStyle="쉼표 [0]"/>
    <tableColumn id="17" name="현금수입" dataDxfId="181" dataCellStyle="쉼표 [0]"/>
    <tableColumn id="18" name="매매수익" dataDxfId="180" dataCellStyle="쉼표 [0]">
      <calculatedColumnFormula>불리오[[#This Row],[매도액]]-불리오[[#This Row],[매도원금]]</calculatedColumnFormula>
    </tableColumn>
    <tableColumn id="15" name="매도비용" dataDxfId="179" dataCellStyle="쉼표 [0]">
      <calculatedColumnFormula>불리오[[#This Row],[매도액]]+불리오[[#This Row],[이자배당액]]-불리오[[#This Row],[현금수입]]</calculatedColumnFormula>
    </tableColumn>
    <tableColumn id="13" name="순수익" dataDxfId="178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7" dataCellStyle="쉼표 [0]"/>
    <tableColumn id="22" name="순현금수입" dataDxfId="176" dataCellStyle="쉼표 [0]">
      <calculatedColumnFormula>불리오[[#This Row],[입출금]]+불리오[[#This Row],[현금수입]]-불리오[[#This Row],[현금지출]]</calculatedColumnFormula>
    </tableColumn>
    <tableColumn id="23" name="누적" dataDxfId="175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표4" displayName="표4" ref="A1:S5" totalsRowShown="0" headerRowDxfId="174" dataDxfId="172" headerRowBorderDxfId="173" tableBorderDxfId="171" headerRowCellStyle="쉼표 [0]">
  <autoFilter ref="A1:S5"/>
  <tableColumns count="19">
    <tableColumn id="1" name="거래일자" dataDxfId="170"/>
    <tableColumn id="17" name="종목코드" dataDxfId="169"/>
    <tableColumn id="2" name="종목명" dataDxfId="168"/>
    <tableColumn id="3" name="상품명" dataDxfId="167">
      <calculatedColumnFormula>VLOOKUP(표4[[#This Row],[종목명]],표3[],3,FALSE)</calculatedColumnFormula>
    </tableColumn>
    <tableColumn id="18" name="매입수량" dataDxfId="166"/>
    <tableColumn id="4" name="매입액" dataDxfId="165" dataCellStyle="쉼표 [0]"/>
    <tableColumn id="5" name="현금지출" dataDxfId="164" dataCellStyle="쉼표 [0]"/>
    <tableColumn id="6" name="매입비용" dataDxfId="163" dataCellStyle="쉼표 [0]">
      <calculatedColumnFormula>표4[[#This Row],[현금지출]]-표4[[#This Row],[매입액]]</calculatedColumnFormula>
    </tableColumn>
    <tableColumn id="19" name="매도수량" dataDxfId="162" dataCellStyle="쉼표 [0]"/>
    <tableColumn id="7" name="매도원금" dataDxfId="161" dataCellStyle="쉼표 [0]"/>
    <tableColumn id="8" name="매도액" dataDxfId="160" dataCellStyle="쉼표 [0]"/>
    <tableColumn id="9" name="이자배당액" dataDxfId="159" dataCellStyle="쉼표 [0]"/>
    <tableColumn id="10" name="현금수입" dataDxfId="158" dataCellStyle="쉼표 [0]"/>
    <tableColumn id="11" name="매매수익" dataDxfId="157" dataCellStyle="쉼표 [0]">
      <calculatedColumnFormula>표4[[#This Row],[매도액]]-표4[[#This Row],[매도원금]]</calculatedColumnFormula>
    </tableColumn>
    <tableColumn id="12" name="매도비용" dataDxfId="156" dataCellStyle="쉼표 [0]">
      <calculatedColumnFormula>표4[[#This Row],[매도액]]+표4[[#This Row],[이자배당액]]-표4[[#This Row],[현금수입]]</calculatedColumnFormula>
    </tableColumn>
    <tableColumn id="13" name="순수익" dataDxfId="155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54"/>
    <tableColumn id="15" name="순현금수입" dataDxfId="153">
      <calculatedColumnFormula>표4[[#This Row],[입출금]]+표4[[#This Row],[현금수입]]-표4[[#This Row],[현금지출]]</calculatedColumnFormula>
    </tableColumn>
    <tableColumn id="16" name="누적" dataDxfId="152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표4_10" displayName="표4_10" ref="A1:S3" totalsRowShown="0" headerRowDxfId="151" dataDxfId="149" headerRowBorderDxfId="150" tableBorderDxfId="148" headerRowCellStyle="쉼표 [0]">
  <autoFilter ref="A1:S3"/>
  <tableColumns count="19">
    <tableColumn id="1" name="거래일자" dataDxfId="147"/>
    <tableColumn id="17" name="종목코드" dataDxfId="146"/>
    <tableColumn id="2" name="종목명" dataDxfId="145">
      <calculatedColumnFormula>VLOOKUP(표4_10[[#This Row],[종목코드]],표3[],2,FALSE)</calculatedColumnFormula>
    </tableColumn>
    <tableColumn id="3" name="상품명" dataDxfId="144">
      <calculatedColumnFormula>VLOOKUP(표4_10[[#This Row],[종목코드]],표3[],4,FALSE)</calculatedColumnFormula>
    </tableColumn>
    <tableColumn id="18" name="매입수량" dataDxfId="143"/>
    <tableColumn id="4" name="매입액" dataDxfId="142" dataCellStyle="쉼표 [0]"/>
    <tableColumn id="5" name="현금지출" dataDxfId="141" dataCellStyle="쉼표 [0]"/>
    <tableColumn id="6" name="매입비용" dataDxfId="140" dataCellStyle="쉼표 [0]">
      <calculatedColumnFormula>표4_10[[#This Row],[현금지출]]-표4_10[[#This Row],[매입액]]</calculatedColumnFormula>
    </tableColumn>
    <tableColumn id="19" name="매도수량" dataDxfId="139" dataCellStyle="쉼표 [0]"/>
    <tableColumn id="7" name="매도원금" dataDxfId="138" dataCellStyle="쉼표 [0]"/>
    <tableColumn id="8" name="매도액" dataDxfId="137" dataCellStyle="쉼표 [0]"/>
    <tableColumn id="9" name="이자배당액" dataDxfId="136" dataCellStyle="쉼표 [0]"/>
    <tableColumn id="10" name="현금수입" dataDxfId="135" dataCellStyle="쉼표 [0]"/>
    <tableColumn id="11" name="매매수익" dataDxfId="134" dataCellStyle="쉼표 [0]">
      <calculatedColumnFormula>표4_10[[#This Row],[매도액]]-표4_10[[#This Row],[매도원금]]</calculatedColumnFormula>
    </tableColumn>
    <tableColumn id="12" name="매도비용" dataDxfId="133" dataCellStyle="쉼표 [0]">
      <calculatedColumnFormula>표4_10[[#This Row],[매도액]]+표4_10[[#This Row],[이자배당액]]-표4_10[[#This Row],[현금수입]]</calculatedColumnFormula>
    </tableColumn>
    <tableColumn id="13" name="순수익" dataDxfId="132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31"/>
    <tableColumn id="15" name="순현금수입" dataDxfId="130">
      <calculatedColumnFormula>표4_10[[#This Row],[입출금]]+표4_10[[#This Row],[현금수입]]-표4_10[[#This Row],[현금지출]]</calculatedColumnFormula>
    </tableColumn>
    <tableColumn id="16" name="누적" dataDxfId="129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CMA_한투1837" displayName="CMA_한투1837" ref="A1:T3" totalsRowShown="0" headerRowDxfId="128" dataDxfId="127" headerRowCellStyle="쉼표 [0]" dataCellStyle="쉼표 [0]">
  <autoFilter ref="A1:T3"/>
  <tableColumns count="20">
    <tableColumn id="1" name="거래일자" dataDxfId="126" totalsRowDxfId="125"/>
    <tableColumn id="6" name="종목코드" dataDxfId="124" totalsRowDxfId="123"/>
    <tableColumn id="9" name="종목명" dataDxfId="122" totalsRowDxfId="121">
      <calculatedColumnFormula>VLOOKUP(CMA_한투1837[[#This Row],[종목코드]],표3[],2,FALSE)</calculatedColumnFormula>
    </tableColumn>
    <tableColumn id="10" name="상품명" dataDxfId="120" totalsRowDxfId="119">
      <calculatedColumnFormula>VLOOKUP(CMA_한투1837[[#This Row],[종목코드]],표3[],4,FALSE)</calculatedColumnFormula>
    </tableColumn>
    <tableColumn id="7" name="매입수량" dataDxfId="118" totalsRowDxfId="117"/>
    <tableColumn id="2" name="매입액" dataDxfId="116" totalsRowDxfId="115" dataCellStyle="쉼표 [0]"/>
    <tableColumn id="5" name="현금지출" dataDxfId="114" totalsRowDxfId="113" dataCellStyle="쉼표 [0]"/>
    <tableColumn id="16" name="매입비용" dataDxfId="112" totalsRowDxfId="111" dataCellStyle="쉼표 [0]">
      <calculatedColumnFormula>CMA_한투1837[[#This Row],[현금지출]]-CMA_한투1837[[#This Row],[매입액]]</calculatedColumnFormula>
    </tableColumn>
    <tableColumn id="8" name="매도수량" dataDxfId="110" totalsRowDxfId="109" dataCellStyle="쉼표 [0]"/>
    <tableColumn id="3" name="매도원금" dataDxfId="108" totalsRowDxfId="107" dataCellStyle="쉼표 [0]"/>
    <tableColumn id="15" name="매도액" dataDxfId="106" totalsRowDxfId="105" dataCellStyle="쉼표 [0]"/>
    <tableColumn id="14" name="이자배당액" dataDxfId="104" totalsRowDxfId="103" dataCellStyle="쉼표 [0]"/>
    <tableColumn id="13" name="현금수입" dataDxfId="102" totalsRowDxfId="101" dataCellStyle="쉼표 [0]"/>
    <tableColumn id="17" name="매매수익" dataDxfId="100" totalsRowDxfId="99" dataCellStyle="쉼표 [0]">
      <calculatedColumnFormula>CMA_한투1837[[#This Row],[매도액]]-CMA_한투1837[[#This Row],[매도원금]]</calculatedColumnFormula>
    </tableColumn>
    <tableColumn id="18" name="매도비용" dataDxfId="98" totalsRowDxfId="97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96" totalsRowDxfId="95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94" totalsRowDxfId="93" dataCellStyle="쉼표 [0]"/>
    <tableColumn id="21" name="순현금수입" dataDxfId="92" totalsRowDxfId="91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90" totalsRowDxfId="89" dataCellStyle="쉼표 [0]">
      <calculatedColumnFormula>SUM($R$2:R2)</calculatedColumnFormula>
    </tableColumn>
    <tableColumn id="12" name="외화입출금" dataDxfId="88" totalsRowDxfId="87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B1" workbookViewId="0">
      <selection activeCell="L25" sqref="L25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3" width="15.25" bestFit="1" customWidth="1"/>
  </cols>
  <sheetData>
    <row r="1" spans="1:12" x14ac:dyDescent="0.3">
      <c r="A1" t="s">
        <v>77</v>
      </c>
      <c r="B1" t="s">
        <v>78</v>
      </c>
      <c r="C1" t="s">
        <v>312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248</v>
      </c>
      <c r="K1" t="s">
        <v>311</v>
      </c>
      <c r="L1" t="s">
        <v>313</v>
      </c>
    </row>
    <row r="2" spans="1:12" x14ac:dyDescent="0.3">
      <c r="A2" s="31" t="s">
        <v>113</v>
      </c>
      <c r="B2" t="s">
        <v>90</v>
      </c>
      <c r="C2">
        <v>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150.4</v>
      </c>
      <c r="K2">
        <v>7.5199999999999818</v>
      </c>
      <c r="L2">
        <f>표3[[#This Row],[매입장부금액]]+표3[[#This Row],[기초평가손익]]</f>
        <v>157.91999999999999</v>
      </c>
    </row>
    <row r="3" spans="1:12" x14ac:dyDescent="0.3">
      <c r="A3" s="31" t="s">
        <v>114</v>
      </c>
      <c r="B3" t="s">
        <v>91</v>
      </c>
      <c r="C3">
        <v>0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79.960000000000008</v>
      </c>
      <c r="K3">
        <v>-0.1600000000000108</v>
      </c>
      <c r="L3">
        <f>표3[[#This Row],[매입장부금액]]+표3[[#This Row],[기초평가손익]]</f>
        <v>79.8</v>
      </c>
    </row>
    <row r="4" spans="1:12" x14ac:dyDescent="0.3">
      <c r="A4" s="31" t="s">
        <v>115</v>
      </c>
      <c r="B4" t="s">
        <v>92</v>
      </c>
      <c r="C4">
        <v>0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233</v>
      </c>
      <c r="K4">
        <v>-16.72999999999999</v>
      </c>
      <c r="L4">
        <f>표3[[#This Row],[매입장부금액]]+표3[[#This Row],[기초평가손익]]</f>
        <v>216.27</v>
      </c>
    </row>
    <row r="5" spans="1:12" x14ac:dyDescent="0.3">
      <c r="A5" s="31" t="s">
        <v>116</v>
      </c>
      <c r="B5" t="s">
        <v>93</v>
      </c>
      <c r="C5">
        <v>0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213.54</v>
      </c>
      <c r="K5">
        <v>-3.7800000000000011</v>
      </c>
      <c r="L5">
        <f>표3[[#This Row],[매입장부금액]]+표3[[#This Row],[기초평가손익]]</f>
        <v>209.76</v>
      </c>
    </row>
    <row r="6" spans="1:12" x14ac:dyDescent="0.3">
      <c r="A6" s="31" t="s">
        <v>117</v>
      </c>
      <c r="B6" t="s">
        <v>94</v>
      </c>
      <c r="C6">
        <v>0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241.01</v>
      </c>
      <c r="K6">
        <v>-15.199999999999989</v>
      </c>
      <c r="L6">
        <f>표3[[#This Row],[매입장부금액]]+표3[[#This Row],[기초평가손익]]</f>
        <v>225.81</v>
      </c>
    </row>
    <row r="7" spans="1:12" x14ac:dyDescent="0.3">
      <c r="A7" s="31" t="s">
        <v>118</v>
      </c>
      <c r="B7" t="s">
        <v>95</v>
      </c>
      <c r="C7">
        <v>0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120.1099999999999</v>
      </c>
      <c r="K7">
        <v>8.1700000000001012</v>
      </c>
      <c r="L7">
        <f>표3[[#This Row],[매입장부금액]]+표3[[#This Row],[기초평가손익]]</f>
        <v>128.28</v>
      </c>
    </row>
    <row r="8" spans="1:12" x14ac:dyDescent="0.3">
      <c r="A8" s="31" t="s">
        <v>119</v>
      </c>
      <c r="B8" t="s">
        <v>96</v>
      </c>
      <c r="C8">
        <v>0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69.140000000000015</v>
      </c>
      <c r="K8">
        <v>-1.2900000000000205</v>
      </c>
      <c r="L8">
        <f>표3[[#This Row],[매입장부금액]]+표3[[#This Row],[기초평가손익]]</f>
        <v>67.849999999999994</v>
      </c>
    </row>
    <row r="9" spans="1:12" x14ac:dyDescent="0.3">
      <c r="A9" s="31" t="s">
        <v>120</v>
      </c>
      <c r="B9" t="s">
        <v>97</v>
      </c>
      <c r="C9">
        <v>0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  <c r="K9">
        <v>0</v>
      </c>
      <c r="L9">
        <f>표3[[#This Row],[매입장부금액]]+표3[[#This Row],[기초평가손익]]</f>
        <v>0</v>
      </c>
    </row>
    <row r="10" spans="1:12" x14ac:dyDescent="0.3">
      <c r="A10" s="31" t="s">
        <v>121</v>
      </c>
      <c r="B10" t="s">
        <v>98</v>
      </c>
      <c r="C10">
        <v>0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228.99</v>
      </c>
      <c r="K10">
        <v>21.75</v>
      </c>
      <c r="L10">
        <f>표3[[#This Row],[매입장부금액]]+표3[[#This Row],[기초평가손익]]</f>
        <v>250.74</v>
      </c>
    </row>
    <row r="11" spans="1:12" x14ac:dyDescent="0.3">
      <c r="A11" s="31" t="s">
        <v>122</v>
      </c>
      <c r="B11" t="s">
        <v>99</v>
      </c>
      <c r="C11">
        <v>0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387.21</v>
      </c>
      <c r="K11">
        <v>9.4300000000000068</v>
      </c>
      <c r="L11">
        <f>표3[[#This Row],[매입장부금액]]+표3[[#This Row],[기초평가손익]]</f>
        <v>396.64</v>
      </c>
    </row>
    <row r="12" spans="1:12" x14ac:dyDescent="0.3">
      <c r="A12" s="31" t="s">
        <v>123</v>
      </c>
      <c r="B12" t="s">
        <v>100</v>
      </c>
      <c r="C12">
        <v>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516.64</v>
      </c>
      <c r="K12">
        <v>36.759999999999991</v>
      </c>
      <c r="L12">
        <f>표3[[#This Row],[매입장부금액]]+표3[[#This Row],[기초평가손익]]</f>
        <v>553.4</v>
      </c>
    </row>
    <row r="13" spans="1:12" x14ac:dyDescent="0.3">
      <c r="A13" s="31" t="s">
        <v>124</v>
      </c>
      <c r="B13" t="s">
        <v>101</v>
      </c>
      <c r="C13">
        <v>0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386.09</v>
      </c>
      <c r="K13">
        <v>-8.8299999999999841</v>
      </c>
      <c r="L13">
        <f>표3[[#This Row],[매입장부금액]]+표3[[#This Row],[기초평가손익]]</f>
        <v>377.26</v>
      </c>
    </row>
    <row r="14" spans="1:12" x14ac:dyDescent="0.3">
      <c r="A14" s="31" t="s">
        <v>125</v>
      </c>
      <c r="B14" t="s">
        <v>102</v>
      </c>
      <c r="C14">
        <v>0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627.46</v>
      </c>
      <c r="K14">
        <v>43.339999999999918</v>
      </c>
      <c r="L14">
        <f>표3[[#This Row],[매입장부금액]]+표3[[#This Row],[기초평가손익]]</f>
        <v>670.8</v>
      </c>
    </row>
    <row r="15" spans="1:12" x14ac:dyDescent="0.3">
      <c r="A15" s="31" t="s">
        <v>126</v>
      </c>
      <c r="B15" t="s">
        <v>103</v>
      </c>
      <c r="C15">
        <v>0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  <c r="K15">
        <v>0</v>
      </c>
      <c r="L15">
        <f>표3[[#This Row],[매입장부금액]]+표3[[#This Row],[기초평가손익]]</f>
        <v>0</v>
      </c>
    </row>
    <row r="16" spans="1:12" x14ac:dyDescent="0.3">
      <c r="A16" s="31" t="s">
        <v>127</v>
      </c>
      <c r="B16" t="s">
        <v>104</v>
      </c>
      <c r="C16">
        <v>0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  <c r="K16">
        <v>0</v>
      </c>
      <c r="L16">
        <f>표3[[#This Row],[매입장부금액]]+표3[[#This Row],[기초평가손익]]</f>
        <v>0</v>
      </c>
    </row>
    <row r="17" spans="1:12" x14ac:dyDescent="0.3">
      <c r="A17" s="31" t="s">
        <v>128</v>
      </c>
      <c r="B17" t="s">
        <v>105</v>
      </c>
      <c r="C17">
        <v>0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380.28</v>
      </c>
      <c r="K17">
        <v>2.2200000000000273</v>
      </c>
      <c r="L17">
        <f>표3[[#This Row],[매입장부금액]]+표3[[#This Row],[기초평가손익]]</f>
        <v>382.5</v>
      </c>
    </row>
    <row r="18" spans="1:12" x14ac:dyDescent="0.3">
      <c r="A18" s="31" t="s">
        <v>141</v>
      </c>
      <c r="B18" s="5" t="s">
        <v>144</v>
      </c>
      <c r="C18">
        <v>0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  <c r="K18">
        <v>0</v>
      </c>
      <c r="L18">
        <f>표3[[#This Row],[매입장부금액]]+표3[[#This Row],[기초평가손익]]</f>
        <v>0</v>
      </c>
    </row>
    <row r="19" spans="1:12" x14ac:dyDescent="0.3">
      <c r="A19" s="31" t="s">
        <v>129</v>
      </c>
      <c r="B19" t="s">
        <v>106</v>
      </c>
      <c r="C19">
        <v>0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  <c r="K19">
        <v>0</v>
      </c>
      <c r="L19">
        <f>표3[[#This Row],[매입장부금액]]+표3[[#This Row],[기초평가손익]]</f>
        <v>0</v>
      </c>
    </row>
    <row r="20" spans="1:12" x14ac:dyDescent="0.3">
      <c r="A20" s="31" t="s">
        <v>130</v>
      </c>
      <c r="B20" t="s">
        <v>107</v>
      </c>
      <c r="C20">
        <v>0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  <c r="K20">
        <v>0</v>
      </c>
      <c r="L20">
        <f>표3[[#This Row],[매입장부금액]]+표3[[#This Row],[기초평가손익]]</f>
        <v>0</v>
      </c>
    </row>
    <row r="21" spans="1:12" x14ac:dyDescent="0.3">
      <c r="A21" s="31" t="s">
        <v>140</v>
      </c>
      <c r="B21" s="5" t="s">
        <v>145</v>
      </c>
      <c r="C21">
        <v>0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  <c r="K21">
        <v>0</v>
      </c>
      <c r="L21">
        <f>표3[[#This Row],[매입장부금액]]+표3[[#This Row],[기초평가손익]]</f>
        <v>0</v>
      </c>
    </row>
    <row r="22" spans="1:12" x14ac:dyDescent="0.3">
      <c r="A22" s="31" t="s">
        <v>79</v>
      </c>
      <c r="B22" t="s">
        <v>10</v>
      </c>
      <c r="C22">
        <v>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10010000</v>
      </c>
      <c r="K22">
        <v>714000</v>
      </c>
      <c r="L22">
        <f>표3[[#This Row],[매입장부금액]]+표3[[#This Row],[기초평가손익]]</f>
        <v>10724000</v>
      </c>
    </row>
    <row r="23" spans="1:12" x14ac:dyDescent="0.3">
      <c r="A23" s="31" t="s">
        <v>80</v>
      </c>
      <c r="B23" t="s">
        <v>150</v>
      </c>
      <c r="C23">
        <v>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  <c r="K23">
        <v>0</v>
      </c>
      <c r="L23">
        <f>표3[[#This Row],[매입장부금액]]+표3[[#This Row],[기초평가손익]]</f>
        <v>0</v>
      </c>
    </row>
    <row r="24" spans="1:12" x14ac:dyDescent="0.3">
      <c r="A24" s="31" t="s">
        <v>81</v>
      </c>
      <c r="B24" t="s">
        <v>135</v>
      </c>
      <c r="C24">
        <v>0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  <c r="K24">
        <v>0</v>
      </c>
      <c r="L24">
        <f>표3[[#This Row],[매입장부금액]]+표3[[#This Row],[기초평가손익]]</f>
        <v>0</v>
      </c>
    </row>
    <row r="25" spans="1:12" x14ac:dyDescent="0.3">
      <c r="A25" s="31" t="s">
        <v>82</v>
      </c>
      <c r="B25" t="s">
        <v>66</v>
      </c>
      <c r="C25">
        <v>0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22572209</v>
      </c>
      <c r="K25">
        <v>399892</v>
      </c>
      <c r="L25">
        <f>표3[[#This Row],[매입장부금액]]+표3[[#This Row],[기초평가손익]]</f>
        <v>22972101</v>
      </c>
    </row>
    <row r="26" spans="1:12" x14ac:dyDescent="0.3">
      <c r="A26" s="31" t="s">
        <v>285</v>
      </c>
      <c r="B26" s="5" t="s">
        <v>181</v>
      </c>
      <c r="C26">
        <v>0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3199997</v>
      </c>
      <c r="K26">
        <v>114050</v>
      </c>
      <c r="L26">
        <f>표3[[#This Row],[매입장부금액]]+표3[[#This Row],[기초평가손익]]</f>
        <v>3314047</v>
      </c>
    </row>
    <row r="27" spans="1:12" x14ac:dyDescent="0.3">
      <c r="A27" s="31" t="s">
        <v>268</v>
      </c>
      <c r="B27" s="5" t="s">
        <v>179</v>
      </c>
      <c r="C27">
        <v>0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  <c r="K27">
        <v>0</v>
      </c>
      <c r="L27">
        <f>표3[[#This Row],[매입장부금액]]+표3[[#This Row],[기초평가손익]]</f>
        <v>0</v>
      </c>
    </row>
    <row r="28" spans="1:12" x14ac:dyDescent="0.3">
      <c r="A28" s="31" t="s">
        <v>273</v>
      </c>
      <c r="B28" s="5" t="s">
        <v>178</v>
      </c>
      <c r="C28">
        <v>0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575509</v>
      </c>
      <c r="K28">
        <v>0</v>
      </c>
      <c r="L28">
        <f>표3[[#This Row],[매입장부금액]]+표3[[#This Row],[기초평가손익]]</f>
        <v>575509</v>
      </c>
    </row>
    <row r="29" spans="1:12" x14ac:dyDescent="0.3">
      <c r="A29" s="31" t="s">
        <v>265</v>
      </c>
      <c r="B29" s="5" t="s">
        <v>192</v>
      </c>
      <c r="C29">
        <v>0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  <c r="K29">
        <v>0</v>
      </c>
      <c r="L29">
        <f>표3[[#This Row],[매입장부금액]]+표3[[#This Row],[기초평가손익]]</f>
        <v>0</v>
      </c>
    </row>
    <row r="30" spans="1:12" x14ac:dyDescent="0.3">
      <c r="A30" s="31" t="s">
        <v>271</v>
      </c>
      <c r="B30" s="5" t="s">
        <v>193</v>
      </c>
      <c r="C30">
        <v>0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8994</v>
      </c>
      <c r="K30">
        <v>0</v>
      </c>
      <c r="L30">
        <f>표3[[#This Row],[매입장부금액]]+표3[[#This Row],[기초평가손익]]</f>
        <v>8994</v>
      </c>
    </row>
    <row r="31" spans="1:12" x14ac:dyDescent="0.3">
      <c r="A31" s="31" t="s">
        <v>83</v>
      </c>
      <c r="B31" t="s">
        <v>108</v>
      </c>
      <c r="C31">
        <v>0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  <c r="K31">
        <v>0</v>
      </c>
      <c r="L31">
        <f>표3[[#This Row],[매입장부금액]]+표3[[#This Row],[기초평가손익]]</f>
        <v>0</v>
      </c>
    </row>
    <row r="32" spans="1:12" x14ac:dyDescent="0.3">
      <c r="A32" s="31" t="s">
        <v>84</v>
      </c>
      <c r="B32" t="s">
        <v>109</v>
      </c>
      <c r="C32">
        <v>0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  <c r="K32">
        <v>0</v>
      </c>
      <c r="L32">
        <f>표3[[#This Row],[매입장부금액]]+표3[[#This Row],[기초평가손익]]</f>
        <v>0</v>
      </c>
    </row>
    <row r="33" spans="1:12" x14ac:dyDescent="0.3">
      <c r="A33" s="31" t="s">
        <v>85</v>
      </c>
      <c r="B33" t="s">
        <v>110</v>
      </c>
      <c r="C33">
        <v>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  <c r="K33">
        <v>0</v>
      </c>
      <c r="L33">
        <f>표3[[#This Row],[매입장부금액]]+표3[[#This Row],[기초평가손익]]</f>
        <v>0</v>
      </c>
    </row>
    <row r="34" spans="1:12" x14ac:dyDescent="0.3">
      <c r="A34" s="31" t="s">
        <v>86</v>
      </c>
      <c r="B34" t="s">
        <v>136</v>
      </c>
      <c r="C34">
        <v>0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  <c r="K34">
        <v>0</v>
      </c>
      <c r="L34">
        <f>표3[[#This Row],[매입장부금액]]+표3[[#This Row],[기초평가손익]]</f>
        <v>0</v>
      </c>
    </row>
    <row r="35" spans="1:12" x14ac:dyDescent="0.3">
      <c r="A35" s="31" t="s">
        <v>87</v>
      </c>
      <c r="B35" t="s">
        <v>111</v>
      </c>
      <c r="C35">
        <v>0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  <c r="K35">
        <v>0</v>
      </c>
      <c r="L35">
        <f>표3[[#This Row],[매입장부금액]]+표3[[#This Row],[기초평가손익]]</f>
        <v>0</v>
      </c>
    </row>
    <row r="36" spans="1:12" x14ac:dyDescent="0.3">
      <c r="A36" s="31" t="s">
        <v>88</v>
      </c>
      <c r="B36" t="s">
        <v>112</v>
      </c>
      <c r="C36">
        <v>0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  <c r="K36">
        <v>0</v>
      </c>
      <c r="L36">
        <f>표3[[#This Row],[매입장부금액]]+표3[[#This Row],[기초평가손익]]</f>
        <v>0</v>
      </c>
    </row>
    <row r="37" spans="1:12" x14ac:dyDescent="0.3">
      <c r="A37" s="31" t="s">
        <v>261</v>
      </c>
      <c r="B37" s="5" t="s">
        <v>184</v>
      </c>
      <c r="C37">
        <v>0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2911</v>
      </c>
      <c r="K37">
        <v>0</v>
      </c>
      <c r="L37">
        <f>표3[[#This Row],[매입장부금액]]+표3[[#This Row],[기초평가손익]]</f>
        <v>2911</v>
      </c>
    </row>
    <row r="38" spans="1:12" x14ac:dyDescent="0.3">
      <c r="A38" s="31" t="s">
        <v>89</v>
      </c>
      <c r="B38" t="s">
        <v>149</v>
      </c>
      <c r="C38">
        <v>0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  <c r="K38">
        <v>0</v>
      </c>
      <c r="L38">
        <f>표3[[#This Row],[매입장부금액]]+표3[[#This Row],[기초평가손익]]</f>
        <v>0</v>
      </c>
    </row>
    <row r="39" spans="1:12" x14ac:dyDescent="0.3">
      <c r="A39" s="31" t="s">
        <v>256</v>
      </c>
      <c r="B39" t="s">
        <v>163</v>
      </c>
      <c r="C39">
        <v>0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3095.73</v>
      </c>
      <c r="K39">
        <v>0</v>
      </c>
      <c r="L39">
        <f>표3[[#This Row],[매입장부금액]]+표3[[#This Row],[기초평가손익]]</f>
        <v>3095.73</v>
      </c>
    </row>
    <row r="40" spans="1:12" x14ac:dyDescent="0.3">
      <c r="A40" s="31" t="s">
        <v>258</v>
      </c>
      <c r="B40" s="5" t="s">
        <v>164</v>
      </c>
      <c r="C40">
        <v>0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5835.8600000000006</v>
      </c>
      <c r="K40">
        <v>0</v>
      </c>
      <c r="L40">
        <f>표3[[#This Row],[매입장부금액]]+표3[[#This Row],[기초평가손익]]</f>
        <v>5835.8600000000006</v>
      </c>
    </row>
    <row r="41" spans="1:12" x14ac:dyDescent="0.3">
      <c r="A41" s="31" t="s">
        <v>292</v>
      </c>
      <c r="B41" s="5" t="s">
        <v>165</v>
      </c>
      <c r="C41">
        <v>0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17176678</v>
      </c>
      <c r="K41">
        <v>0</v>
      </c>
      <c r="L41">
        <f>표3[[#This Row],[매입장부금액]]+표3[[#This Row],[기초평가손익]]</f>
        <v>17176678</v>
      </c>
    </row>
    <row r="42" spans="1:12" x14ac:dyDescent="0.3">
      <c r="A42" s="31" t="s">
        <v>288</v>
      </c>
      <c r="B42" s="5" t="s">
        <v>162</v>
      </c>
      <c r="C42">
        <v>0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10043166</v>
      </c>
      <c r="K42">
        <v>0</v>
      </c>
      <c r="L42">
        <f>표3[[#This Row],[매입장부금액]]+표3[[#This Row],[기초평가손익]]</f>
        <v>10043166</v>
      </c>
    </row>
    <row r="43" spans="1:12" x14ac:dyDescent="0.3">
      <c r="A43" s="31" t="s">
        <v>151</v>
      </c>
      <c r="B43" s="5" t="s">
        <v>152</v>
      </c>
      <c r="C43">
        <v>0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  <c r="K43">
        <v>0</v>
      </c>
      <c r="L43">
        <f>표3[[#This Row],[매입장부금액]]+표3[[#This Row],[기초평가손익]]</f>
        <v>0</v>
      </c>
    </row>
    <row r="44" spans="1:12" x14ac:dyDescent="0.3">
      <c r="A44" s="31" t="s">
        <v>154</v>
      </c>
      <c r="B44" s="5" t="s">
        <v>153</v>
      </c>
      <c r="C44">
        <v>0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1484900</v>
      </c>
      <c r="K44">
        <v>0</v>
      </c>
      <c r="L44">
        <f>표3[[#This Row],[매입장부금액]]+표3[[#This Row],[기초평가손익]]</f>
        <v>1484900</v>
      </c>
    </row>
    <row r="45" spans="1:12" x14ac:dyDescent="0.3">
      <c r="A45" s="31" t="s">
        <v>156</v>
      </c>
      <c r="B45" s="5" t="s">
        <v>155</v>
      </c>
      <c r="C45">
        <v>0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  <c r="K45">
        <v>0</v>
      </c>
      <c r="L45">
        <f>표3[[#This Row],[매입장부금액]]+표3[[#This Row],[기초평가손익]]</f>
        <v>0</v>
      </c>
    </row>
    <row r="46" spans="1:12" x14ac:dyDescent="0.3">
      <c r="A46" s="31" t="s">
        <v>277</v>
      </c>
      <c r="B46" s="5" t="s">
        <v>160</v>
      </c>
      <c r="C46">
        <v>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956000</v>
      </c>
      <c r="K46">
        <v>164000</v>
      </c>
      <c r="L46">
        <f>표3[[#This Row],[매입장부금액]]+표3[[#This Row],[기초평가손익]]</f>
        <v>1120000</v>
      </c>
    </row>
    <row r="47" spans="1:12" x14ac:dyDescent="0.3">
      <c r="A47" s="31" t="s">
        <v>275</v>
      </c>
      <c r="B47" s="5" t="s">
        <v>161</v>
      </c>
      <c r="C47">
        <v>0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1049029</v>
      </c>
      <c r="K47">
        <v>0</v>
      </c>
      <c r="L47">
        <f>표3[[#This Row],[매입장부금액]]+표3[[#This Row],[기초평가손익]]</f>
        <v>1049029</v>
      </c>
    </row>
    <row r="48" spans="1:12" x14ac:dyDescent="0.3">
      <c r="A48" s="31" t="s">
        <v>227</v>
      </c>
      <c r="B48" s="5" t="s">
        <v>187</v>
      </c>
      <c r="C48">
        <v>0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359653</v>
      </c>
      <c r="K48">
        <v>-2674</v>
      </c>
      <c r="L48">
        <f>표3[[#This Row],[매입장부금액]]+표3[[#This Row],[기초평가손익]]</f>
        <v>356979</v>
      </c>
    </row>
    <row r="49" spans="1:12" x14ac:dyDescent="0.3">
      <c r="A49" s="31" t="s">
        <v>199</v>
      </c>
      <c r="B49" s="5" t="s">
        <v>200</v>
      </c>
      <c r="C49">
        <v>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2932800</v>
      </c>
      <c r="K49">
        <v>57600</v>
      </c>
      <c r="L49">
        <f>표3[[#This Row],[매입장부금액]]+표3[[#This Row],[기초평가손익]]</f>
        <v>2990400</v>
      </c>
    </row>
    <row r="50" spans="1:12" x14ac:dyDescent="0.3">
      <c r="A50" s="31" t="s">
        <v>202</v>
      </c>
      <c r="B50" s="5" t="s">
        <v>203</v>
      </c>
      <c r="C50">
        <v>0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2837.55</v>
      </c>
      <c r="K50">
        <v>30</v>
      </c>
      <c r="L50">
        <f>표3[[#This Row],[매입장부금액]]+표3[[#This Row],[기초평가손익]]</f>
        <v>2867.55</v>
      </c>
    </row>
    <row r="51" spans="1:12" x14ac:dyDescent="0.3">
      <c r="A51" s="31" t="s">
        <v>280</v>
      </c>
      <c r="B51" s="5" t="s">
        <v>229</v>
      </c>
      <c r="C51">
        <v>0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3014850</v>
      </c>
      <c r="K51">
        <v>57570</v>
      </c>
      <c r="L51">
        <f>표3[[#This Row],[매입장부금액]]+표3[[#This Row],[기초평가손익]]</f>
        <v>3072420</v>
      </c>
    </row>
    <row r="52" spans="1:12" x14ac:dyDescent="0.3">
      <c r="A52" s="31" t="s">
        <v>286</v>
      </c>
      <c r="B52" s="5" t="s">
        <v>231</v>
      </c>
      <c r="C52">
        <v>0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4985110</v>
      </c>
      <c r="K52">
        <v>183365</v>
      </c>
      <c r="L52">
        <f>표3[[#This Row],[매입장부금액]]+표3[[#This Row],[기초평가손익]]</f>
        <v>5168475</v>
      </c>
    </row>
    <row r="53" spans="1:12" x14ac:dyDescent="0.3">
      <c r="A53" s="31" t="s">
        <v>278</v>
      </c>
      <c r="B53" s="5" t="s">
        <v>233</v>
      </c>
      <c r="C53">
        <v>0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1992960</v>
      </c>
      <c r="K53">
        <v>11520</v>
      </c>
      <c r="L53">
        <f>표3[[#This Row],[매입장부금액]]+표3[[#This Row],[기초평가손익]]</f>
        <v>2004480</v>
      </c>
    </row>
    <row r="54" spans="1:12" x14ac:dyDescent="0.3">
      <c r="A54" s="31" t="s">
        <v>238</v>
      </c>
      <c r="B54" s="5" t="s">
        <v>237</v>
      </c>
      <c r="C54">
        <v>0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1956.13</v>
      </c>
      <c r="K54">
        <v>0</v>
      </c>
      <c r="L54">
        <f>표3[[#This Row],[매입장부금액]]+표3[[#This Row],[기초평가손익]]</f>
        <v>1956.13</v>
      </c>
    </row>
    <row r="55" spans="1:12" x14ac:dyDescent="0.3">
      <c r="A55" s="31" t="s">
        <v>242</v>
      </c>
      <c r="B55" s="5" t="s">
        <v>240</v>
      </c>
      <c r="C55">
        <v>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4983240</v>
      </c>
      <c r="K55">
        <v>-443800</v>
      </c>
      <c r="L55">
        <f>표3[[#This Row],[매입장부금액]]+표3[[#This Row],[기초평가손익]]</f>
        <v>4539440</v>
      </c>
    </row>
    <row r="56" spans="1:12" x14ac:dyDescent="0.3">
      <c r="A56" s="31" t="s">
        <v>279</v>
      </c>
      <c r="B56" s="5" t="s">
        <v>243</v>
      </c>
      <c r="C56">
        <v>0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3013045</v>
      </c>
      <c r="K56">
        <v>20615</v>
      </c>
      <c r="L56">
        <f>표3[[#This Row],[매입장부금액]]+표3[[#This Row],[기초평가손익]]</f>
        <v>3033660</v>
      </c>
    </row>
    <row r="57" spans="1:12" x14ac:dyDescent="0.3">
      <c r="A57" s="31" t="s">
        <v>281</v>
      </c>
      <c r="B57" s="5" t="s">
        <v>245</v>
      </c>
      <c r="C57">
        <v>0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  <c r="K57">
        <v>0</v>
      </c>
      <c r="L57">
        <f>표3[[#This Row],[매입장부금액]]+표3[[#This Row],[기초평가손익]]</f>
        <v>0</v>
      </c>
    </row>
    <row r="58" spans="1:12" x14ac:dyDescent="0.3">
      <c r="A58" s="31">
        <v>359210</v>
      </c>
      <c r="B58" s="5" t="s">
        <v>314</v>
      </c>
      <c r="C58">
        <v>0</v>
      </c>
      <c r="D58" t="s">
        <v>315</v>
      </c>
      <c r="E58" t="s">
        <v>316</v>
      </c>
      <c r="F58" t="s">
        <v>317</v>
      </c>
      <c r="G58" t="s">
        <v>318</v>
      </c>
      <c r="H58" t="s">
        <v>319</v>
      </c>
      <c r="J58" s="5">
        <v>0</v>
      </c>
      <c r="K58" s="5">
        <v>0</v>
      </c>
      <c r="L58" s="5">
        <f>표3[[#This Row],[매입장부금액]]+표3[[#This Row],[기초평가손익]]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K2" sqref="K2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356979</v>
      </c>
      <c r="G3" s="28">
        <v>356979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356979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zoomScale="85" zoomScaleNormal="85" workbookViewId="0">
      <selection activeCell="I2" sqref="I2:M3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22972101</v>
      </c>
      <c r="G2">
        <v>22972101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22972101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285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3314047</v>
      </c>
      <c r="G3">
        <v>3314047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3314047</v>
      </c>
      <c r="R3">
        <f>CMA_한투1837[[#This Row],[입출금]]+CMA_한투1837[[#This Row],[현금수입]]-CMA_한투1837[[#This Row],[현금지출]]</f>
        <v>0</v>
      </c>
      <c r="S3">
        <f>SUM($R$3:R3)</f>
        <v>0</v>
      </c>
      <c r="T3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="85" zoomScaleNormal="85" workbookViewId="0">
      <selection activeCell="A25" sqref="A25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t="s">
        <v>273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>
        <v>0</v>
      </c>
      <c r="G2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t="s">
        <v>292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>
        <v>17176678</v>
      </c>
      <c r="G3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t="s">
        <v>288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>
        <v>10043166</v>
      </c>
      <c r="G4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t="s">
        <v>277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>
        <v>1120000</v>
      </c>
      <c r="G5">
        <v>1120000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1120000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>
        <v>2990400</v>
      </c>
      <c r="G6">
        <v>2990400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2990400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t="s">
        <v>280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>
        <v>3072420</v>
      </c>
      <c r="G7">
        <v>3072420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3072420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t="s">
        <v>286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>
        <v>5168475</v>
      </c>
      <c r="G8">
        <v>5168475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5168475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t="s">
        <v>278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>
        <v>2004480</v>
      </c>
      <c r="G9">
        <v>2004480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2004480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>
        <v>634</v>
      </c>
      <c r="F10">
        <v>4539440</v>
      </c>
      <c r="G10">
        <v>4539440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4539440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t="s">
        <v>279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>
        <v>3033660</v>
      </c>
      <c r="G11">
        <v>3033660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3033660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t="s">
        <v>281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>
        <v>2999220</v>
      </c>
      <c r="G12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/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/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t="s">
        <v>292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/>
      <c r="H14" s="5">
        <f>CMA_한투183611[[#This Row],[현금지출]]-CMA_한투183611[[#This Row],[매입액]]</f>
        <v>0</v>
      </c>
      <c r="J14" s="7">
        <v>1988333</v>
      </c>
      <c r="K14">
        <v>1989286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63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/>
      <c r="F15" s="66"/>
      <c r="G15" s="63"/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/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/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33" t="s">
        <v>280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/>
      <c r="H16" s="5">
        <f>CMA_한투183611[[#This Row],[현금지출]]-CMA_한투183611[[#This Row],[매입액]]</f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t="s">
        <v>292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/>
      <c r="F17" s="7">
        <v>1019062</v>
      </c>
      <c r="G17" s="5">
        <v>1019062</v>
      </c>
      <c r="H17" s="5">
        <f>CMA_한투183611[[#This Row],[현금지출]]-CMA_한투183611[[#This Row],[매입액]]</f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t="s">
        <v>273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/>
      <c r="H18" s="5">
        <f>CMA_한투183611[[#This Row],[현금지출]]-CMA_한투183611[[#This Row],[매입액]]</f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t="s">
        <v>278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5">
        <v>995810</v>
      </c>
      <c r="H19" s="5">
        <f>CMA_한투183611[[#This Row],[현금지출]]-CMA_한투183611[[#This Row],[매입액]]</f>
        <v>140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t="s">
        <v>273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/>
      <c r="H20" s="5">
        <f>CMA_한투183611[[#This Row],[현금지출]]-CMA_한투183611[[#This Row],[매입액]]</f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t="s">
        <v>288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/>
      <c r="F21" s="7">
        <v>300000</v>
      </c>
      <c r="G21" s="5">
        <v>300000</v>
      </c>
      <c r="H21" s="5">
        <f>CMA_한투183611[[#This Row],[현금지출]]-CMA_한투183611[[#This Row],[매입액]]</f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>
        <v>359210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5">
        <v>3172915</v>
      </c>
      <c r="H22" s="5">
        <f>CMA_한투183611[[#This Row],[현금지출]]-CMA_한투183611[[#This Row],[매입액]]</f>
        <v>460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33" t="s">
        <v>280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/>
      <c r="H23" s="5">
        <f>CMA_한투183611[[#This Row],[현금지출]]-CMA_한투183611[[#This Row],[매입액]]</f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R23" s="5">
        <f>CMA_한투183611[[#This Row],[입출금]]+CMA_한투183611[[#This Row],[현금수입]]-CMA_한투183611[[#This Row],[현금지출]]</f>
        <v>13336</v>
      </c>
      <c r="S23" s="5">
        <f>SUM($R$2:R23)</f>
        <v>40421</v>
      </c>
    </row>
    <row r="24" spans="1:19" x14ac:dyDescent="0.3">
      <c r="A24" s="3">
        <v>45327</v>
      </c>
      <c r="B24" t="s">
        <v>292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/>
      <c r="H24" s="5">
        <f>CMA_한투183611[[#This Row],[현금지출]]-CMA_한투183611[[#This Row],[매입액]]</f>
        <v>0</v>
      </c>
      <c r="J24" s="7">
        <v>1019062</v>
      </c>
      <c r="K24">
        <v>1022188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R24" s="5">
        <f>CMA_한투183611[[#This Row],[입출금]]+CMA_한투183611[[#This Row],[현금수입]]-CMA_한투183611[[#This Row],[현금지출]]</f>
        <v>1021718</v>
      </c>
      <c r="S24" s="5">
        <f>SUM($R$2:R24)</f>
        <v>1062139</v>
      </c>
    </row>
    <row r="25" spans="1:19" x14ac:dyDescent="0.3">
      <c r="A25" s="3">
        <v>45328</v>
      </c>
      <c r="B25" t="s">
        <v>273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/>
      <c r="H25" s="5">
        <f>CMA_한투183611[[#This Row],[현금지출]]-CMA_한투183611[[#This Row],[매입액]]</f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 s="5">
        <f>SUM($R$2:R25)</f>
        <v>461889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zoomScale="85" zoomScaleNormal="85" workbookViewId="0">
      <selection activeCell="M6" sqref="M6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271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275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G35" sqref="G3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A2" s="3">
        <v>45292</v>
      </c>
      <c r="B2" s="1" t="s">
        <v>79</v>
      </c>
      <c r="C2" s="1" t="str">
        <f>VLOOKUP(CMA_한투183[[#This Row],[종목코드]],표3[],2,FALSE)</f>
        <v>롯데케미칼</v>
      </c>
      <c r="D2" s="9" t="str">
        <f>VLOOKUP(CMA_한투183[[#This Row],[종목코드]],표3[],4,FALSE)</f>
        <v>우리사주 롯데케미칼</v>
      </c>
      <c r="E2" s="40">
        <v>70</v>
      </c>
      <c r="F2" s="7">
        <v>10724000</v>
      </c>
      <c r="G2" s="8">
        <v>10724000</v>
      </c>
      <c r="H2" s="8">
        <f>CMA_한투183[[#This Row],[현금지출]]-CMA_한투183[[#This Row],[매입액]]</f>
        <v>0</v>
      </c>
      <c r="I2" s="12">
        <v>0</v>
      </c>
      <c r="J2" s="7">
        <v>0</v>
      </c>
      <c r="K2" s="7">
        <v>0</v>
      </c>
      <c r="L2" s="7">
        <v>0</v>
      </c>
      <c r="M2" s="7">
        <v>0</v>
      </c>
      <c r="N2" s="8">
        <f>CMA_한투183[[#This Row],[매도액]]-CMA_한투183[[#This Row],[매도원금]]</f>
        <v>0</v>
      </c>
      <c r="O2" s="8">
        <f>CMA_한투183[[#This Row],[매도액]]+CMA_한투183[[#This Row],[이자배당액]]-CMA_한투183[[#This Row],[현금수입]]</f>
        <v>0</v>
      </c>
      <c r="P2" s="8">
        <f>CMA_한투183[[#This Row],[매매수익]]+CMA_한투183[[#This Row],[이자배당액]]-CMA_한투183[[#This Row],[매도비용]]-CMA_한투183[[#This Row],[매입비용]]</f>
        <v>0</v>
      </c>
      <c r="Q2" s="8">
        <v>10724000</v>
      </c>
      <c r="R2" s="8">
        <f>CMA_한투183[[#This Row],[입출금]]+CMA_한투183[[#This Row],[현금수입]]-CMA_한투183[[#This Row],[현금지출]]</f>
        <v>0</v>
      </c>
      <c r="S2" s="8">
        <f>SUM($R$2:R2)</f>
        <v>0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5" zoomScaleNormal="85" workbookViewId="0">
      <selection activeCell="E1" sqref="E1"/>
    </sheetView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 t="e">
        <f>SUM(외화자산평가!$F:$F)/-SUMIF(외화자산평가!$T:$T,"&lt;0",외화자산평가!$T:$T)</f>
        <v>#DIV/0!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18" sqref="D18"/>
    </sheetView>
  </sheetViews>
  <sheetFormatPr defaultRowHeight="16.5" x14ac:dyDescent="0.3"/>
  <cols>
    <col min="1" max="1" width="11.125" bestFit="1" customWidth="1"/>
    <col min="2" max="2" width="21.375" bestFit="1" customWidth="1"/>
    <col min="3" max="3" width="11.5" style="50" customWidth="1"/>
    <col min="4" max="4" width="46.625" customWidth="1"/>
    <col min="6" max="6" width="11.875" bestFit="1" customWidth="1"/>
    <col min="8" max="8" width="12.125" customWidth="1"/>
    <col min="9" max="9" width="11.875" style="50" bestFit="1" customWidth="1"/>
    <col min="11" max="11" width="10.25" customWidth="1"/>
  </cols>
  <sheetData>
    <row r="1" spans="1:10" x14ac:dyDescent="0.3">
      <c r="A1" t="s">
        <v>320</v>
      </c>
      <c r="B1" t="s">
        <v>321</v>
      </c>
      <c r="C1" s="50" t="s">
        <v>341</v>
      </c>
      <c r="D1" t="s">
        <v>322</v>
      </c>
      <c r="E1" t="s">
        <v>323</v>
      </c>
      <c r="F1" t="s">
        <v>324</v>
      </c>
      <c r="G1" t="s">
        <v>325</v>
      </c>
      <c r="H1" s="50" t="s">
        <v>340</v>
      </c>
      <c r="I1" t="s">
        <v>342</v>
      </c>
      <c r="J1" t="s">
        <v>343</v>
      </c>
    </row>
    <row r="2" spans="1:10" x14ac:dyDescent="0.3">
      <c r="A2" t="s">
        <v>326</v>
      </c>
      <c r="B2" t="s">
        <v>390</v>
      </c>
      <c r="C2" s="50">
        <v>548019</v>
      </c>
      <c r="D2" t="s">
        <v>327</v>
      </c>
      <c r="E2" t="s">
        <v>328</v>
      </c>
      <c r="F2" t="s">
        <v>21</v>
      </c>
      <c r="G2" t="s">
        <v>329</v>
      </c>
      <c r="H2" s="50">
        <v>547863</v>
      </c>
      <c r="I2">
        <f>C2-H2</f>
        <v>156</v>
      </c>
      <c r="J2" s="70">
        <f>I2/H2</f>
        <v>2.8474271852634692E-4</v>
      </c>
    </row>
    <row r="3" spans="1:10" x14ac:dyDescent="0.3">
      <c r="A3" t="s">
        <v>334</v>
      </c>
      <c r="B3" t="s">
        <v>332</v>
      </c>
      <c r="C3" s="50">
        <v>9732471</v>
      </c>
      <c r="D3" t="s">
        <v>332</v>
      </c>
      <c r="E3" t="s">
        <v>328</v>
      </c>
      <c r="F3" t="s">
        <v>330</v>
      </c>
      <c r="G3" t="s">
        <v>331</v>
      </c>
      <c r="H3" s="50">
        <v>9523204</v>
      </c>
      <c r="I3">
        <f>C3-H3</f>
        <v>209267</v>
      </c>
      <c r="J3" s="70">
        <f>I3/H3</f>
        <v>2.1974432134395105E-2</v>
      </c>
    </row>
    <row r="4" spans="1:10" x14ac:dyDescent="0.3">
      <c r="A4" t="s">
        <v>335</v>
      </c>
      <c r="B4" t="s">
        <v>333</v>
      </c>
      <c r="C4" s="50">
        <v>6199116</v>
      </c>
      <c r="D4" t="s">
        <v>333</v>
      </c>
      <c r="E4" t="s">
        <v>328</v>
      </c>
      <c r="F4" t="s">
        <v>330</v>
      </c>
      <c r="G4" t="s">
        <v>331</v>
      </c>
      <c r="H4" s="50">
        <v>6123103</v>
      </c>
      <c r="I4">
        <f>C4-H4</f>
        <v>76013</v>
      </c>
      <c r="J4" s="70">
        <f>I4/H4</f>
        <v>1.241413054786111E-2</v>
      </c>
    </row>
    <row r="5" spans="1:10" x14ac:dyDescent="0.3">
      <c r="A5" s="31">
        <v>226490</v>
      </c>
      <c r="B5" t="s">
        <v>336</v>
      </c>
      <c r="C5" s="50">
        <v>3575705</v>
      </c>
      <c r="D5" t="s">
        <v>337</v>
      </c>
      <c r="E5" t="s">
        <v>328</v>
      </c>
      <c r="F5" t="s">
        <v>338</v>
      </c>
      <c r="G5" t="s">
        <v>339</v>
      </c>
      <c r="H5" s="50">
        <v>3390170</v>
      </c>
      <c r="I5">
        <f>C5-H5</f>
        <v>185535</v>
      </c>
      <c r="J5" s="70">
        <f>I5/H5</f>
        <v>5.4727344056492745E-2</v>
      </c>
    </row>
    <row r="6" spans="1:10" x14ac:dyDescent="0.3">
      <c r="A6" t="s">
        <v>376</v>
      </c>
      <c r="B6" t="s">
        <v>380</v>
      </c>
      <c r="C6" s="50">
        <v>15156281</v>
      </c>
      <c r="D6" t="s">
        <v>344</v>
      </c>
      <c r="E6" t="s">
        <v>353</v>
      </c>
      <c r="F6" t="s">
        <v>330</v>
      </c>
      <c r="G6" t="s">
        <v>331</v>
      </c>
      <c r="H6" s="50">
        <f>C6/(1+J6)</f>
        <v>15151735.479356194</v>
      </c>
      <c r="I6" s="55">
        <f>C6-H6</f>
        <v>4545.520643806085</v>
      </c>
      <c r="J6" s="70">
        <v>2.9999999999999997E-4</v>
      </c>
    </row>
    <row r="7" spans="1:10" x14ac:dyDescent="0.3">
      <c r="A7" t="s">
        <v>378</v>
      </c>
      <c r="B7" t="s">
        <v>379</v>
      </c>
      <c r="C7" s="50">
        <v>9950017</v>
      </c>
      <c r="D7" t="s">
        <v>345</v>
      </c>
      <c r="E7" t="s">
        <v>353</v>
      </c>
      <c r="F7" t="s">
        <v>330</v>
      </c>
      <c r="G7" t="s">
        <v>331</v>
      </c>
      <c r="H7" s="50">
        <f>C7/(1+J7)</f>
        <v>9946038.5845661741</v>
      </c>
      <c r="I7" s="55">
        <f>C7-H7</f>
        <v>3978.415433825925</v>
      </c>
      <c r="J7" s="70">
        <v>4.0000000000000002E-4</v>
      </c>
    </row>
    <row r="8" spans="1:10" x14ac:dyDescent="0.3">
      <c r="A8" t="s">
        <v>363</v>
      </c>
      <c r="B8" t="s">
        <v>381</v>
      </c>
      <c r="C8" s="50">
        <v>4252948</v>
      </c>
      <c r="D8" t="s">
        <v>355</v>
      </c>
      <c r="E8" t="s">
        <v>353</v>
      </c>
      <c r="F8" t="s">
        <v>356</v>
      </c>
      <c r="G8" t="s">
        <v>357</v>
      </c>
      <c r="H8" s="50">
        <f>C8/(1+J8)</f>
        <v>4195470.0601755939</v>
      </c>
      <c r="I8" s="55">
        <f>C8-H8</f>
        <v>57477.939824406058</v>
      </c>
      <c r="J8" s="70">
        <v>1.37E-2</v>
      </c>
    </row>
    <row r="9" spans="1:10" x14ac:dyDescent="0.3">
      <c r="A9" t="s">
        <v>365</v>
      </c>
      <c r="B9" t="s">
        <v>382</v>
      </c>
      <c r="C9" s="50">
        <v>4200467</v>
      </c>
      <c r="D9" t="s">
        <v>346</v>
      </c>
      <c r="E9" t="s">
        <v>353</v>
      </c>
      <c r="F9" t="s">
        <v>330</v>
      </c>
      <c r="G9" t="s">
        <v>331</v>
      </c>
      <c r="H9" s="50">
        <f>C9/(1+J9)</f>
        <v>4195432.4810227724</v>
      </c>
      <c r="I9" s="55">
        <f>C9-H9</f>
        <v>5034.5189772276208</v>
      </c>
      <c r="J9" s="70">
        <v>1.1999999999999999E-3</v>
      </c>
    </row>
    <row r="10" spans="1:10" x14ac:dyDescent="0.3">
      <c r="A10" t="s">
        <v>367</v>
      </c>
      <c r="B10" t="s">
        <v>383</v>
      </c>
      <c r="C10" s="50">
        <v>2109942</v>
      </c>
      <c r="D10" t="s">
        <v>347</v>
      </c>
      <c r="E10" t="s">
        <v>353</v>
      </c>
      <c r="F10" t="s">
        <v>330</v>
      </c>
      <c r="G10" t="s">
        <v>331</v>
      </c>
      <c r="H10" s="50">
        <f>C10/(1+J10)</f>
        <v>2097774.9055478224</v>
      </c>
      <c r="I10" s="55">
        <f>C10-H10</f>
        <v>12167.09445217764</v>
      </c>
      <c r="J10" s="70">
        <v>5.7999999999999996E-3</v>
      </c>
    </row>
    <row r="11" spans="1:10" x14ac:dyDescent="0.3">
      <c r="A11" t="s">
        <v>368</v>
      </c>
      <c r="B11" t="s">
        <v>384</v>
      </c>
      <c r="C11" s="50">
        <v>2107970</v>
      </c>
      <c r="D11" t="s">
        <v>348</v>
      </c>
      <c r="E11" t="s">
        <v>353</v>
      </c>
      <c r="F11" t="s">
        <v>330</v>
      </c>
      <c r="G11" t="s">
        <v>331</v>
      </c>
      <c r="H11" s="50">
        <f>C11/(1+J11)</f>
        <v>2097691.312568415</v>
      </c>
      <c r="I11" s="55">
        <f>C11-H11</f>
        <v>10278.687431585044</v>
      </c>
      <c r="J11" s="70">
        <v>4.8999999999999998E-3</v>
      </c>
    </row>
    <row r="12" spans="1:10" x14ac:dyDescent="0.3">
      <c r="A12" t="s">
        <v>369</v>
      </c>
      <c r="B12" t="s">
        <v>385</v>
      </c>
      <c r="C12" s="50">
        <v>4245573</v>
      </c>
      <c r="D12" t="s">
        <v>349</v>
      </c>
      <c r="E12" t="s">
        <v>353</v>
      </c>
      <c r="F12" t="s">
        <v>356</v>
      </c>
      <c r="G12" t="s">
        <v>357</v>
      </c>
      <c r="H12" s="50">
        <f>C12/(1+J12)</f>
        <v>4195230.2371541504</v>
      </c>
      <c r="I12" s="55">
        <f>C12-H12</f>
        <v>50342.762845849618</v>
      </c>
      <c r="J12" s="70">
        <v>1.2E-2</v>
      </c>
    </row>
    <row r="13" spans="1:10" x14ac:dyDescent="0.3">
      <c r="A13" t="s">
        <v>370</v>
      </c>
      <c r="B13" t="s">
        <v>386</v>
      </c>
      <c r="C13" s="50">
        <v>6843270</v>
      </c>
      <c r="D13" t="s">
        <v>350</v>
      </c>
      <c r="E13" t="s">
        <v>353</v>
      </c>
      <c r="F13" t="s">
        <v>358</v>
      </c>
      <c r="G13" t="s">
        <v>359</v>
      </c>
      <c r="H13" s="50">
        <f>C13/(1+J13)</f>
        <v>6843270</v>
      </c>
      <c r="I13" s="55">
        <f>C13-H13</f>
        <v>0</v>
      </c>
      <c r="J13" s="70">
        <v>0</v>
      </c>
    </row>
    <row r="14" spans="1:10" x14ac:dyDescent="0.3">
      <c r="A14" t="s">
        <v>371</v>
      </c>
      <c r="B14" t="s">
        <v>387</v>
      </c>
      <c r="C14" s="50">
        <v>2056309</v>
      </c>
      <c r="D14" t="s">
        <v>351</v>
      </c>
      <c r="E14" t="s">
        <v>353</v>
      </c>
      <c r="F14" t="s">
        <v>360</v>
      </c>
      <c r="G14" t="s">
        <v>361</v>
      </c>
      <c r="H14" s="50">
        <f>C14/(1+J14)</f>
        <v>2097632.3574415995</v>
      </c>
      <c r="I14" s="55">
        <f>C14-H14</f>
        <v>-41323.357441599481</v>
      </c>
      <c r="J14" s="70">
        <v>-1.9699999999999999E-2</v>
      </c>
    </row>
    <row r="15" spans="1:10" x14ac:dyDescent="0.3">
      <c r="A15" t="s">
        <v>372</v>
      </c>
      <c r="B15" t="s">
        <v>388</v>
      </c>
      <c r="C15" s="50">
        <v>2065314</v>
      </c>
      <c r="D15" t="s">
        <v>352</v>
      </c>
      <c r="E15" t="s">
        <v>353</v>
      </c>
      <c r="F15" t="s">
        <v>360</v>
      </c>
      <c r="G15" t="s">
        <v>361</v>
      </c>
      <c r="H15" s="50">
        <f>C15/(1+J15)</f>
        <v>2097617.3065204145</v>
      </c>
      <c r="I15" s="55">
        <f>C15-H15</f>
        <v>-32303.306520414539</v>
      </c>
      <c r="J15" s="70">
        <v>-1.54E-2</v>
      </c>
    </row>
    <row r="16" spans="1:10" x14ac:dyDescent="0.3">
      <c r="A16" t="s">
        <v>374</v>
      </c>
      <c r="B16" t="s">
        <v>389</v>
      </c>
      <c r="C16" s="50">
        <v>3086</v>
      </c>
      <c r="D16" t="s">
        <v>354</v>
      </c>
      <c r="E16" t="s">
        <v>353</v>
      </c>
      <c r="F16" t="s">
        <v>21</v>
      </c>
      <c r="G16" t="s">
        <v>17</v>
      </c>
      <c r="H16" s="50">
        <f>C16/(1+J16)</f>
        <v>3086</v>
      </c>
      <c r="I16" s="55">
        <f>C16-H16</f>
        <v>0</v>
      </c>
      <c r="J16" s="70">
        <v>0</v>
      </c>
    </row>
    <row r="17" spans="1:10" x14ac:dyDescent="0.3">
      <c r="A17" t="s">
        <v>418</v>
      </c>
      <c r="B17" t="s">
        <v>419</v>
      </c>
      <c r="D17" t="s">
        <v>420</v>
      </c>
      <c r="E17" t="s">
        <v>415</v>
      </c>
      <c r="F17" t="s">
        <v>416</v>
      </c>
      <c r="G17" t="s">
        <v>417</v>
      </c>
      <c r="H17" s="50">
        <f>C17/(1+J17)</f>
        <v>0</v>
      </c>
      <c r="I17" s="55">
        <f>C17-H17</f>
        <v>0</v>
      </c>
      <c r="J17" s="70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310</v>
      </c>
      <c r="C1" s="58" t="s">
        <v>78</v>
      </c>
      <c r="D1" s="58" t="s">
        <v>309</v>
      </c>
      <c r="E1" s="58" t="s">
        <v>308</v>
      </c>
      <c r="F1" s="58" t="s">
        <v>307</v>
      </c>
      <c r="G1" s="58" t="s">
        <v>249</v>
      </c>
      <c r="H1" s="58" t="s">
        <v>306</v>
      </c>
      <c r="I1" s="58" t="s">
        <v>305</v>
      </c>
      <c r="J1" s="58" t="s">
        <v>304</v>
      </c>
      <c r="K1" s="58" t="s">
        <v>303</v>
      </c>
      <c r="L1" s="58" t="s">
        <v>302</v>
      </c>
      <c r="M1" s="58" t="s">
        <v>301</v>
      </c>
      <c r="N1" s="58" t="s">
        <v>300</v>
      </c>
      <c r="O1" s="58" t="s">
        <v>299</v>
      </c>
      <c r="P1" s="58" t="s">
        <v>298</v>
      </c>
      <c r="Q1" s="58" t="s">
        <v>297</v>
      </c>
      <c r="R1" s="58" t="s">
        <v>296</v>
      </c>
      <c r="S1" s="58" t="s">
        <v>295</v>
      </c>
      <c r="T1" s="58" t="s">
        <v>294</v>
      </c>
    </row>
    <row r="2" spans="1:20" x14ac:dyDescent="0.3">
      <c r="A2" s="60" t="s">
        <v>82</v>
      </c>
      <c r="B2" s="57">
        <v>45291</v>
      </c>
      <c r="C2" s="56" t="s">
        <v>293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283</v>
      </c>
      <c r="N2" s="56" t="s">
        <v>282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292</v>
      </c>
      <c r="B3" s="57">
        <v>45291</v>
      </c>
      <c r="C3" s="56" t="s">
        <v>291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253</v>
      </c>
      <c r="N3" s="56" t="s">
        <v>70</v>
      </c>
      <c r="O3" s="56" t="s">
        <v>254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290</v>
      </c>
      <c r="D4" s="56" t="s">
        <v>70</v>
      </c>
      <c r="E4" s="56" t="s">
        <v>289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288</v>
      </c>
      <c r="B5" s="57">
        <v>45291</v>
      </c>
      <c r="C5" s="56" t="s">
        <v>287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286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285</v>
      </c>
      <c r="B7" s="57">
        <v>45291</v>
      </c>
      <c r="C7" s="56" t="s">
        <v>284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283</v>
      </c>
      <c r="N7" s="56" t="s">
        <v>282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281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280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279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278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269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277</v>
      </c>
      <c r="B15" s="57">
        <v>45291</v>
      </c>
      <c r="C15" s="56" t="s">
        <v>276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275</v>
      </c>
      <c r="B16" s="57">
        <v>45291</v>
      </c>
      <c r="C16" s="56" t="s">
        <v>274</v>
      </c>
      <c r="D16" s="56" t="s">
        <v>70</v>
      </c>
      <c r="E16" s="56" t="s">
        <v>269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272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253</v>
      </c>
      <c r="N17" s="56" t="s">
        <v>70</v>
      </c>
      <c r="O17" s="56" t="s">
        <v>251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271</v>
      </c>
      <c r="B18" s="57">
        <v>45291</v>
      </c>
      <c r="C18" s="56" t="s">
        <v>270</v>
      </c>
      <c r="D18" s="56" t="s">
        <v>70</v>
      </c>
      <c r="E18" s="56" t="s">
        <v>269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253</v>
      </c>
      <c r="N18" s="56" t="s">
        <v>70</v>
      </c>
      <c r="O18" s="56" t="s">
        <v>251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253</v>
      </c>
      <c r="N19" s="56" t="s">
        <v>70</v>
      </c>
      <c r="O19" s="56" t="s">
        <v>254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268</v>
      </c>
      <c r="B20" s="57">
        <v>45291</v>
      </c>
      <c r="C20" s="56" t="s">
        <v>267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253</v>
      </c>
      <c r="N20" s="56" t="s">
        <v>70</v>
      </c>
      <c r="O20" s="56" t="s">
        <v>251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266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266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253</v>
      </c>
      <c r="N25" s="56" t="s">
        <v>70</v>
      </c>
      <c r="O25" s="56" t="s">
        <v>254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265</v>
      </c>
      <c r="B26" s="57">
        <v>45291</v>
      </c>
      <c r="C26" s="56" t="s">
        <v>264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253</v>
      </c>
      <c r="N26" s="56" t="s">
        <v>70</v>
      </c>
      <c r="O26" s="56" t="s">
        <v>251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263</v>
      </c>
      <c r="D27" s="56" t="s">
        <v>259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262</v>
      </c>
      <c r="O27" s="56" t="s">
        <v>262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261</v>
      </c>
      <c r="B28" s="57">
        <v>45291</v>
      </c>
      <c r="C28" s="56" t="s">
        <v>260</v>
      </c>
      <c r="D28" s="56" t="s">
        <v>259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253</v>
      </c>
      <c r="N28" s="56" t="s">
        <v>252</v>
      </c>
      <c r="O28" s="56" t="s">
        <v>251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258</v>
      </c>
      <c r="B29" s="57">
        <v>45291</v>
      </c>
      <c r="C29" s="56" t="s">
        <v>257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253</v>
      </c>
      <c r="N29" s="56" t="s">
        <v>252</v>
      </c>
      <c r="O29" s="56" t="s">
        <v>254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256</v>
      </c>
      <c r="B30" s="57">
        <v>45291</v>
      </c>
      <c r="C30" s="56" t="s">
        <v>255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253</v>
      </c>
      <c r="N41" s="56" t="s">
        <v>252</v>
      </c>
      <c r="O41" s="56" t="s">
        <v>251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252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253</v>
      </c>
      <c r="N54" s="56" t="s">
        <v>252</v>
      </c>
      <c r="O54" s="56" t="s">
        <v>254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253</v>
      </c>
      <c r="N56" s="56" t="s">
        <v>252</v>
      </c>
      <c r="O56" s="56" t="s">
        <v>251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250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D3" sqref="D3"/>
    </sheetView>
  </sheetViews>
  <sheetFormatPr defaultRowHeight="16.5" x14ac:dyDescent="0.3"/>
  <cols>
    <col min="1" max="2" width="10.25" customWidth="1"/>
    <col min="4" max="4" width="43.125" customWidth="1"/>
    <col min="5" max="5" width="10.25" customWidth="1"/>
    <col min="6" max="6" width="9.5" bestFit="1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1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2">
        <v>45292</v>
      </c>
      <c r="B2" s="73" t="s">
        <v>391</v>
      </c>
      <c r="C2" s="72" t="str">
        <f>VLOOKUP(농협IRP[[#This Row],[종목코드]],연금종목정보[],2,FALSE)</f>
        <v>농협현금</v>
      </c>
      <c r="D2" s="74" t="str">
        <f>VLOOKUP(농협IRP[[#This Row],[종목코드]],연금종목정보[],4,FALSE)</f>
        <v>농협현금성자산</v>
      </c>
      <c r="E2" s="75">
        <v>1</v>
      </c>
      <c r="F2" s="76">
        <v>547863</v>
      </c>
      <c r="G2" s="76">
        <v>547863</v>
      </c>
      <c r="H2" s="77">
        <f>불리오[[#This Row],[현금지출]]-불리오[[#This Row],[매입액]]</f>
        <v>0</v>
      </c>
      <c r="I2" s="78"/>
      <c r="J2" s="76"/>
      <c r="K2" s="76"/>
      <c r="L2" s="79"/>
      <c r="M2" s="76"/>
      <c r="N2" s="79">
        <f>불리오[[#This Row],[매도액]]-불리오[[#This Row],[매도원금]]</f>
        <v>0</v>
      </c>
      <c r="O2" s="79">
        <f>불리오[[#This Row],[매도액]]+불리오[[#This Row],[이자배당액]]-불리오[[#This Row],[현금수입]]</f>
        <v>0</v>
      </c>
      <c r="P2" s="79">
        <f>불리오[[#This Row],[매매수익]]+불리오[[#This Row],[이자배당액]]-불리오[[#This Row],[매도비용]]-불리오[[#This Row],[매입비용]]</f>
        <v>0</v>
      </c>
      <c r="Q2" s="76">
        <v>547863</v>
      </c>
      <c r="R2" s="78">
        <f>불리오[[#This Row],[입출금]]+불리오[[#This Row],[현금수입]]-불리오[[#This Row],[현금지출]]</f>
        <v>0</v>
      </c>
      <c r="S2" s="79">
        <f>SUM($R$2:R2)</f>
        <v>0</v>
      </c>
    </row>
    <row r="3" spans="1:19" x14ac:dyDescent="0.3">
      <c r="A3" s="72">
        <v>45292</v>
      </c>
      <c r="B3" s="73" t="s">
        <v>392</v>
      </c>
      <c r="C3" s="72" t="str">
        <f>VLOOKUP(농협IRP[[#This Row],[종목코드]],연금종목정보[],2,FALSE)</f>
        <v>신한정기예금1Y</v>
      </c>
      <c r="D3" s="74" t="str">
        <f>VLOOKUP(농협IRP[[#This Row],[종목코드]],연금종목정보[],4,FALSE)</f>
        <v>신한정기예금1Y</v>
      </c>
      <c r="E3" s="75">
        <v>1</v>
      </c>
      <c r="F3" s="76">
        <v>9523204</v>
      </c>
      <c r="G3" s="76">
        <v>9523204</v>
      </c>
      <c r="H3" s="77">
        <f>불리오[[#This Row],[현금지출]]-불리오[[#This Row],[매입액]]</f>
        <v>0</v>
      </c>
      <c r="I3" s="78"/>
      <c r="J3" s="76"/>
      <c r="K3" s="76"/>
      <c r="L3" s="79"/>
      <c r="M3" s="76"/>
      <c r="N3" s="79">
        <f>불리오[[#This Row],[매도액]]-불리오[[#This Row],[매도원금]]</f>
        <v>0</v>
      </c>
      <c r="O3" s="79">
        <f>불리오[[#This Row],[매도액]]+불리오[[#This Row],[이자배당액]]-불리오[[#This Row],[현금수입]]</f>
        <v>0</v>
      </c>
      <c r="P3" s="79">
        <f>불리오[[#This Row],[매매수익]]+불리오[[#This Row],[이자배당액]]-불리오[[#This Row],[매도비용]]-불리오[[#This Row],[매입비용]]</f>
        <v>0</v>
      </c>
      <c r="Q3" s="76">
        <v>9523204</v>
      </c>
      <c r="R3" s="78">
        <f>불리오[[#This Row],[입출금]]+불리오[[#This Row],[현금수입]]-불리오[[#This Row],[현금지출]]</f>
        <v>0</v>
      </c>
      <c r="S3" s="78">
        <f>SUM($R$2:R3)</f>
        <v>0</v>
      </c>
    </row>
    <row r="4" spans="1:19" x14ac:dyDescent="0.3">
      <c r="A4" s="72">
        <v>45292</v>
      </c>
      <c r="B4" s="82" t="s">
        <v>393</v>
      </c>
      <c r="C4" s="81" t="str">
        <f>VLOOKUP(농협IRP[[#This Row],[종목코드]],연금종목정보[],2,FALSE)</f>
        <v>다올정기예금1Y</v>
      </c>
      <c r="D4" s="83" t="str">
        <f>VLOOKUP(농협IRP[[#This Row],[종목코드]],연금종목정보[],4,FALSE)</f>
        <v>다올정기예금1Y</v>
      </c>
      <c r="E4" s="84">
        <v>1</v>
      </c>
      <c r="F4" s="85">
        <v>6123103</v>
      </c>
      <c r="G4" s="85">
        <v>6123103</v>
      </c>
      <c r="H4" s="86">
        <f>불리오[[#This Row],[현금지출]]-불리오[[#This Row],[매입액]]</f>
        <v>0</v>
      </c>
      <c r="I4" s="87"/>
      <c r="J4" s="85"/>
      <c r="K4" s="85"/>
      <c r="L4" s="88"/>
      <c r="M4" s="85"/>
      <c r="N4" s="88">
        <f>불리오[[#This Row],[매도액]]-불리오[[#This Row],[매도원금]]</f>
        <v>0</v>
      </c>
      <c r="O4" s="88">
        <f>불리오[[#This Row],[매도액]]+불리오[[#This Row],[이자배당액]]-불리오[[#This Row],[현금수입]]</f>
        <v>0</v>
      </c>
      <c r="P4" s="88">
        <f>불리오[[#This Row],[매매수익]]+불리오[[#This Row],[이자배당액]]-불리오[[#This Row],[매도비용]]-불리오[[#This Row],[매입비용]]</f>
        <v>0</v>
      </c>
      <c r="Q4" s="85">
        <v>6123103</v>
      </c>
      <c r="R4" s="87">
        <f>불리오[[#This Row],[입출금]]+불리오[[#This Row],[현금수입]]-불리오[[#This Row],[현금지출]]</f>
        <v>0</v>
      </c>
      <c r="S4" s="87">
        <f>SUM($R$2:R4)</f>
        <v>0</v>
      </c>
    </row>
    <row r="5" spans="1:19" x14ac:dyDescent="0.3">
      <c r="A5" s="72">
        <v>45292</v>
      </c>
      <c r="B5" s="82">
        <v>226490</v>
      </c>
      <c r="C5" s="81" t="str">
        <f>VLOOKUP(농협IRP[[#This Row],[종목코드]],연금종목정보[],2,FALSE)</f>
        <v>KODEX 코스피</v>
      </c>
      <c r="D5" s="83" t="str">
        <f>VLOOKUP(농협IRP[[#This Row],[종목코드]],연금종목정보[],4,FALSE)</f>
        <v>삼성 KODEX 코스피증권상장지수투자신탁(주식)</v>
      </c>
      <c r="E5" s="84">
        <v>1</v>
      </c>
      <c r="F5" s="85">
        <v>3390170</v>
      </c>
      <c r="G5" s="86">
        <v>3390170</v>
      </c>
      <c r="H5" s="86">
        <f>불리오[[#This Row],[현금지출]]-불리오[[#This Row],[매입액]]</f>
        <v>0</v>
      </c>
      <c r="I5" s="87"/>
      <c r="J5" s="85"/>
      <c r="K5" s="85"/>
      <c r="L5" s="88"/>
      <c r="M5" s="85"/>
      <c r="N5" s="88">
        <f>불리오[[#This Row],[매도액]]-불리오[[#This Row],[매도원금]]</f>
        <v>0</v>
      </c>
      <c r="O5" s="88">
        <f>불리오[[#This Row],[매도액]]+불리오[[#This Row],[이자배당액]]-불리오[[#This Row],[현금수입]]</f>
        <v>0</v>
      </c>
      <c r="P5" s="88">
        <f>불리오[[#This Row],[매매수익]]+불리오[[#This Row],[이자배당액]]-불리오[[#This Row],[매도비용]]-불리오[[#This Row],[매입비용]]</f>
        <v>0</v>
      </c>
      <c r="Q5" s="86">
        <v>3390170</v>
      </c>
      <c r="R5" s="87">
        <f>불리오[[#This Row],[입출금]]+불리오[[#This Row],[현금수입]]-불리오[[#This Row],[현금지출]]</f>
        <v>0</v>
      </c>
      <c r="S5" s="87">
        <f>SUM($R$2:R5)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D2" sqref="D2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1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2">
        <v>45292</v>
      </c>
      <c r="B2" s="73" t="s">
        <v>375</v>
      </c>
      <c r="C2" s="72" t="str">
        <f>VLOOKUP(삼성DC[[#This Row],[종목코드]],연금종목정보[],2,FALSE)</f>
        <v>삼성변동예금</v>
      </c>
      <c r="D2" s="74" t="str">
        <f>VLOOKUP(삼성DC[[#This Row],[종목코드]],연금종목정보[],4,FALSE)</f>
        <v>삼성화재 금리연동형</v>
      </c>
      <c r="E2" s="75">
        <v>1</v>
      </c>
      <c r="F2" s="76">
        <v>15152454</v>
      </c>
      <c r="G2" s="77">
        <v>15152454</v>
      </c>
      <c r="H2" s="77">
        <f>불리오[[#This Row],[현금지출]]-불리오[[#This Row],[매입액]]</f>
        <v>0</v>
      </c>
      <c r="I2" s="78"/>
      <c r="J2" s="76"/>
      <c r="K2" s="76"/>
      <c r="L2" s="79"/>
      <c r="M2" s="76"/>
      <c r="N2" s="79">
        <f>불리오[[#This Row],[매도액]]-불리오[[#This Row],[매도원금]]</f>
        <v>0</v>
      </c>
      <c r="O2" s="79">
        <f>불리오[[#This Row],[매도액]]+불리오[[#This Row],[이자배당액]]-불리오[[#This Row],[현금수입]]</f>
        <v>0</v>
      </c>
      <c r="P2" s="79">
        <f>불리오[[#This Row],[매매수익]]+불리오[[#This Row],[이자배당액]]-불리오[[#This Row],[매도비용]]-불리오[[#This Row],[매입비용]]</f>
        <v>0</v>
      </c>
      <c r="Q2" s="80">
        <v>15152454</v>
      </c>
      <c r="R2" s="78">
        <f>불리오[[#This Row],[입출금]]+불리오[[#This Row],[현금수입]]-불리오[[#This Row],[현금지출]]</f>
        <v>0</v>
      </c>
      <c r="S2" s="79">
        <f>SUM($R$2:R12)</f>
        <v>0</v>
      </c>
    </row>
    <row r="3" spans="1:19" x14ac:dyDescent="0.3">
      <c r="A3" s="72">
        <v>45292</v>
      </c>
      <c r="B3" s="73" t="s">
        <v>377</v>
      </c>
      <c r="C3" s="72" t="str">
        <f>VLOOKUP(삼성DC[[#This Row],[종목코드]],연금종목정보[],2,FALSE)</f>
        <v>삼성정기예금1년</v>
      </c>
      <c r="D3" s="74" t="str">
        <f>VLOOKUP(삼성DC[[#This Row],[종목코드]],연금종목정보[],4,FALSE)</f>
        <v>삼성화재 이율보증형 1Y</v>
      </c>
      <c r="E3" s="75">
        <v>1</v>
      </c>
      <c r="F3" s="76">
        <v>9946500</v>
      </c>
      <c r="G3" s="77">
        <v>9946500</v>
      </c>
      <c r="H3" s="77">
        <f>불리오[[#This Row],[현금지출]]-불리오[[#This Row],[매입액]]</f>
        <v>0</v>
      </c>
      <c r="I3" s="78"/>
      <c r="J3" s="76"/>
      <c r="K3" s="76"/>
      <c r="L3" s="79"/>
      <c r="M3" s="76"/>
      <c r="N3" s="79">
        <f>불리오[[#This Row],[매도액]]-불리오[[#This Row],[매도원금]]</f>
        <v>0</v>
      </c>
      <c r="O3" s="79">
        <f>불리오[[#This Row],[매도액]]+불리오[[#This Row],[이자배당액]]-불리오[[#This Row],[현금수입]]</f>
        <v>0</v>
      </c>
      <c r="P3" s="79">
        <f>불리오[[#This Row],[매매수익]]+불리오[[#This Row],[이자배당액]]-불리오[[#This Row],[매도비용]]-불리오[[#This Row],[매입비용]]</f>
        <v>0</v>
      </c>
      <c r="Q3" s="80">
        <v>9946500</v>
      </c>
      <c r="R3" s="78">
        <f>불리오[[#This Row],[입출금]]+불리오[[#This Row],[현금수입]]-불리오[[#This Row],[현금지출]]</f>
        <v>0</v>
      </c>
      <c r="S3" s="78">
        <f>SUM($R$2:R3)</f>
        <v>0</v>
      </c>
    </row>
    <row r="4" spans="1:19" x14ac:dyDescent="0.3">
      <c r="A4" s="72">
        <v>45292</v>
      </c>
      <c r="B4" s="82" t="s">
        <v>362</v>
      </c>
      <c r="C4" s="81" t="str">
        <f>VLOOKUP(삼성DC[[#This Row],[종목코드]],연금종목정보[],2,FALSE)</f>
        <v>삼성주가지수펀드</v>
      </c>
      <c r="D4" s="83" t="str">
        <f>VLOOKUP(삼성DC[[#This Row],[종목코드]],연금종목정보[],4,FALSE)</f>
        <v>삼성퇴직연금인덱스증권투자신탁제1호(주식)_Ce</v>
      </c>
      <c r="E4" s="84">
        <v>1</v>
      </c>
      <c r="F4" s="85">
        <v>4195346</v>
      </c>
      <c r="G4" s="86">
        <v>4195346</v>
      </c>
      <c r="H4" s="86">
        <f>불리오[[#This Row],[현금지출]]-불리오[[#This Row],[매입액]]</f>
        <v>0</v>
      </c>
      <c r="I4" s="87"/>
      <c r="J4" s="85"/>
      <c r="K4" s="85"/>
      <c r="L4" s="88"/>
      <c r="M4" s="85"/>
      <c r="N4" s="88">
        <f>불리오[[#This Row],[매도액]]-불리오[[#This Row],[매도원금]]</f>
        <v>0</v>
      </c>
      <c r="O4" s="88">
        <f>불리오[[#This Row],[매도액]]+불리오[[#This Row],[이자배당액]]-불리오[[#This Row],[현금수입]]</f>
        <v>0</v>
      </c>
      <c r="P4" s="88">
        <f>불리오[[#This Row],[매매수익]]+불리오[[#This Row],[이자배당액]]-불리오[[#This Row],[매도비용]]-불리오[[#This Row],[매입비용]]</f>
        <v>0</v>
      </c>
      <c r="Q4" s="89">
        <v>4195346</v>
      </c>
      <c r="R4" s="87">
        <f>불리오[[#This Row],[입출금]]+불리오[[#This Row],[현금수입]]-불리오[[#This Row],[현금지출]]</f>
        <v>0</v>
      </c>
      <c r="S4" s="87">
        <f>SUM($R$2:R4)</f>
        <v>0</v>
      </c>
    </row>
    <row r="5" spans="1:19" x14ac:dyDescent="0.3">
      <c r="A5" s="72">
        <v>45292</v>
      </c>
      <c r="B5" s="82" t="s">
        <v>364</v>
      </c>
      <c r="C5" s="81" t="str">
        <f>VLOOKUP(삼성DC[[#This Row],[종목코드]],연금종목정보[],2,FALSE)</f>
        <v>삼성채권혼합펀드</v>
      </c>
      <c r="D5" s="83" t="str">
        <f>VLOOKUP(삼성DC[[#This Row],[종목코드]],연금종목정보[],4,FALSE)</f>
        <v>삼성퇴직연금Active채권종합증권자투자신탁 제1호(채권)_Ce</v>
      </c>
      <c r="E5" s="84">
        <v>1</v>
      </c>
      <c r="F5" s="85">
        <v>4195346</v>
      </c>
      <c r="G5" s="86">
        <v>4195346</v>
      </c>
      <c r="H5" s="86">
        <f>불리오[[#This Row],[현금지출]]-불리오[[#This Row],[매입액]]</f>
        <v>0</v>
      </c>
      <c r="I5" s="87"/>
      <c r="J5" s="85"/>
      <c r="K5" s="85"/>
      <c r="L5" s="88"/>
      <c r="M5" s="85"/>
      <c r="N5" s="88">
        <f>불리오[[#This Row],[매도액]]-불리오[[#This Row],[매도원금]]</f>
        <v>0</v>
      </c>
      <c r="O5" s="88">
        <f>불리오[[#This Row],[매도액]]+불리오[[#This Row],[이자배당액]]-불리오[[#This Row],[현금수입]]</f>
        <v>0</v>
      </c>
      <c r="P5" s="88">
        <f>불리오[[#This Row],[매매수익]]+불리오[[#This Row],[이자배당액]]-불리오[[#This Row],[매도비용]]-불리오[[#This Row],[매입비용]]</f>
        <v>0</v>
      </c>
      <c r="Q5" s="89">
        <v>4195346</v>
      </c>
      <c r="R5" s="87">
        <f>불리오[[#This Row],[입출금]]+불리오[[#This Row],[현금수입]]-불리오[[#This Row],[현금지출]]</f>
        <v>0</v>
      </c>
      <c r="S5" s="87">
        <f>SUM($R$2:R5)</f>
        <v>0</v>
      </c>
    </row>
    <row r="6" spans="1:19" x14ac:dyDescent="0.3">
      <c r="A6" s="72">
        <v>45292</v>
      </c>
      <c r="B6" s="82" t="s">
        <v>366</v>
      </c>
      <c r="C6" s="81" t="str">
        <f>VLOOKUP(삼성DC[[#This Row],[종목코드]],연금종목정보[],2,FALSE)</f>
        <v>미래채권혼합펀드</v>
      </c>
      <c r="D6" s="83" t="str">
        <f>VLOOKUP(삼성DC[[#This Row],[종목코드]],연금종목정보[],4,FALSE)</f>
        <v>미래에셋퇴직플랜KRX100인덱스안정형40증권자투자신탁1호(채권혼합)_C-P2e</v>
      </c>
      <c r="E6" s="84">
        <v>1</v>
      </c>
      <c r="F6" s="85">
        <v>2097673</v>
      </c>
      <c r="G6" s="86">
        <v>2097673</v>
      </c>
      <c r="H6" s="86">
        <f>불리오[[#This Row],[현금지출]]-불리오[[#This Row],[매입액]]</f>
        <v>0</v>
      </c>
      <c r="I6" s="87"/>
      <c r="J6" s="85"/>
      <c r="K6" s="85"/>
      <c r="L6" s="88"/>
      <c r="M6" s="85"/>
      <c r="N6" s="88">
        <f>불리오[[#This Row],[매도액]]-불리오[[#This Row],[매도원금]]</f>
        <v>0</v>
      </c>
      <c r="O6" s="88">
        <f>불리오[[#This Row],[매도액]]+불리오[[#This Row],[이자배당액]]-불리오[[#This Row],[현금수입]]</f>
        <v>0</v>
      </c>
      <c r="P6" s="88">
        <f>불리오[[#This Row],[매매수익]]+불리오[[#This Row],[이자배당액]]-불리오[[#This Row],[매도비용]]-불리오[[#This Row],[매입비용]]</f>
        <v>0</v>
      </c>
      <c r="Q6" s="89">
        <v>2097673</v>
      </c>
      <c r="R6" s="87">
        <f>불리오[[#This Row],[입출금]]+불리오[[#This Row],[현금수입]]-불리오[[#This Row],[현금지출]]</f>
        <v>0</v>
      </c>
      <c r="S6" s="87">
        <f>SUM($R$2:R6)</f>
        <v>0</v>
      </c>
    </row>
    <row r="7" spans="1:19" x14ac:dyDescent="0.3">
      <c r="A7" s="72">
        <v>45292</v>
      </c>
      <c r="B7" s="82" t="s">
        <v>368</v>
      </c>
      <c r="C7" s="81" t="str">
        <f>VLOOKUP(삼성DC[[#This Row],[종목코드]],연금종목정보[],2,FALSE)</f>
        <v>신영채권혼합펀드</v>
      </c>
      <c r="D7" s="83" t="str">
        <f>VLOOKUP(삼성DC[[#This Row],[종목코드]],연금종목정보[],4,FALSE)</f>
        <v>신영퇴직연금배당40증권자투자신탁(채권혼합)_C-E</v>
      </c>
      <c r="E7" s="84">
        <v>1</v>
      </c>
      <c r="F7" s="85">
        <v>2097673</v>
      </c>
      <c r="G7" s="86">
        <v>2097673</v>
      </c>
      <c r="H7" s="86">
        <f>불리오[[#This Row],[현금지출]]-불리오[[#This Row],[매입액]]</f>
        <v>0</v>
      </c>
      <c r="I7" s="87"/>
      <c r="J7" s="85"/>
      <c r="K7" s="85"/>
      <c r="L7" s="88"/>
      <c r="M7" s="85"/>
      <c r="N7" s="88">
        <f>불리오[[#This Row],[매도액]]-불리오[[#This Row],[매도원금]]</f>
        <v>0</v>
      </c>
      <c r="O7" s="88">
        <f>불리오[[#This Row],[매도액]]+불리오[[#This Row],[이자배당액]]-불리오[[#This Row],[현금수입]]</f>
        <v>0</v>
      </c>
      <c r="P7" s="88">
        <f>불리오[[#This Row],[매매수익]]+불리오[[#This Row],[이자배당액]]-불리오[[#This Row],[매도비용]]-불리오[[#This Row],[매입비용]]</f>
        <v>0</v>
      </c>
      <c r="Q7" s="89">
        <v>2097673</v>
      </c>
      <c r="R7" s="87">
        <f>불리오[[#This Row],[입출금]]+불리오[[#This Row],[현금수입]]-불리오[[#This Row],[현금지출]]</f>
        <v>0</v>
      </c>
      <c r="S7" s="87">
        <f>SUM($R$2:R7)</f>
        <v>0</v>
      </c>
    </row>
    <row r="8" spans="1:19" x14ac:dyDescent="0.3">
      <c r="A8" s="72">
        <v>45292</v>
      </c>
      <c r="B8" s="82" t="s">
        <v>369</v>
      </c>
      <c r="C8" s="81" t="str">
        <f>VLOOKUP(삼성DC[[#This Row],[종목코드]],연금종목정보[],2,FALSE)</f>
        <v>신영주식혼합펀드</v>
      </c>
      <c r="D8" s="83" t="str">
        <f>VLOOKUP(삼성DC[[#This Row],[종목코드]],연금종목정보[],4,FALSE)</f>
        <v>신영퇴직연금배당주식증권자투자신탁(주식)_C-E</v>
      </c>
      <c r="E8" s="84">
        <v>1</v>
      </c>
      <c r="F8" s="85">
        <v>4195346</v>
      </c>
      <c r="G8" s="86">
        <v>4195346</v>
      </c>
      <c r="H8" s="86">
        <f>불리오[[#This Row],[현금지출]]-불리오[[#This Row],[매입액]]</f>
        <v>0</v>
      </c>
      <c r="I8" s="87"/>
      <c r="J8" s="85"/>
      <c r="K8" s="85"/>
      <c r="L8" s="88"/>
      <c r="M8" s="85"/>
      <c r="N8" s="88">
        <f>불리오[[#This Row],[매도액]]-불리오[[#This Row],[매도원금]]</f>
        <v>0</v>
      </c>
      <c r="O8" s="88">
        <f>불리오[[#This Row],[매도액]]+불리오[[#This Row],[이자배당액]]-불리오[[#This Row],[현금수입]]</f>
        <v>0</v>
      </c>
      <c r="P8" s="88">
        <f>불리오[[#This Row],[매매수익]]+불리오[[#This Row],[이자배당액]]-불리오[[#This Row],[매도비용]]-불리오[[#This Row],[매입비용]]</f>
        <v>0</v>
      </c>
      <c r="Q8" s="89">
        <v>4195346</v>
      </c>
      <c r="R8" s="87">
        <f>불리오[[#This Row],[입출금]]+불리오[[#This Row],[현금수입]]-불리오[[#This Row],[현금지출]]</f>
        <v>0</v>
      </c>
      <c r="S8" s="87">
        <f>SUM($R$2:R8)</f>
        <v>0</v>
      </c>
    </row>
    <row r="9" spans="1:19" x14ac:dyDescent="0.3">
      <c r="A9" s="72">
        <v>45292</v>
      </c>
      <c r="B9" s="82" t="s">
        <v>370</v>
      </c>
      <c r="C9" s="81" t="str">
        <f>VLOOKUP(삼성DC[[#This Row],[종목코드]],연금종목정보[],2,FALSE)</f>
        <v>한투TDF</v>
      </c>
      <c r="D9" s="83" t="str">
        <f>VLOOKUP(삼성DC[[#This Row],[종목코드]],연금종목정보[],4,FALSE)</f>
        <v>한국투자TDF알아서2045증권투자신탁(주식혼합-재간접형)_C-Re</v>
      </c>
      <c r="E9" s="84">
        <v>1</v>
      </c>
      <c r="F9" s="85">
        <v>6843270</v>
      </c>
      <c r="G9" s="86">
        <v>6843270</v>
      </c>
      <c r="H9" s="86">
        <f>불리오[[#This Row],[현금지출]]-불리오[[#This Row],[매입액]]</f>
        <v>0</v>
      </c>
      <c r="I9" s="87"/>
      <c r="J9" s="85"/>
      <c r="K9" s="85"/>
      <c r="L9" s="88"/>
      <c r="M9" s="85"/>
      <c r="N9" s="88">
        <f>불리오[[#This Row],[매도액]]-불리오[[#This Row],[매도원금]]</f>
        <v>0</v>
      </c>
      <c r="O9" s="88">
        <f>불리오[[#This Row],[매도액]]+불리오[[#This Row],[이자배당액]]-불리오[[#This Row],[현금수입]]</f>
        <v>0</v>
      </c>
      <c r="P9" s="88">
        <f>불리오[[#This Row],[매매수익]]+불리오[[#This Row],[이자배당액]]-불리오[[#This Row],[매도비용]]-불리오[[#This Row],[매입비용]]</f>
        <v>0</v>
      </c>
      <c r="Q9" s="89">
        <v>6843270</v>
      </c>
      <c r="R9" s="87">
        <f>불리오[[#This Row],[입출금]]+불리오[[#This Row],[현금수입]]-불리오[[#This Row],[현금지출]]</f>
        <v>0</v>
      </c>
      <c r="S9" s="87">
        <f>SUM($R$2:R9)</f>
        <v>0</v>
      </c>
    </row>
    <row r="10" spans="1:19" x14ac:dyDescent="0.3">
      <c r="A10" s="72">
        <v>45292</v>
      </c>
      <c r="B10" s="82" t="s">
        <v>371</v>
      </c>
      <c r="C10" s="81" t="str">
        <f>VLOOKUP(삼성DC[[#This Row],[종목코드]],연금종목정보[],2,FALSE)</f>
        <v>KB미국성장주펀드</v>
      </c>
      <c r="D10" s="83" t="str">
        <f>VLOOKUP(삼성DC[[#This Row],[종목코드]],연금종목정보[],4,FALSE)</f>
        <v>KB미국대표성장주증권자투자신탁(주식)(H)C-퇴직e</v>
      </c>
      <c r="E10" s="84">
        <v>1</v>
      </c>
      <c r="F10" s="85">
        <v>2097673</v>
      </c>
      <c r="G10" s="86">
        <v>2097673</v>
      </c>
      <c r="H10" s="86">
        <f>불리오[[#This Row],[현금지출]]-불리오[[#This Row],[매입액]]</f>
        <v>0</v>
      </c>
      <c r="I10" s="87"/>
      <c r="J10" s="85"/>
      <c r="K10" s="85"/>
      <c r="L10" s="88"/>
      <c r="M10" s="85"/>
      <c r="N10" s="88">
        <f>불리오[[#This Row],[매도액]]-불리오[[#This Row],[매도원금]]</f>
        <v>0</v>
      </c>
      <c r="O10" s="88">
        <f>불리오[[#This Row],[매도액]]+불리오[[#This Row],[이자배당액]]-불리오[[#This Row],[현금수입]]</f>
        <v>0</v>
      </c>
      <c r="P10" s="88">
        <f>불리오[[#This Row],[매매수익]]+불리오[[#This Row],[이자배당액]]-불리오[[#This Row],[매도비용]]-불리오[[#This Row],[매입비용]]</f>
        <v>0</v>
      </c>
      <c r="Q10" s="89">
        <v>2097673</v>
      </c>
      <c r="R10" s="87">
        <f>불리오[[#This Row],[입출금]]+불리오[[#This Row],[현금수입]]-불리오[[#This Row],[현금지출]]</f>
        <v>0</v>
      </c>
      <c r="S10" s="87">
        <f>SUM($R$2:R10)</f>
        <v>0</v>
      </c>
    </row>
    <row r="11" spans="1:19" x14ac:dyDescent="0.3">
      <c r="A11" s="72">
        <v>45292</v>
      </c>
      <c r="B11" s="82" t="s">
        <v>372</v>
      </c>
      <c r="C11" s="81" t="str">
        <f>VLOOKUP(삼성DC[[#This Row],[종목코드]],연금종목정보[],2,FALSE)</f>
        <v>삼성미국주가지수펀드</v>
      </c>
      <c r="D11" s="83" t="str">
        <f>VLOOKUP(삼성DC[[#This Row],[종목코드]],연금종목정보[],4,FALSE)</f>
        <v>삼성미국인덱스증권자투자신탁H(주식)_Cpe(퇴직연금)</v>
      </c>
      <c r="E11" s="84">
        <v>1</v>
      </c>
      <c r="F11" s="85">
        <v>2097672</v>
      </c>
      <c r="G11" s="86">
        <v>2097672</v>
      </c>
      <c r="H11" s="86">
        <f>불리오[[#This Row],[현금지출]]-불리오[[#This Row],[매입액]]</f>
        <v>0</v>
      </c>
      <c r="I11" s="87"/>
      <c r="J11" s="85"/>
      <c r="K11" s="85"/>
      <c r="L11" s="88"/>
      <c r="M11" s="85"/>
      <c r="N11" s="88">
        <f>불리오[[#This Row],[매도액]]-불리오[[#This Row],[매도원금]]</f>
        <v>0</v>
      </c>
      <c r="O11" s="88">
        <f>불리오[[#This Row],[매도액]]+불리오[[#This Row],[이자배당액]]-불리오[[#This Row],[현금수입]]</f>
        <v>0</v>
      </c>
      <c r="P11" s="88">
        <f>불리오[[#This Row],[매매수익]]+불리오[[#This Row],[이자배당액]]-불리오[[#This Row],[매도비용]]-불리오[[#This Row],[매입비용]]</f>
        <v>0</v>
      </c>
      <c r="Q11" s="89">
        <v>2097672</v>
      </c>
      <c r="R11" s="87">
        <f>불리오[[#This Row],[입출금]]+불리오[[#This Row],[현금수입]]-불리오[[#This Row],[현금지출]]</f>
        <v>0</v>
      </c>
      <c r="S11" s="87">
        <f>SUM($R$2:R11)</f>
        <v>0</v>
      </c>
    </row>
    <row r="12" spans="1:19" x14ac:dyDescent="0.3">
      <c r="A12" s="72">
        <v>45292</v>
      </c>
      <c r="B12" s="82" t="s">
        <v>373</v>
      </c>
      <c r="C12" s="81" t="str">
        <f>VLOOKUP(삼성DC[[#This Row],[종목코드]],연금종목정보[],2,FALSE)</f>
        <v>삼성현금</v>
      </c>
      <c r="D12" s="83" t="str">
        <f>VLOOKUP(삼성DC[[#This Row],[종목코드]],연금종목정보[],4,FALSE)</f>
        <v>삼성화재신탁 대기자금</v>
      </c>
      <c r="E12" s="84">
        <v>1</v>
      </c>
      <c r="F12" s="85">
        <v>3086</v>
      </c>
      <c r="G12" s="86">
        <v>3086</v>
      </c>
      <c r="H12" s="86">
        <f>불리오[[#This Row],[현금지출]]-불리오[[#This Row],[매입액]]</f>
        <v>0</v>
      </c>
      <c r="I12" s="87"/>
      <c r="J12" s="85"/>
      <c r="K12" s="85"/>
      <c r="L12" s="88"/>
      <c r="M12" s="85"/>
      <c r="N12" s="88">
        <f>불리오[[#This Row],[매도액]]-불리오[[#This Row],[매도원금]]</f>
        <v>0</v>
      </c>
      <c r="O12" s="88">
        <f>불리오[[#This Row],[매도액]]+불리오[[#This Row],[이자배당액]]-불리오[[#This Row],[현금수입]]</f>
        <v>0</v>
      </c>
      <c r="P12" s="88">
        <f>불리오[[#This Row],[매매수익]]+불리오[[#This Row],[이자배당액]]-불리오[[#This Row],[매도비용]]-불리오[[#This Row],[매입비용]]</f>
        <v>0</v>
      </c>
      <c r="Q12" s="89">
        <v>3086</v>
      </c>
      <c r="R12" s="87">
        <f>불리오[[#This Row],[입출금]]+불리오[[#This Row],[현금수입]]-불리오[[#This Row],[현금지출]]</f>
        <v>0</v>
      </c>
      <c r="S12" s="87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F2" sqref="F2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</cols>
  <sheetData>
    <row r="1" spans="1:19" x14ac:dyDescent="0.3">
      <c r="A1" s="13" t="s">
        <v>399</v>
      </c>
      <c r="B1" s="13" t="s">
        <v>77</v>
      </c>
      <c r="C1" s="13" t="s">
        <v>400</v>
      </c>
      <c r="D1" s="13" t="s">
        <v>131</v>
      </c>
      <c r="E1" s="71" t="s">
        <v>132</v>
      </c>
      <c r="F1" s="15" t="s">
        <v>133</v>
      </c>
      <c r="G1" s="15" t="s">
        <v>55</v>
      </c>
      <c r="H1" s="15" t="s">
        <v>401</v>
      </c>
      <c r="I1" s="41" t="s">
        <v>134</v>
      </c>
      <c r="J1" s="15" t="s">
        <v>53</v>
      </c>
      <c r="K1" s="15" t="s">
        <v>402</v>
      </c>
      <c r="L1" s="15" t="s">
        <v>403</v>
      </c>
      <c r="M1" s="15" t="s">
        <v>404</v>
      </c>
      <c r="N1" s="15" t="s">
        <v>405</v>
      </c>
      <c r="O1" s="15" t="s">
        <v>406</v>
      </c>
      <c r="P1" s="15" t="s">
        <v>407</v>
      </c>
      <c r="Q1" s="16" t="s">
        <v>408</v>
      </c>
      <c r="R1" s="16" t="s">
        <v>61</v>
      </c>
      <c r="S1" s="16" t="s">
        <v>409</v>
      </c>
    </row>
    <row r="2" spans="1:19" x14ac:dyDescent="0.3">
      <c r="A2" s="72">
        <v>45327</v>
      </c>
      <c r="B2" t="s">
        <v>418</v>
      </c>
      <c r="C2" s="72" t="str">
        <f>VLOOKUP(농협IRP17[[#This Row],[종목코드]],연금종목정보[],2,FALSE)</f>
        <v>엔투현금</v>
      </c>
      <c r="D2" s="95" t="str">
        <f>VLOOKUP(농협IRP17[[#This Row],[종목코드]],연금종목정보[],4,FALSE)</f>
        <v>NH투자증권 예수금</v>
      </c>
      <c r="E2" s="75">
        <v>1</v>
      </c>
      <c r="F2" s="76">
        <v>12709251</v>
      </c>
      <c r="G2" s="76"/>
      <c r="H2" s="77"/>
      <c r="I2" s="78"/>
      <c r="J2" s="76"/>
      <c r="K2" s="76"/>
      <c r="L2" s="79"/>
      <c r="M2" s="76"/>
      <c r="N2" s="79"/>
      <c r="O2" s="79"/>
      <c r="P2" s="79"/>
      <c r="Q2" s="76"/>
      <c r="R2" s="78"/>
      <c r="S2" s="79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5" sqref="C5"/>
    </sheetView>
  </sheetViews>
  <sheetFormatPr defaultRowHeight="16.5" x14ac:dyDescent="0.3"/>
  <cols>
    <col min="1" max="2" width="10.25" customWidth="1"/>
    <col min="5" max="5" width="10.25" customWidth="1"/>
    <col min="6" max="6" width="9.5" bestFit="1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5" x14ac:dyDescent="0.3">
      <c r="A1" t="s">
        <v>395</v>
      </c>
      <c r="B1" t="s">
        <v>396</v>
      </c>
      <c r="C1" t="s">
        <v>397</v>
      </c>
      <c r="D1" t="s">
        <v>398</v>
      </c>
    </row>
    <row r="2" spans="1:5" x14ac:dyDescent="0.3">
      <c r="C2">
        <v>547863</v>
      </c>
      <c r="D2">
        <v>548019</v>
      </c>
      <c r="E2" t="s">
        <v>177</v>
      </c>
    </row>
    <row r="3" spans="1:5" x14ac:dyDescent="0.3">
      <c r="A3" s="90">
        <v>44979</v>
      </c>
      <c r="B3" s="90">
        <f t="shared" ref="B3:B22" si="0">EDATE(A3,12)</f>
        <v>45344</v>
      </c>
      <c r="C3" s="91">
        <v>212400</v>
      </c>
      <c r="D3" s="91">
        <v>219265</v>
      </c>
    </row>
    <row r="4" spans="1:5" x14ac:dyDescent="0.3">
      <c r="A4" s="90">
        <v>44979</v>
      </c>
      <c r="B4" s="90">
        <f t="shared" si="0"/>
        <v>45344</v>
      </c>
      <c r="C4" s="91">
        <v>389501</v>
      </c>
      <c r="D4" s="91">
        <v>402090</v>
      </c>
    </row>
    <row r="5" spans="1:5" x14ac:dyDescent="0.3">
      <c r="A5" s="90">
        <v>44979</v>
      </c>
      <c r="B5" s="90">
        <f t="shared" si="0"/>
        <v>45344</v>
      </c>
      <c r="C5" s="91">
        <v>254275</v>
      </c>
      <c r="D5" s="91">
        <v>262494</v>
      </c>
    </row>
    <row r="6" spans="1:5" x14ac:dyDescent="0.3">
      <c r="A6" s="90">
        <v>44979</v>
      </c>
      <c r="B6" s="90">
        <f t="shared" si="0"/>
        <v>45344</v>
      </c>
      <c r="C6" s="91">
        <v>340900</v>
      </c>
      <c r="D6" s="91">
        <v>351919</v>
      </c>
    </row>
    <row r="7" spans="1:5" x14ac:dyDescent="0.3">
      <c r="A7" s="90">
        <v>44981</v>
      </c>
      <c r="B7" s="90">
        <f t="shared" si="0"/>
        <v>45346</v>
      </c>
      <c r="C7" s="91">
        <v>212483</v>
      </c>
      <c r="D7" s="91">
        <v>219311</v>
      </c>
    </row>
    <row r="8" spans="1:5" x14ac:dyDescent="0.3">
      <c r="A8" s="90">
        <v>45007</v>
      </c>
      <c r="B8" s="90">
        <f t="shared" si="0"/>
        <v>45373</v>
      </c>
      <c r="C8" s="91">
        <v>212212</v>
      </c>
      <c r="D8" s="91">
        <v>218517</v>
      </c>
    </row>
    <row r="9" spans="1:5" x14ac:dyDescent="0.3">
      <c r="A9" s="90">
        <v>45007</v>
      </c>
      <c r="B9" s="90">
        <f t="shared" si="0"/>
        <v>45373</v>
      </c>
      <c r="C9" s="91">
        <v>389614</v>
      </c>
      <c r="D9" s="91">
        <v>401191</v>
      </c>
    </row>
    <row r="10" spans="1:5" x14ac:dyDescent="0.3">
      <c r="A10" s="90">
        <v>45007</v>
      </c>
      <c r="B10" s="90">
        <f t="shared" si="0"/>
        <v>45373</v>
      </c>
      <c r="C10" s="91">
        <v>254450</v>
      </c>
      <c r="D10" s="91">
        <v>262010</v>
      </c>
    </row>
    <row r="11" spans="1:5" x14ac:dyDescent="0.3">
      <c r="A11" s="90">
        <v>45007</v>
      </c>
      <c r="B11" s="90">
        <f t="shared" si="0"/>
        <v>45373</v>
      </c>
      <c r="C11" s="91">
        <v>340900</v>
      </c>
      <c r="D11" s="91">
        <v>351029</v>
      </c>
    </row>
    <row r="12" spans="1:5" x14ac:dyDescent="0.3">
      <c r="A12" s="90">
        <v>45008</v>
      </c>
      <c r="B12" s="90">
        <f t="shared" si="0"/>
        <v>45374</v>
      </c>
      <c r="C12" s="91">
        <v>212160</v>
      </c>
      <c r="D12" s="91">
        <v>218444</v>
      </c>
    </row>
    <row r="13" spans="1:5" x14ac:dyDescent="0.3">
      <c r="A13" s="90">
        <v>45038</v>
      </c>
      <c r="B13" s="90">
        <f t="shared" si="0"/>
        <v>45404</v>
      </c>
      <c r="C13" s="91">
        <v>216264</v>
      </c>
      <c r="D13" s="91">
        <v>221639</v>
      </c>
    </row>
    <row r="14" spans="1:5" x14ac:dyDescent="0.3">
      <c r="A14" s="90">
        <v>45038</v>
      </c>
      <c r="B14" s="90">
        <f t="shared" si="0"/>
        <v>45404</v>
      </c>
      <c r="C14" s="91">
        <v>212180</v>
      </c>
      <c r="D14" s="91">
        <v>217453</v>
      </c>
    </row>
    <row r="15" spans="1:5" x14ac:dyDescent="0.3">
      <c r="A15" s="90">
        <v>45038</v>
      </c>
      <c r="B15" s="90">
        <f t="shared" si="0"/>
        <v>45404</v>
      </c>
      <c r="C15" s="91">
        <v>390036</v>
      </c>
      <c r="D15" s="91">
        <v>399730</v>
      </c>
    </row>
    <row r="16" spans="1:5" x14ac:dyDescent="0.3">
      <c r="A16" s="90">
        <v>45038</v>
      </c>
      <c r="B16" s="90">
        <f t="shared" si="0"/>
        <v>45404</v>
      </c>
      <c r="C16" s="91">
        <v>254675</v>
      </c>
      <c r="D16" s="91">
        <v>261004</v>
      </c>
    </row>
    <row r="17" spans="1:4" x14ac:dyDescent="0.3">
      <c r="A17" s="90">
        <v>45040</v>
      </c>
      <c r="B17" s="90">
        <f t="shared" si="0"/>
        <v>45406</v>
      </c>
      <c r="C17" s="91">
        <v>340900</v>
      </c>
      <c r="D17" s="91">
        <v>349314</v>
      </c>
    </row>
    <row r="18" spans="1:4" x14ac:dyDescent="0.3">
      <c r="A18" s="90">
        <v>45068</v>
      </c>
      <c r="B18" s="90">
        <f t="shared" si="0"/>
        <v>45434</v>
      </c>
      <c r="C18" s="91">
        <v>216196</v>
      </c>
      <c r="D18" s="91">
        <v>220979</v>
      </c>
    </row>
    <row r="19" spans="1:4" x14ac:dyDescent="0.3">
      <c r="A19" s="90">
        <v>45068</v>
      </c>
      <c r="B19" s="90">
        <f t="shared" si="0"/>
        <v>45434</v>
      </c>
      <c r="C19" s="91">
        <v>212154</v>
      </c>
      <c r="D19" s="91">
        <v>216847</v>
      </c>
    </row>
    <row r="20" spans="1:4" x14ac:dyDescent="0.3">
      <c r="A20" s="90">
        <v>45068</v>
      </c>
      <c r="B20" s="90">
        <f t="shared" si="0"/>
        <v>45434</v>
      </c>
      <c r="C20" s="91">
        <v>340900</v>
      </c>
      <c r="D20" s="91">
        <v>348442</v>
      </c>
    </row>
    <row r="21" spans="1:4" x14ac:dyDescent="0.3">
      <c r="A21" s="90">
        <v>45069</v>
      </c>
      <c r="B21" s="90">
        <f t="shared" si="0"/>
        <v>45435</v>
      </c>
      <c r="C21" s="91">
        <v>255275</v>
      </c>
      <c r="D21" s="91">
        <v>260900</v>
      </c>
    </row>
    <row r="22" spans="1:4" x14ac:dyDescent="0.3">
      <c r="A22" s="90">
        <v>45070</v>
      </c>
      <c r="B22" s="90">
        <f t="shared" si="0"/>
        <v>45436</v>
      </c>
      <c r="C22" s="91">
        <v>257342</v>
      </c>
      <c r="D22" s="91">
        <v>262991</v>
      </c>
    </row>
    <row r="23" spans="1:4" x14ac:dyDescent="0.3">
      <c r="A23" s="90">
        <v>45099</v>
      </c>
      <c r="B23" s="90">
        <f>EDATE(A23,12)</f>
        <v>45465</v>
      </c>
      <c r="C23" s="91">
        <v>396945</v>
      </c>
      <c r="D23" s="91">
        <v>405338</v>
      </c>
    </row>
    <row r="24" spans="1:4" x14ac:dyDescent="0.3">
      <c r="A24" s="90">
        <v>45099</v>
      </c>
      <c r="B24" s="90">
        <f t="shared" ref="B24:B36" si="1">EDATE(A24,12)</f>
        <v>45465</v>
      </c>
      <c r="C24" s="91">
        <v>154520</v>
      </c>
      <c r="D24" s="91">
        <v>157787</v>
      </c>
    </row>
    <row r="25" spans="1:4" x14ac:dyDescent="0.3">
      <c r="A25" s="90">
        <v>45099</v>
      </c>
      <c r="B25" s="90">
        <f t="shared" si="1"/>
        <v>45465</v>
      </c>
      <c r="C25" s="91">
        <v>257719</v>
      </c>
      <c r="D25" s="91">
        <v>263168</v>
      </c>
    </row>
    <row r="26" spans="1:4" x14ac:dyDescent="0.3">
      <c r="A26" s="90">
        <v>45099</v>
      </c>
      <c r="B26" s="90">
        <f t="shared" si="1"/>
        <v>45465</v>
      </c>
      <c r="C26" s="91">
        <v>255725</v>
      </c>
      <c r="D26" s="91">
        <v>261132</v>
      </c>
    </row>
    <row r="27" spans="1:4" x14ac:dyDescent="0.3">
      <c r="A27" s="90">
        <v>45099</v>
      </c>
      <c r="B27" s="90">
        <f t="shared" si="1"/>
        <v>45465</v>
      </c>
      <c r="C27" s="91">
        <v>340900</v>
      </c>
      <c r="D27" s="91">
        <v>348108</v>
      </c>
    </row>
    <row r="28" spans="1:4" x14ac:dyDescent="0.3">
      <c r="A28" s="90">
        <v>45101</v>
      </c>
      <c r="B28" s="90">
        <f t="shared" si="1"/>
        <v>45467</v>
      </c>
      <c r="C28" s="91">
        <v>216278</v>
      </c>
      <c r="D28" s="91">
        <v>220810</v>
      </c>
    </row>
    <row r="29" spans="1:4" x14ac:dyDescent="0.3">
      <c r="A29" s="3">
        <v>45131</v>
      </c>
      <c r="B29" s="90">
        <f t="shared" si="1"/>
        <v>45497</v>
      </c>
      <c r="C29" s="91">
        <v>340900</v>
      </c>
      <c r="D29" s="91">
        <v>347183</v>
      </c>
    </row>
    <row r="30" spans="1:4" x14ac:dyDescent="0.3">
      <c r="A30" s="3">
        <v>45160</v>
      </c>
      <c r="B30" s="90">
        <f t="shared" si="1"/>
        <v>45526</v>
      </c>
      <c r="C30" s="91">
        <v>340900</v>
      </c>
      <c r="D30" s="91">
        <v>346279</v>
      </c>
    </row>
    <row r="31" spans="1:4" x14ac:dyDescent="0.3">
      <c r="A31" s="3">
        <v>45191</v>
      </c>
      <c r="B31" s="90">
        <f t="shared" si="1"/>
        <v>45557</v>
      </c>
      <c r="C31" s="91">
        <v>340900</v>
      </c>
      <c r="D31" s="91">
        <v>345313</v>
      </c>
    </row>
    <row r="32" spans="1:4" x14ac:dyDescent="0.3">
      <c r="A32" s="3">
        <v>45222</v>
      </c>
      <c r="B32" s="90">
        <f t="shared" si="1"/>
        <v>45588</v>
      </c>
      <c r="C32" s="91">
        <v>340900</v>
      </c>
      <c r="D32" s="91">
        <v>344493</v>
      </c>
    </row>
    <row r="33" spans="1:5" x14ac:dyDescent="0.3">
      <c r="A33" s="3">
        <v>45225</v>
      </c>
      <c r="B33" s="90">
        <f t="shared" si="1"/>
        <v>45591</v>
      </c>
      <c r="C33" s="91">
        <v>6123103</v>
      </c>
      <c r="D33" s="91">
        <v>6199116</v>
      </c>
      <c r="E33" t="s">
        <v>394</v>
      </c>
    </row>
    <row r="34" spans="1:5" x14ac:dyDescent="0.3">
      <c r="A34" s="3">
        <v>45252</v>
      </c>
      <c r="B34" s="90">
        <f t="shared" si="1"/>
        <v>45618</v>
      </c>
      <c r="C34" s="91">
        <v>340900</v>
      </c>
      <c r="D34" s="91">
        <v>343526</v>
      </c>
    </row>
    <row r="35" spans="1:5" x14ac:dyDescent="0.3">
      <c r="A35" s="3">
        <v>45282</v>
      </c>
      <c r="B35" s="90">
        <f t="shared" si="1"/>
        <v>45648</v>
      </c>
      <c r="C35" s="91">
        <v>340900</v>
      </c>
      <c r="D35" s="91">
        <v>342441</v>
      </c>
    </row>
    <row r="36" spans="1:5" x14ac:dyDescent="0.3">
      <c r="A36" s="3">
        <v>45313</v>
      </c>
      <c r="B36" s="90">
        <f t="shared" si="1"/>
        <v>45679</v>
      </c>
      <c r="C36" s="91">
        <v>340900</v>
      </c>
      <c r="D36" s="91">
        <v>341324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9" sqref="D9"/>
    </sheetView>
  </sheetViews>
  <sheetFormatPr defaultRowHeight="16.5" x14ac:dyDescent="0.3"/>
  <cols>
    <col min="1" max="2" width="10.25" customWidth="1"/>
    <col min="3" max="3" width="11.875" bestFit="1" customWidth="1"/>
    <col min="4" max="4" width="14" customWidth="1"/>
    <col min="6" max="9" width="10.25" customWidth="1"/>
    <col min="11" max="11" width="12.125" customWidth="1"/>
    <col min="12" max="14" width="10.25" customWidth="1"/>
    <col min="16" max="16" width="9.625" customWidth="1"/>
    <col min="17" max="17" width="13.375" customWidth="1"/>
  </cols>
  <sheetData>
    <row r="1" spans="1:4" x14ac:dyDescent="0.3">
      <c r="A1" t="s">
        <v>410</v>
      </c>
      <c r="B1" t="s">
        <v>411</v>
      </c>
      <c r="D1" t="s">
        <v>412</v>
      </c>
    </row>
    <row r="2" spans="1:4" x14ac:dyDescent="0.3">
      <c r="A2" s="3">
        <v>43524</v>
      </c>
      <c r="B2" s="3">
        <v>45351</v>
      </c>
      <c r="C2" t="s">
        <v>413</v>
      </c>
      <c r="D2">
        <v>5600</v>
      </c>
    </row>
    <row r="3" spans="1:4" x14ac:dyDescent="0.3">
      <c r="A3" s="3">
        <v>43868</v>
      </c>
      <c r="B3" s="3">
        <v>45329</v>
      </c>
      <c r="C3" t="s">
        <v>413</v>
      </c>
      <c r="D3">
        <v>6070</v>
      </c>
    </row>
    <row r="4" spans="1:4" x14ac:dyDescent="0.3">
      <c r="A4" s="3">
        <v>44244</v>
      </c>
      <c r="B4" s="3">
        <v>45339</v>
      </c>
      <c r="C4" t="s">
        <v>413</v>
      </c>
      <c r="D4">
        <v>6510</v>
      </c>
    </row>
    <row r="5" spans="1:4" x14ac:dyDescent="0.3">
      <c r="A5" s="3">
        <v>44609</v>
      </c>
      <c r="B5" s="3">
        <v>45339</v>
      </c>
      <c r="C5" t="s">
        <v>413</v>
      </c>
      <c r="D5">
        <v>6260</v>
      </c>
    </row>
    <row r="6" spans="1:4" x14ac:dyDescent="0.3">
      <c r="A6" s="3">
        <v>44966</v>
      </c>
      <c r="B6" s="3">
        <v>45331</v>
      </c>
      <c r="C6" t="s">
        <v>413</v>
      </c>
      <c r="D6" s="91">
        <v>6470</v>
      </c>
    </row>
    <row r="7" spans="1:4" x14ac:dyDescent="0.3">
      <c r="A7" s="3">
        <v>45322</v>
      </c>
      <c r="B7" s="3">
        <v>45688</v>
      </c>
      <c r="C7" t="s">
        <v>413</v>
      </c>
      <c r="D7" s="91">
        <v>9915590</v>
      </c>
    </row>
    <row r="8" spans="1:4" x14ac:dyDescent="0.3">
      <c r="A8" s="3">
        <v>45314</v>
      </c>
      <c r="B8" s="3"/>
      <c r="C8" t="s">
        <v>414</v>
      </c>
      <c r="D8" s="50">
        <v>5064619</v>
      </c>
    </row>
    <row r="9" spans="1:4" x14ac:dyDescent="0.3">
      <c r="A9" s="3">
        <v>45323</v>
      </c>
      <c r="B9" s="3"/>
      <c r="C9" t="s">
        <v>414</v>
      </c>
      <c r="D9" s="50">
        <v>10087835</v>
      </c>
    </row>
    <row r="10" spans="1:4" x14ac:dyDescent="0.3">
      <c r="A10" s="3">
        <v>45322</v>
      </c>
      <c r="B10" s="3"/>
      <c r="C10" s="94" t="s">
        <v>369</v>
      </c>
      <c r="D10">
        <v>4195346</v>
      </c>
    </row>
    <row r="11" spans="1:4" x14ac:dyDescent="0.3">
      <c r="A11" s="3">
        <v>45322</v>
      </c>
      <c r="B11" s="3"/>
      <c r="C11" s="94" t="s">
        <v>368</v>
      </c>
      <c r="D11">
        <v>2097673</v>
      </c>
    </row>
    <row r="12" spans="1:4" x14ac:dyDescent="0.3">
      <c r="A12" s="3">
        <v>45322</v>
      </c>
      <c r="B12" s="3"/>
      <c r="C12" s="94" t="s">
        <v>366</v>
      </c>
      <c r="D12">
        <v>2097673</v>
      </c>
    </row>
    <row r="13" spans="1:4" x14ac:dyDescent="0.3">
      <c r="A13" s="3">
        <v>45322</v>
      </c>
      <c r="B13" s="3"/>
      <c r="C13" s="94" t="s">
        <v>364</v>
      </c>
      <c r="D13">
        <v>4195346</v>
      </c>
    </row>
    <row r="14" spans="1:4" x14ac:dyDescent="0.3">
      <c r="A14" s="3">
        <v>45322</v>
      </c>
      <c r="B14" s="3"/>
      <c r="C14" s="94" t="s">
        <v>362</v>
      </c>
      <c r="D14">
        <v>4195346</v>
      </c>
    </row>
    <row r="15" spans="1:4" x14ac:dyDescent="0.3">
      <c r="A15" s="3">
        <v>45323</v>
      </c>
      <c r="B15" s="3"/>
      <c r="C15" s="94" t="s">
        <v>372</v>
      </c>
      <c r="D15">
        <v>2097672</v>
      </c>
    </row>
    <row r="16" spans="1:4" x14ac:dyDescent="0.3">
      <c r="A16" s="3">
        <v>45323</v>
      </c>
      <c r="B16" s="3"/>
      <c r="C16" s="94" t="s">
        <v>371</v>
      </c>
      <c r="D16">
        <v>2097673</v>
      </c>
    </row>
    <row r="17" spans="1:4" x14ac:dyDescent="0.3">
      <c r="A17" s="3">
        <v>45324</v>
      </c>
      <c r="B17" s="3"/>
      <c r="C17" s="94" t="s">
        <v>370</v>
      </c>
      <c r="D17">
        <v>6843270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pane xSplit="4" ySplit="1" topLeftCell="I2" activePane="bottomRight" state="frozen"/>
      <selection activeCell="A59" sqref="A59"/>
      <selection pane="topRight" activeCell="F1" sqref="F1"/>
      <selection pane="bottomLeft" activeCell="A69" sqref="A69"/>
      <selection pane="bottomRight" activeCell="J20" sqref="J20"/>
    </sheetView>
  </sheetViews>
  <sheetFormatPr defaultRowHeight="16.5" x14ac:dyDescent="0.3"/>
  <cols>
    <col min="1" max="1" width="11.125" style="93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3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3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157.91999999999999</v>
      </c>
      <c r="G2" s="61">
        <v>157.91999999999999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157.91999999999999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3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79.8</v>
      </c>
      <c r="G3" s="61">
        <v>79.8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3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216.27</v>
      </c>
      <c r="G4" s="61">
        <v>216.27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216.27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3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209.76</v>
      </c>
      <c r="G5" s="61">
        <v>209.76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209.76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3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225.81</v>
      </c>
      <c r="G6" s="61">
        <v>225.81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225.81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3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128.28</v>
      </c>
      <c r="G7" s="61">
        <v>128.28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128.28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3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67.849999999999994</v>
      </c>
      <c r="G8" s="61">
        <v>67.849999999999994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67.849999999999994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3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250.74</v>
      </c>
      <c r="G9" s="61">
        <v>250.74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250.74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3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396.64</v>
      </c>
      <c r="G10" s="61">
        <v>396.64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396.64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3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553.4</v>
      </c>
      <c r="G11" s="61">
        <v>553.4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553.4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3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377.26</v>
      </c>
      <c r="G12" s="61">
        <v>377.26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377.26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3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670.8</v>
      </c>
      <c r="G13" s="61">
        <v>670.8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670.8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3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382.5</v>
      </c>
      <c r="G14" s="61">
        <v>382.5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382.5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3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3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2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3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2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3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2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3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2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3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2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3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2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3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2">
        <v>0</v>
      </c>
      <c r="R22" s="12">
        <f>불리오[[#This Row],[입출금]]+불리오[[#This Row],[현금수입]]-불리오[[#This Row],[현금지출]]</f>
        <v>-31.22</v>
      </c>
      <c r="S22" s="12">
        <f>SUM($R$2:R22)</f>
        <v>1128.8799999999999</v>
      </c>
    </row>
    <row r="23" spans="1:19" x14ac:dyDescent="0.3">
      <c r="A23" s="93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2">
        <v>0</v>
      </c>
      <c r="R23" s="12">
        <f>불리오[[#This Row],[입출금]]+불리오[[#This Row],[현금수입]]-불리오[[#This Row],[현금지출]]</f>
        <v>-265.67</v>
      </c>
      <c r="S23" s="12">
        <f>SUM($R$2:R23)</f>
        <v>863.20999999999981</v>
      </c>
    </row>
    <row r="24" spans="1:19" x14ac:dyDescent="0.3">
      <c r="A24" s="93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2">
        <v>0</v>
      </c>
      <c r="R24" s="12">
        <f>불리오[[#This Row],[입출금]]+불리오[[#This Row],[현금수입]]-불리오[[#This Row],[현금지출]]</f>
        <v>-67.47</v>
      </c>
      <c r="S24" s="12">
        <f>SUM($R$2:R24)</f>
        <v>795.73999999999978</v>
      </c>
    </row>
    <row r="25" spans="1:19" x14ac:dyDescent="0.3">
      <c r="A25" s="93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2">
        <v>0</v>
      </c>
      <c r="R25" s="12">
        <f>불리오[[#This Row],[입출금]]+불리오[[#This Row],[현금수입]]-불리오[[#This Row],[현금지출]]</f>
        <v>-43</v>
      </c>
      <c r="S25" s="12">
        <f>SUM($R$2:R25)</f>
        <v>752.73999999999978</v>
      </c>
    </row>
    <row r="26" spans="1:19" x14ac:dyDescent="0.3">
      <c r="A26" s="93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2">
        <v>0</v>
      </c>
      <c r="R26" s="12">
        <f>불리오[[#This Row],[입출금]]+불리오[[#This Row],[현금수입]]-불리오[[#This Row],[현금지출]]</f>
        <v>-466.17</v>
      </c>
      <c r="S26" s="12">
        <f>SUM($R$2:R26)</f>
        <v>286.56999999999977</v>
      </c>
    </row>
    <row r="27" spans="1:19" x14ac:dyDescent="0.3">
      <c r="A27" s="93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2">
        <v>0</v>
      </c>
      <c r="R27" s="12">
        <f>불리오[[#This Row],[입출금]]+불리오[[#This Row],[현금수입]]-불리오[[#This Row],[현금지출]]</f>
        <v>-231.46</v>
      </c>
      <c r="S27" s="12">
        <f>SUM($R$2:R27)</f>
        <v>55.109999999999758</v>
      </c>
    </row>
    <row r="28" spans="1:19" x14ac:dyDescent="0.3">
      <c r="A28" s="93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2">
        <v>0</v>
      </c>
      <c r="R28" s="12">
        <f>불리오[[#This Row],[입출금]]+불리오[[#This Row],[현금수입]]-불리오[[#This Row],[현금지출]]</f>
        <v>0.99</v>
      </c>
      <c r="S28" s="12">
        <f>SUM($R$2:R28)</f>
        <v>56.09999999999976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D35" sqref="D35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256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258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2867.55</v>
      </c>
      <c r="G4">
        <v>2867.55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2867.55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t="s">
        <v>238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삼성DC</vt:lpstr>
      <vt:lpstr>엔투저축연금</vt:lpstr>
      <vt:lpstr>농협IRP (2)</vt:lpstr>
      <vt:lpstr>삼성DC (2)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2024-02-15T14:38:03Z</dcterms:modified>
</cp:coreProperties>
</file>