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eng-gun\Desktop\python\my_asset\"/>
    </mc:Choice>
  </mc:AlternateContent>
  <bookViews>
    <workbookView xWindow="0" yWindow="0" windowWidth="17250" windowHeight="5610" tabRatio="810" activeTab="1"/>
  </bookViews>
  <sheets>
    <sheet name="자산정보" sheetId="2" r:id="rId1"/>
    <sheet name="연금종목정보" sheetId="15" r:id="rId2"/>
    <sheet name="농협IRP" sheetId="18" r:id="rId3"/>
    <sheet name="농협IRP (2)" sheetId="19" r:id="rId4"/>
    <sheet name="삼성DC" sheetId="17" r:id="rId5"/>
    <sheet name="엔투저축연금" sheetId="16" r:id="rId6"/>
    <sheet name="삼성DC (2)" sheetId="20" r:id="rId7"/>
    <sheet name="불리오달러" sheetId="1" r:id="rId8"/>
    <sheet name="한투달러" sheetId="4" r:id="rId9"/>
    <sheet name="한투엔화" sheetId="10" r:id="rId10"/>
    <sheet name="외화자산평가" sheetId="6" r:id="rId11"/>
    <sheet name="한투원화" sheetId="11" r:id="rId12"/>
    <sheet name="한투ISA" sheetId="12" r:id="rId13"/>
    <sheet name="별도원화" sheetId="3" r:id="rId14"/>
    <sheet name="한투CMA" sheetId="5" r:id="rId15"/>
    <sheet name="나무원화" sheetId="7" r:id="rId16"/>
    <sheet name="현금흐름" sheetId="9" r:id="rId17"/>
    <sheet name="급여및지출" sheetId="13" r:id="rId18"/>
    <sheet name="각종정보" sheetId="8" r:id="rId19"/>
    <sheet name="Sheet1" sheetId="14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9" l="1"/>
  <c r="C18" i="18"/>
  <c r="D18" i="18"/>
  <c r="H18" i="18"/>
  <c r="N18" i="18"/>
  <c r="O18" i="18"/>
  <c r="R18" i="18"/>
  <c r="C17" i="18"/>
  <c r="D17" i="18"/>
  <c r="H17" i="18"/>
  <c r="N17" i="18"/>
  <c r="O17" i="18"/>
  <c r="R17" i="18"/>
  <c r="G13" i="19"/>
  <c r="G12" i="19"/>
  <c r="C16" i="18"/>
  <c r="D16" i="18"/>
  <c r="H16" i="18"/>
  <c r="N16" i="18"/>
  <c r="O16" i="18"/>
  <c r="R16" i="18"/>
  <c r="C15" i="18"/>
  <c r="D15" i="18"/>
  <c r="H15" i="18"/>
  <c r="N15" i="18"/>
  <c r="O15" i="18"/>
  <c r="R15" i="18"/>
  <c r="B15" i="19"/>
  <c r="B16" i="19"/>
  <c r="C13" i="18"/>
  <c r="D13" i="18"/>
  <c r="H13" i="18"/>
  <c r="N13" i="18"/>
  <c r="O13" i="18"/>
  <c r="R13" i="18"/>
  <c r="G11" i="19"/>
  <c r="G10" i="19"/>
  <c r="G9" i="19"/>
  <c r="C9" i="18"/>
  <c r="D9" i="18"/>
  <c r="H9" i="18"/>
  <c r="N9" i="18"/>
  <c r="O9" i="18"/>
  <c r="R9" i="18"/>
  <c r="C10" i="18"/>
  <c r="D10" i="18"/>
  <c r="H10" i="18"/>
  <c r="N10" i="18"/>
  <c r="O10" i="18"/>
  <c r="R10" i="18"/>
  <c r="C11" i="18"/>
  <c r="D11" i="18"/>
  <c r="H11" i="18"/>
  <c r="N11" i="18"/>
  <c r="O11" i="18"/>
  <c r="R11" i="18"/>
  <c r="C12" i="18"/>
  <c r="D12" i="18"/>
  <c r="H12" i="18"/>
  <c r="N12" i="18"/>
  <c r="O12" i="18"/>
  <c r="R12" i="18"/>
  <c r="C6" i="18"/>
  <c r="D6" i="18"/>
  <c r="H6" i="18"/>
  <c r="N6" i="18"/>
  <c r="O6" i="18"/>
  <c r="R6" i="18"/>
  <c r="C5" i="18"/>
  <c r="D5" i="18"/>
  <c r="H5" i="18"/>
  <c r="N5" i="18"/>
  <c r="O5" i="18"/>
  <c r="R5" i="18"/>
  <c r="G8" i="19"/>
  <c r="C7" i="18"/>
  <c r="D7" i="18"/>
  <c r="H7" i="18"/>
  <c r="N7" i="18"/>
  <c r="O7" i="18"/>
  <c r="R7" i="18"/>
  <c r="G7" i="19"/>
  <c r="C14" i="18"/>
  <c r="D14" i="18"/>
  <c r="H14" i="18"/>
  <c r="N14" i="18"/>
  <c r="O14" i="18"/>
  <c r="R14" i="18"/>
  <c r="U4" i="16"/>
  <c r="C3" i="16"/>
  <c r="D3" i="16"/>
  <c r="H3" i="16"/>
  <c r="N3" i="16"/>
  <c r="O3" i="16"/>
  <c r="R3" i="16"/>
  <c r="R2" i="16"/>
  <c r="S2" i="16" s="1"/>
  <c r="R4" i="16"/>
  <c r="R5" i="16"/>
  <c r="R6" i="16"/>
  <c r="R7" i="16"/>
  <c r="R8" i="16"/>
  <c r="R9" i="16"/>
  <c r="R10" i="16"/>
  <c r="R11" i="16"/>
  <c r="R12" i="16"/>
  <c r="R13" i="16"/>
  <c r="R14" i="16"/>
  <c r="O2" i="16"/>
  <c r="O4" i="16"/>
  <c r="O5" i="16"/>
  <c r="O6" i="16"/>
  <c r="O7" i="16"/>
  <c r="O8" i="16"/>
  <c r="O9" i="16"/>
  <c r="O10" i="16"/>
  <c r="O11" i="16"/>
  <c r="O12" i="16"/>
  <c r="O13" i="16"/>
  <c r="O14" i="16"/>
  <c r="N2" i="16"/>
  <c r="N4" i="16"/>
  <c r="N5" i="16"/>
  <c r="N6" i="16"/>
  <c r="N7" i="16"/>
  <c r="N8" i="16"/>
  <c r="N9" i="16"/>
  <c r="N10" i="16"/>
  <c r="N11" i="16"/>
  <c r="N12" i="16"/>
  <c r="N13" i="16"/>
  <c r="N14" i="16"/>
  <c r="G6" i="16"/>
  <c r="F6" i="16"/>
  <c r="P18" i="18" l="1"/>
  <c r="P17" i="18"/>
  <c r="P16" i="18"/>
  <c r="P15" i="18"/>
  <c r="P13" i="18"/>
  <c r="P10" i="18"/>
  <c r="P11" i="18"/>
  <c r="P12" i="18"/>
  <c r="P9" i="18"/>
  <c r="P5" i="18"/>
  <c r="P6" i="18"/>
  <c r="P7" i="18"/>
  <c r="P14" i="18"/>
  <c r="S4" i="16"/>
  <c r="S3" i="16"/>
  <c r="S9" i="16"/>
  <c r="S12" i="16"/>
  <c r="S11" i="16"/>
  <c r="S5" i="16"/>
  <c r="S10" i="16"/>
  <c r="P3" i="16"/>
  <c r="S8" i="16"/>
  <c r="S7" i="16"/>
  <c r="S14" i="16"/>
  <c r="S6" i="16"/>
  <c r="S13" i="16"/>
  <c r="S32" i="11"/>
  <c r="S33" i="11"/>
  <c r="C33" i="11"/>
  <c r="D33" i="11"/>
  <c r="H33" i="11"/>
  <c r="N33" i="11"/>
  <c r="P33" i="11" s="1"/>
  <c r="O33" i="11"/>
  <c r="R33" i="11"/>
  <c r="S5" i="12" l="1"/>
  <c r="S6" i="12"/>
  <c r="S7" i="12"/>
  <c r="C7" i="12"/>
  <c r="D7" i="12"/>
  <c r="H7" i="12"/>
  <c r="N7" i="12"/>
  <c r="O7" i="12"/>
  <c r="P7" i="12" s="1"/>
  <c r="R7" i="12"/>
  <c r="C6" i="12"/>
  <c r="D6" i="12"/>
  <c r="H6" i="12"/>
  <c r="N6" i="12"/>
  <c r="O6" i="12"/>
  <c r="P6" i="12" s="1"/>
  <c r="R6" i="12"/>
  <c r="H2" i="16" l="1"/>
  <c r="P2" i="16" s="1"/>
  <c r="H4" i="16"/>
  <c r="P4" i="16" s="1"/>
  <c r="H5" i="16"/>
  <c r="P5" i="16" s="1"/>
  <c r="H6" i="16"/>
  <c r="P6" i="16" s="1"/>
  <c r="H7" i="16"/>
  <c r="P7" i="16" s="1"/>
  <c r="H8" i="16"/>
  <c r="P8" i="16" s="1"/>
  <c r="H9" i="16"/>
  <c r="P9" i="16" s="1"/>
  <c r="H10" i="16"/>
  <c r="P10" i="16" s="1"/>
  <c r="H11" i="16"/>
  <c r="P11" i="16" s="1"/>
  <c r="H12" i="16"/>
  <c r="P12" i="16" s="1"/>
  <c r="H13" i="16"/>
  <c r="P13" i="16" s="1"/>
  <c r="H14" i="16"/>
  <c r="P14" i="16" s="1"/>
  <c r="C14" i="16"/>
  <c r="D14" i="16"/>
  <c r="C13" i="16"/>
  <c r="D13" i="16"/>
  <c r="C12" i="16"/>
  <c r="D12" i="16"/>
  <c r="C11" i="16"/>
  <c r="D11" i="16"/>
  <c r="C10" i="16"/>
  <c r="D10" i="16"/>
  <c r="C9" i="16"/>
  <c r="D9" i="16"/>
  <c r="C8" i="16"/>
  <c r="D8" i="16"/>
  <c r="C7" i="16"/>
  <c r="D7" i="16"/>
  <c r="C6" i="16"/>
  <c r="D6" i="16"/>
  <c r="C5" i="16"/>
  <c r="D5" i="16"/>
  <c r="C4" i="16"/>
  <c r="D4" i="16"/>
  <c r="C6" i="4" l="1"/>
  <c r="D6" i="4"/>
  <c r="H6" i="4"/>
  <c r="P6" i="4" s="1"/>
  <c r="N6" i="4"/>
  <c r="O6" i="4"/>
  <c r="R6" i="4"/>
  <c r="C42" i="2" l="1"/>
  <c r="C32" i="11"/>
  <c r="D32" i="11"/>
  <c r="H32" i="11"/>
  <c r="N32" i="11"/>
  <c r="O32" i="11"/>
  <c r="R32" i="11"/>
  <c r="C28" i="11"/>
  <c r="D28" i="11"/>
  <c r="H28" i="11"/>
  <c r="N28" i="11"/>
  <c r="O28" i="11"/>
  <c r="R28" i="11"/>
  <c r="C9" i="4"/>
  <c r="D9" i="4"/>
  <c r="D2" i="4"/>
  <c r="D3" i="4"/>
  <c r="D4" i="4"/>
  <c r="D5" i="4"/>
  <c r="D7" i="4"/>
  <c r="D8" i="4"/>
  <c r="D10" i="4"/>
  <c r="D11" i="4"/>
  <c r="C2" i="4"/>
  <c r="C3" i="4"/>
  <c r="C4" i="4"/>
  <c r="C5" i="4"/>
  <c r="C7" i="4"/>
  <c r="C8" i="4"/>
  <c r="C10" i="4"/>
  <c r="C11" i="4"/>
  <c r="H9" i="4"/>
  <c r="N9" i="4"/>
  <c r="O9" i="4"/>
  <c r="R9" i="4"/>
  <c r="H10" i="4"/>
  <c r="H11" i="4"/>
  <c r="N10" i="4"/>
  <c r="N11" i="4"/>
  <c r="O10" i="4"/>
  <c r="O11" i="4"/>
  <c r="R10" i="4"/>
  <c r="R11" i="4"/>
  <c r="F37" i="1"/>
  <c r="H37" i="1"/>
  <c r="H35" i="1"/>
  <c r="H34" i="1"/>
  <c r="C37" i="1"/>
  <c r="D37" i="1"/>
  <c r="N37" i="1"/>
  <c r="O37" i="1"/>
  <c r="R37" i="1"/>
  <c r="C36" i="1"/>
  <c r="D36" i="1"/>
  <c r="H36" i="1"/>
  <c r="N36" i="1"/>
  <c r="O36" i="1"/>
  <c r="R36" i="1"/>
  <c r="C35" i="1"/>
  <c r="D35" i="1"/>
  <c r="N35" i="1"/>
  <c r="O35" i="1"/>
  <c r="R35" i="1"/>
  <c r="C34" i="1"/>
  <c r="D34" i="1"/>
  <c r="N34" i="1"/>
  <c r="O34" i="1"/>
  <c r="R34" i="1"/>
  <c r="P32" i="11" l="1"/>
  <c r="P28" i="11"/>
  <c r="P9" i="4"/>
  <c r="P11" i="4"/>
  <c r="P10" i="4"/>
  <c r="P37" i="1"/>
  <c r="P36" i="1"/>
  <c r="P35" i="1"/>
  <c r="P34" i="1"/>
  <c r="Q26" i="11"/>
  <c r="C33" i="1" l="1"/>
  <c r="D33" i="1"/>
  <c r="H33" i="1"/>
  <c r="N33" i="1"/>
  <c r="O33" i="1"/>
  <c r="R33" i="1"/>
  <c r="C32" i="1"/>
  <c r="D32" i="1"/>
  <c r="H32" i="1"/>
  <c r="N32" i="1"/>
  <c r="O32" i="1"/>
  <c r="R32" i="1"/>
  <c r="C31" i="1"/>
  <c r="D31" i="1"/>
  <c r="H31" i="1"/>
  <c r="N31" i="1"/>
  <c r="O31" i="1"/>
  <c r="R31" i="1"/>
  <c r="C30" i="1"/>
  <c r="D30" i="1"/>
  <c r="H30" i="1"/>
  <c r="N30" i="1"/>
  <c r="O30" i="1"/>
  <c r="R30" i="1"/>
  <c r="C29" i="1"/>
  <c r="D29" i="1"/>
  <c r="H29" i="1"/>
  <c r="N29" i="1"/>
  <c r="O29" i="1"/>
  <c r="R29" i="1"/>
  <c r="H31" i="11"/>
  <c r="R30" i="11"/>
  <c r="C31" i="11"/>
  <c r="D31" i="11"/>
  <c r="N31" i="11"/>
  <c r="O31" i="11"/>
  <c r="R31" i="11"/>
  <c r="C30" i="11"/>
  <c r="D30" i="11"/>
  <c r="N30" i="11"/>
  <c r="O30" i="11"/>
  <c r="C29" i="11"/>
  <c r="D29" i="11"/>
  <c r="H29" i="11"/>
  <c r="N29" i="11"/>
  <c r="O29" i="11"/>
  <c r="R29" i="11"/>
  <c r="C4" i="10"/>
  <c r="H8" i="4"/>
  <c r="N8" i="4"/>
  <c r="O8" i="4"/>
  <c r="R8" i="4"/>
  <c r="R7" i="4"/>
  <c r="K7" i="4"/>
  <c r="O7" i="4" s="1"/>
  <c r="H7" i="4"/>
  <c r="D4" i="10"/>
  <c r="H4" i="10"/>
  <c r="N4" i="10"/>
  <c r="O4" i="10"/>
  <c r="R4" i="10"/>
  <c r="N7" i="4" l="1"/>
  <c r="P7" i="4" s="1"/>
  <c r="P33" i="1"/>
  <c r="P32" i="1"/>
  <c r="P31" i="1"/>
  <c r="P29" i="1"/>
  <c r="P30" i="1"/>
  <c r="P31" i="11"/>
  <c r="H30" i="11"/>
  <c r="P30" i="11" s="1"/>
  <c r="P29" i="11"/>
  <c r="P4" i="10"/>
  <c r="P8" i="4"/>
  <c r="C4" i="6" l="1"/>
  <c r="D4" i="6"/>
  <c r="H4" i="6"/>
  <c r="N4" i="6"/>
  <c r="O4" i="6"/>
  <c r="R4" i="6"/>
  <c r="N26" i="11"/>
  <c r="H26" i="11"/>
  <c r="C26" i="11"/>
  <c r="D26" i="11"/>
  <c r="O26" i="11"/>
  <c r="R26" i="11"/>
  <c r="C27" i="11"/>
  <c r="D27" i="11"/>
  <c r="H27" i="11"/>
  <c r="N27" i="11"/>
  <c r="O27" i="11"/>
  <c r="R27" i="11"/>
  <c r="P4" i="6" l="1"/>
  <c r="P26" i="11"/>
  <c r="P27" i="11"/>
  <c r="H2" i="18"/>
  <c r="H3" i="18"/>
  <c r="H4" i="18"/>
  <c r="H8" i="18"/>
  <c r="R2" i="18"/>
  <c r="R3" i="18"/>
  <c r="R4" i="18"/>
  <c r="R8" i="18"/>
  <c r="O2" i="18"/>
  <c r="O3" i="18"/>
  <c r="O4" i="18"/>
  <c r="O8" i="18"/>
  <c r="N2" i="18"/>
  <c r="N3" i="18"/>
  <c r="N4" i="18"/>
  <c r="N8" i="18"/>
  <c r="R2" i="17"/>
  <c r="S2" i="17" s="1"/>
  <c r="R3" i="17"/>
  <c r="R4" i="17"/>
  <c r="R5" i="17"/>
  <c r="R6" i="17"/>
  <c r="R7" i="17"/>
  <c r="R8" i="17"/>
  <c r="R9" i="17"/>
  <c r="R10" i="17"/>
  <c r="R11" i="17"/>
  <c r="R12" i="17"/>
  <c r="O2" i="17"/>
  <c r="O3" i="17"/>
  <c r="O4" i="17"/>
  <c r="O5" i="17"/>
  <c r="O6" i="17"/>
  <c r="O7" i="17"/>
  <c r="O8" i="17"/>
  <c r="O9" i="17"/>
  <c r="O10" i="17"/>
  <c r="O11" i="17"/>
  <c r="O12" i="17"/>
  <c r="N2" i="17"/>
  <c r="N3" i="17"/>
  <c r="N4" i="17"/>
  <c r="N5" i="17"/>
  <c r="N6" i="17"/>
  <c r="N7" i="17"/>
  <c r="N8" i="17"/>
  <c r="N9" i="17"/>
  <c r="N10" i="17"/>
  <c r="N11" i="17"/>
  <c r="N12" i="17"/>
  <c r="H2" i="17"/>
  <c r="H3" i="17"/>
  <c r="H4" i="17"/>
  <c r="H5" i="17"/>
  <c r="H6" i="17"/>
  <c r="H7" i="17"/>
  <c r="H8" i="17"/>
  <c r="H9" i="17"/>
  <c r="H10" i="17"/>
  <c r="H11" i="17"/>
  <c r="H12" i="17"/>
  <c r="S12" i="18" l="1"/>
  <c r="S13" i="18"/>
  <c r="S14" i="18"/>
  <c r="S15" i="18"/>
  <c r="S16" i="18"/>
  <c r="S17" i="18"/>
  <c r="S18" i="18"/>
  <c r="S10" i="18"/>
  <c r="S11" i="18"/>
  <c r="S8" i="18"/>
  <c r="S9" i="18"/>
  <c r="S7" i="18"/>
  <c r="S5" i="18"/>
  <c r="S6" i="18"/>
  <c r="S2" i="18"/>
  <c r="S3" i="18"/>
  <c r="S4" i="18"/>
  <c r="P2" i="18"/>
  <c r="P12" i="17"/>
  <c r="P11" i="17"/>
  <c r="P5" i="17"/>
  <c r="P6" i="17"/>
  <c r="S6" i="17"/>
  <c r="P9" i="17"/>
  <c r="P3" i="17"/>
  <c r="P4" i="18"/>
  <c r="S10" i="17"/>
  <c r="S8" i="17"/>
  <c r="S7" i="17"/>
  <c r="P8" i="17"/>
  <c r="P7" i="17"/>
  <c r="S4" i="17"/>
  <c r="P2" i="17"/>
  <c r="P10" i="17"/>
  <c r="P4" i="17"/>
  <c r="S3" i="17"/>
  <c r="P8" i="18"/>
  <c r="P3" i="18"/>
  <c r="S12" i="17"/>
  <c r="S11" i="17"/>
  <c r="S5" i="17"/>
  <c r="S9" i="17"/>
  <c r="D2" i="16"/>
  <c r="D2" i="17"/>
  <c r="D3" i="17"/>
  <c r="D4" i="17"/>
  <c r="D5" i="17"/>
  <c r="D6" i="17"/>
  <c r="D7" i="17"/>
  <c r="D8" i="17"/>
  <c r="D9" i="17"/>
  <c r="D10" i="17"/>
  <c r="D11" i="17"/>
  <c r="D12" i="17"/>
  <c r="D2" i="18"/>
  <c r="D3" i="18"/>
  <c r="D4" i="18"/>
  <c r="D8" i="18"/>
  <c r="C2" i="16"/>
  <c r="B38" i="19" l="1"/>
  <c r="B37" i="19"/>
  <c r="B36" i="19"/>
  <c r="B39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4" i="19"/>
  <c r="B13" i="19"/>
  <c r="B12" i="19"/>
  <c r="B11" i="19"/>
  <c r="B9" i="19"/>
  <c r="B8" i="19"/>
  <c r="B7" i="19"/>
  <c r="B6" i="19"/>
  <c r="C25" i="11"/>
  <c r="D25" i="11"/>
  <c r="H25" i="11"/>
  <c r="N25" i="11"/>
  <c r="O25" i="11"/>
  <c r="R25" i="11"/>
  <c r="C24" i="11"/>
  <c r="D24" i="11"/>
  <c r="H24" i="11"/>
  <c r="N24" i="11"/>
  <c r="O24" i="11"/>
  <c r="R24" i="11"/>
  <c r="C23" i="11"/>
  <c r="D23" i="11"/>
  <c r="H23" i="11"/>
  <c r="N23" i="11"/>
  <c r="O23" i="11"/>
  <c r="R23" i="11"/>
  <c r="C22" i="1"/>
  <c r="C23" i="1"/>
  <c r="C24" i="1"/>
  <c r="C25" i="1"/>
  <c r="C26" i="1"/>
  <c r="C27" i="1"/>
  <c r="C28" i="1"/>
  <c r="D22" i="1"/>
  <c r="D23" i="1"/>
  <c r="D24" i="1"/>
  <c r="D25" i="1"/>
  <c r="D26" i="1"/>
  <c r="D27" i="1"/>
  <c r="D28" i="1"/>
  <c r="H22" i="1"/>
  <c r="H23" i="1"/>
  <c r="H24" i="1"/>
  <c r="H25" i="1"/>
  <c r="H26" i="1"/>
  <c r="H27" i="1"/>
  <c r="H28" i="1"/>
  <c r="N22" i="1"/>
  <c r="N23" i="1"/>
  <c r="N24" i="1"/>
  <c r="N25" i="1"/>
  <c r="N26" i="1"/>
  <c r="N27" i="1"/>
  <c r="N28" i="1"/>
  <c r="O22" i="1"/>
  <c r="O23" i="1"/>
  <c r="O24" i="1"/>
  <c r="O25" i="1"/>
  <c r="O26" i="1"/>
  <c r="O27" i="1"/>
  <c r="O28" i="1"/>
  <c r="R22" i="1"/>
  <c r="R23" i="1"/>
  <c r="R24" i="1"/>
  <c r="R25" i="1"/>
  <c r="R26" i="1"/>
  <c r="R27" i="1"/>
  <c r="R28" i="1"/>
  <c r="C21" i="1"/>
  <c r="D21" i="1"/>
  <c r="H21" i="1"/>
  <c r="N21" i="1"/>
  <c r="O21" i="1"/>
  <c r="R21" i="1"/>
  <c r="C20" i="1"/>
  <c r="D20" i="1"/>
  <c r="H20" i="1"/>
  <c r="N20" i="1"/>
  <c r="O20" i="1"/>
  <c r="R20" i="1"/>
  <c r="C19" i="1"/>
  <c r="D19" i="1"/>
  <c r="H19" i="1"/>
  <c r="N19" i="1"/>
  <c r="O19" i="1"/>
  <c r="R19" i="1"/>
  <c r="C18" i="1"/>
  <c r="D18" i="1"/>
  <c r="H18" i="1"/>
  <c r="N18" i="1"/>
  <c r="O18" i="1"/>
  <c r="R18" i="1"/>
  <c r="C17" i="1"/>
  <c r="D17" i="1"/>
  <c r="H17" i="1"/>
  <c r="N17" i="1"/>
  <c r="O17" i="1"/>
  <c r="R17" i="1"/>
  <c r="C16" i="1"/>
  <c r="D16" i="1"/>
  <c r="H16" i="1"/>
  <c r="N16" i="1"/>
  <c r="O16" i="1"/>
  <c r="R16" i="1"/>
  <c r="P26" i="1" l="1"/>
  <c r="P25" i="11"/>
  <c r="P24" i="1"/>
  <c r="P24" i="11"/>
  <c r="P23" i="11"/>
  <c r="P28" i="1"/>
  <c r="P27" i="1"/>
  <c r="P25" i="1"/>
  <c r="P23" i="1"/>
  <c r="P22" i="1"/>
  <c r="P20" i="1"/>
  <c r="P21" i="1"/>
  <c r="P16" i="1"/>
  <c r="P17" i="1"/>
  <c r="P18" i="1"/>
  <c r="P19" i="1"/>
  <c r="C2" i="18"/>
  <c r="C3" i="18"/>
  <c r="C4" i="18"/>
  <c r="C8" i="18"/>
  <c r="C3" i="17"/>
  <c r="C4" i="17"/>
  <c r="C5" i="17"/>
  <c r="C6" i="17"/>
  <c r="C7" i="17"/>
  <c r="C8" i="17"/>
  <c r="C9" i="17"/>
  <c r="C10" i="17"/>
  <c r="C11" i="17"/>
  <c r="C12" i="17"/>
  <c r="C2" i="17"/>
  <c r="C5" i="12" l="1"/>
  <c r="D5" i="12"/>
  <c r="H5" i="12"/>
  <c r="N5" i="12"/>
  <c r="O5" i="12"/>
  <c r="P5" i="12" s="1"/>
  <c r="R5" i="12"/>
  <c r="C22" i="11"/>
  <c r="D22" i="11"/>
  <c r="H22" i="11"/>
  <c r="N22" i="11"/>
  <c r="O22" i="11"/>
  <c r="R22" i="11"/>
  <c r="C21" i="11"/>
  <c r="D21" i="11"/>
  <c r="H21" i="11"/>
  <c r="N21" i="11"/>
  <c r="O21" i="11"/>
  <c r="R21" i="11"/>
  <c r="C20" i="11"/>
  <c r="D20" i="11"/>
  <c r="H20" i="11"/>
  <c r="N20" i="11"/>
  <c r="O20" i="11"/>
  <c r="R20" i="11"/>
  <c r="C19" i="11"/>
  <c r="D19" i="11"/>
  <c r="H19" i="11"/>
  <c r="N19" i="11"/>
  <c r="O19" i="11"/>
  <c r="R19" i="11"/>
  <c r="C18" i="11"/>
  <c r="D18" i="11"/>
  <c r="H18" i="11"/>
  <c r="N18" i="11"/>
  <c r="O18" i="11"/>
  <c r="R18" i="11"/>
  <c r="C17" i="11"/>
  <c r="D17" i="11"/>
  <c r="H17" i="11"/>
  <c r="N17" i="11"/>
  <c r="O17" i="11"/>
  <c r="R17" i="11"/>
  <c r="C16" i="11"/>
  <c r="D16" i="11"/>
  <c r="H16" i="11"/>
  <c r="N16" i="11"/>
  <c r="O16" i="11"/>
  <c r="R16" i="11"/>
  <c r="J15" i="11"/>
  <c r="N15" i="11" s="1"/>
  <c r="C15" i="11"/>
  <c r="D15" i="11"/>
  <c r="H15" i="11"/>
  <c r="O15" i="11"/>
  <c r="R15" i="11"/>
  <c r="M14" i="11"/>
  <c r="O14" i="11" s="1"/>
  <c r="C14" i="11"/>
  <c r="D14" i="11"/>
  <c r="H14" i="11"/>
  <c r="N14" i="11"/>
  <c r="M13" i="11"/>
  <c r="O13" i="11" s="1"/>
  <c r="C13" i="11"/>
  <c r="D13" i="11"/>
  <c r="H13" i="11"/>
  <c r="N13" i="11"/>
  <c r="R13" i="11" l="1"/>
  <c r="R14" i="11"/>
  <c r="P22" i="11"/>
  <c r="P20" i="11"/>
  <c r="P21" i="11"/>
  <c r="P18" i="11"/>
  <c r="P19" i="11"/>
  <c r="P16" i="11"/>
  <c r="P17" i="11"/>
  <c r="P15" i="11"/>
  <c r="P14" i="11"/>
  <c r="P13" i="11"/>
  <c r="D2" i="9" l="1"/>
  <c r="C2" i="6" l="1"/>
  <c r="D2" i="6"/>
  <c r="H2" i="6"/>
  <c r="N2" i="6"/>
  <c r="O2" i="6"/>
  <c r="R2" i="6"/>
  <c r="C3" i="6"/>
  <c r="D3" i="6"/>
  <c r="H3" i="6"/>
  <c r="N3" i="6"/>
  <c r="R3" i="6"/>
  <c r="H2" i="11"/>
  <c r="C2" i="12"/>
  <c r="C3" i="12"/>
  <c r="C4" i="12"/>
  <c r="D2" i="12"/>
  <c r="D3" i="12"/>
  <c r="D4" i="12"/>
  <c r="H2" i="12"/>
  <c r="H3" i="12"/>
  <c r="H4" i="12"/>
  <c r="N2" i="12"/>
  <c r="N3" i="12"/>
  <c r="N4" i="12"/>
  <c r="O2" i="12"/>
  <c r="O3" i="12"/>
  <c r="O4" i="12"/>
  <c r="R2" i="12"/>
  <c r="R3" i="12"/>
  <c r="R4" i="12"/>
  <c r="C2" i="11"/>
  <c r="C3" i="11"/>
  <c r="C4" i="11"/>
  <c r="C5" i="11"/>
  <c r="C6" i="11"/>
  <c r="C7" i="11"/>
  <c r="C8" i="11"/>
  <c r="C9" i="11"/>
  <c r="C10" i="11"/>
  <c r="C11" i="11"/>
  <c r="C12" i="11"/>
  <c r="D2" i="11"/>
  <c r="D3" i="11"/>
  <c r="D4" i="11"/>
  <c r="D5" i="11"/>
  <c r="D6" i="11"/>
  <c r="D7" i="11"/>
  <c r="D8" i="11"/>
  <c r="D9" i="11"/>
  <c r="D10" i="11"/>
  <c r="D11" i="11"/>
  <c r="D12" i="11"/>
  <c r="H3" i="11"/>
  <c r="H4" i="11"/>
  <c r="H5" i="11"/>
  <c r="H6" i="11"/>
  <c r="H7" i="11"/>
  <c r="H8" i="11"/>
  <c r="H9" i="11"/>
  <c r="H10" i="11"/>
  <c r="H11" i="11"/>
  <c r="H12" i="11"/>
  <c r="N2" i="11"/>
  <c r="N3" i="11"/>
  <c r="N4" i="11"/>
  <c r="N5" i="11"/>
  <c r="N6" i="11"/>
  <c r="N7" i="11"/>
  <c r="N8" i="11"/>
  <c r="N9" i="11"/>
  <c r="N10" i="11"/>
  <c r="N11" i="11"/>
  <c r="N12" i="11"/>
  <c r="O2" i="11"/>
  <c r="O3" i="11"/>
  <c r="O4" i="11"/>
  <c r="O5" i="11"/>
  <c r="O6" i="11"/>
  <c r="O7" i="11"/>
  <c r="O8" i="11"/>
  <c r="O9" i="11"/>
  <c r="O10" i="11"/>
  <c r="O11" i="11"/>
  <c r="O12" i="11"/>
  <c r="R2" i="11"/>
  <c r="R3" i="11"/>
  <c r="R4" i="11"/>
  <c r="R5" i="11"/>
  <c r="R6" i="11"/>
  <c r="R7" i="11"/>
  <c r="R8" i="11"/>
  <c r="R9" i="11"/>
  <c r="R10" i="11"/>
  <c r="R11" i="11"/>
  <c r="R12" i="11"/>
  <c r="S9" i="11" l="1"/>
  <c r="S17" i="11"/>
  <c r="S25" i="11"/>
  <c r="S28" i="11"/>
  <c r="S29" i="11"/>
  <c r="S14" i="11"/>
  <c r="S15" i="11"/>
  <c r="S16" i="11"/>
  <c r="S10" i="11"/>
  <c r="S18" i="11"/>
  <c r="S26" i="11"/>
  <c r="S12" i="11"/>
  <c r="S13" i="11"/>
  <c r="S22" i="11"/>
  <c r="S23" i="11"/>
  <c r="S8" i="11"/>
  <c r="S11" i="11"/>
  <c r="S19" i="11"/>
  <c r="S27" i="11"/>
  <c r="S21" i="11"/>
  <c r="S30" i="11"/>
  <c r="S31" i="11"/>
  <c r="S24" i="11"/>
  <c r="S20" i="11"/>
  <c r="S2" i="6"/>
  <c r="S3" i="6"/>
  <c r="S4" i="6"/>
  <c r="S6" i="11"/>
  <c r="S7" i="11"/>
  <c r="S4" i="11"/>
  <c r="S5" i="11"/>
  <c r="S2" i="11"/>
  <c r="S3" i="11"/>
  <c r="S3" i="12"/>
  <c r="S4" i="12"/>
  <c r="S2" i="12"/>
  <c r="P2" i="6"/>
  <c r="O3" i="6"/>
  <c r="P3" i="6" s="1"/>
  <c r="P10" i="11"/>
  <c r="P2" i="11"/>
  <c r="P4" i="11"/>
  <c r="P9" i="11"/>
  <c r="P12" i="11"/>
  <c r="P8" i="11"/>
  <c r="P5" i="11"/>
  <c r="P4" i="12"/>
  <c r="P2" i="12"/>
  <c r="P3" i="12"/>
  <c r="P7" i="11"/>
  <c r="P6" i="11"/>
  <c r="P11" i="11"/>
  <c r="P3" i="11"/>
  <c r="H2" i="4"/>
  <c r="H3" i="4"/>
  <c r="H4" i="4"/>
  <c r="H5" i="4"/>
  <c r="N2" i="4"/>
  <c r="N3" i="4"/>
  <c r="N4" i="4"/>
  <c r="N5" i="4"/>
  <c r="O2" i="4"/>
  <c r="O3" i="4"/>
  <c r="O4" i="4"/>
  <c r="O5" i="4"/>
  <c r="R2" i="4"/>
  <c r="R3" i="4"/>
  <c r="R4" i="4"/>
  <c r="R5" i="4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S6" i="4" l="1"/>
  <c r="S3" i="4"/>
  <c r="S10" i="4"/>
  <c r="S4" i="4"/>
  <c r="S11" i="4"/>
  <c r="S5" i="4"/>
  <c r="S7" i="4"/>
  <c r="S8" i="4"/>
  <c r="S9" i="4"/>
  <c r="S18" i="1"/>
  <c r="S24" i="1"/>
  <c r="S30" i="1"/>
  <c r="S36" i="1"/>
  <c r="S32" i="1"/>
  <c r="S21" i="1"/>
  <c r="S22" i="1"/>
  <c r="S35" i="1"/>
  <c r="S19" i="1"/>
  <c r="S25" i="1"/>
  <c r="S31" i="1"/>
  <c r="S37" i="1"/>
  <c r="S26" i="1"/>
  <c r="S33" i="1"/>
  <c r="S28" i="1"/>
  <c r="S34" i="1"/>
  <c r="S20" i="1"/>
  <c r="S29" i="1"/>
  <c r="S27" i="1"/>
  <c r="S23" i="1"/>
  <c r="S4" i="1"/>
  <c r="S10" i="1"/>
  <c r="S16" i="1"/>
  <c r="S5" i="1"/>
  <c r="S11" i="1"/>
  <c r="S6" i="1"/>
  <c r="S12" i="1"/>
  <c r="S13" i="1"/>
  <c r="S7" i="1"/>
  <c r="S2" i="1"/>
  <c r="S8" i="1"/>
  <c r="S14" i="1"/>
  <c r="S3" i="1"/>
  <c r="S9" i="1"/>
  <c r="S15" i="1"/>
  <c r="S17" i="1"/>
  <c r="P2" i="4"/>
  <c r="P13" i="1"/>
  <c r="P6" i="1"/>
  <c r="P4" i="1"/>
  <c r="P12" i="1"/>
  <c r="P3" i="1"/>
  <c r="P10" i="1"/>
  <c r="P2" i="1"/>
  <c r="P8" i="1"/>
  <c r="P7" i="1"/>
  <c r="P5" i="1"/>
  <c r="P11" i="1"/>
  <c r="P3" i="4"/>
  <c r="P5" i="4"/>
  <c r="P4" i="4"/>
  <c r="S2" i="4"/>
  <c r="P9" i="1"/>
  <c r="P15" i="1"/>
  <c r="P14" i="1"/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C14" i="13"/>
  <c r="B14" i="13"/>
  <c r="F13" i="13" s="1"/>
  <c r="G13" i="13" s="1"/>
  <c r="D13" i="13"/>
  <c r="D12" i="13"/>
  <c r="D11" i="13"/>
  <c r="D10" i="13"/>
  <c r="D9" i="13"/>
  <c r="D8" i="13"/>
  <c r="D7" i="13"/>
  <c r="D6" i="13"/>
  <c r="D5" i="13"/>
  <c r="D4" i="13"/>
  <c r="D3" i="13"/>
  <c r="D2" i="13"/>
  <c r="R2" i="10"/>
  <c r="R3" i="10"/>
  <c r="C3" i="10"/>
  <c r="D3" i="10"/>
  <c r="H3" i="10"/>
  <c r="N3" i="10"/>
  <c r="O3" i="10"/>
  <c r="O2" i="10"/>
  <c r="N2" i="10"/>
  <c r="H2" i="10"/>
  <c r="P2" i="10" s="1"/>
  <c r="D2" i="10"/>
  <c r="C2" i="10"/>
  <c r="B1" i="8"/>
  <c r="F3" i="13" l="1"/>
  <c r="G3" i="13" s="1"/>
  <c r="D14" i="13"/>
  <c r="F10" i="13"/>
  <c r="G10" i="13" s="1"/>
  <c r="F9" i="13"/>
  <c r="G9" i="13" s="1"/>
  <c r="F6" i="13"/>
  <c r="G6" i="13" s="1"/>
  <c r="S3" i="10"/>
  <c r="S4" i="10"/>
  <c r="F12" i="13"/>
  <c r="G12" i="13" s="1"/>
  <c r="F7" i="13"/>
  <c r="G7" i="13" s="1"/>
  <c r="F5" i="13"/>
  <c r="G5" i="13" s="1"/>
  <c r="F11" i="13"/>
  <c r="G11" i="13" s="1"/>
  <c r="F4" i="13"/>
  <c r="G4" i="13" s="1"/>
  <c r="F2" i="13"/>
  <c r="G2" i="13" s="1"/>
  <c r="F8" i="13"/>
  <c r="G8" i="13" s="1"/>
  <c r="P3" i="10"/>
  <c r="S2" i="10"/>
</calcChain>
</file>

<file path=xl/sharedStrings.xml><?xml version="1.0" encoding="utf-8"?>
<sst xmlns="http://schemas.openxmlformats.org/spreadsheetml/2006/main" count="1493" uniqueCount="516">
  <si>
    <t>거래일자</t>
    <phoneticPr fontId="7" type="noConversion"/>
  </si>
  <si>
    <t>종목명</t>
    <phoneticPr fontId="7" type="noConversion"/>
  </si>
  <si>
    <t>한투</t>
    <phoneticPr fontId="7" type="noConversion"/>
  </si>
  <si>
    <t>신협</t>
    <phoneticPr fontId="7" type="noConversion"/>
  </si>
  <si>
    <t>해외투자</t>
    <phoneticPr fontId="7" type="noConversion"/>
  </si>
  <si>
    <t>외화자산</t>
    <phoneticPr fontId="7" type="noConversion"/>
  </si>
  <si>
    <t>계좌</t>
    <phoneticPr fontId="7" type="noConversion"/>
  </si>
  <si>
    <t>나무</t>
    <phoneticPr fontId="7" type="noConversion"/>
  </si>
  <si>
    <t>한증금</t>
    <phoneticPr fontId="7" type="noConversion"/>
  </si>
  <si>
    <t>국내주식</t>
    <phoneticPr fontId="7" type="noConversion"/>
  </si>
  <si>
    <t>롯데케미칼</t>
    <phoneticPr fontId="7" type="noConversion"/>
  </si>
  <si>
    <t>불리오</t>
    <phoneticPr fontId="7" type="noConversion"/>
  </si>
  <si>
    <t>상품</t>
    <phoneticPr fontId="7" type="noConversion"/>
  </si>
  <si>
    <t>외환</t>
    <phoneticPr fontId="7" type="noConversion"/>
  </si>
  <si>
    <t>해외주식</t>
    <phoneticPr fontId="7" type="noConversion"/>
  </si>
  <si>
    <t>해외채권</t>
    <phoneticPr fontId="7" type="noConversion"/>
  </si>
  <si>
    <t>통화</t>
    <phoneticPr fontId="7" type="noConversion"/>
  </si>
  <si>
    <t>원화</t>
    <phoneticPr fontId="7" type="noConversion"/>
  </si>
  <si>
    <t>달러</t>
    <phoneticPr fontId="7" type="noConversion"/>
  </si>
  <si>
    <t>자산군</t>
    <phoneticPr fontId="7" type="noConversion"/>
  </si>
  <si>
    <t>세부자산군</t>
    <phoneticPr fontId="7" type="noConversion"/>
  </si>
  <si>
    <t>현금성</t>
    <phoneticPr fontId="7" type="noConversion"/>
  </si>
  <si>
    <t>단기자금</t>
    <phoneticPr fontId="7" type="noConversion"/>
  </si>
  <si>
    <t>채권</t>
    <phoneticPr fontId="7" type="noConversion"/>
  </si>
  <si>
    <t>주식</t>
    <phoneticPr fontId="7" type="noConversion"/>
  </si>
  <si>
    <t>대체자산</t>
    <phoneticPr fontId="7" type="noConversion"/>
  </si>
  <si>
    <t>상품명</t>
    <phoneticPr fontId="7" type="noConversion"/>
  </si>
  <si>
    <t>매입비용</t>
    <phoneticPr fontId="7" type="noConversion"/>
  </si>
  <si>
    <t>순수익</t>
    <phoneticPr fontId="7" type="noConversion"/>
  </si>
  <si>
    <t>ISHARES INC MSCI GERMANY ETF</t>
  </si>
  <si>
    <t>ISHARES INC MSCI HONG KONG ETF</t>
  </si>
  <si>
    <t>ISHARES INC MSCI JAPAN ETF NEW(POST REV SPLT)</t>
  </si>
  <si>
    <t>ISHARES INC MSCI MEXICO ETF</t>
  </si>
  <si>
    <t>ISHARES MSCI SOUTH AFRICA FUND</t>
  </si>
  <si>
    <t>ISHARES MSCI EUROZONE ETF</t>
  </si>
  <si>
    <t>INVESCO CURRENCYETF EURO CURRENCY TRUST</t>
  </si>
  <si>
    <t>ISHARES CHINA LARGE-CAP ETF</t>
  </si>
  <si>
    <t>INVESCO ACT MANAGE EXCH TR CMDTY FD OPTIMUM YIELD DIVERSIFIE</t>
  </si>
  <si>
    <t>SCHWAB EMERGING MARKETS EQUITY ETF</t>
  </si>
  <si>
    <t>ABRDN PHYSICAL GOLD SHARES ETF</t>
  </si>
  <si>
    <t>SPDR INDEX SHARES FUNDS PORTFOLIO MSCI GLOBAL STOCK MARKET E</t>
  </si>
  <si>
    <t>SPDR SERIES TRUST Portfolio High Yield Bond ETF</t>
  </si>
  <si>
    <t>SPDR SERIES TRUST Portfolio TIPS ETF</t>
  </si>
  <si>
    <t>SPDR PORTFOLIO S&amp;P 500 ETF</t>
  </si>
  <si>
    <t>SPDR LONG TERM TREASURY ETF</t>
  </si>
  <si>
    <t>VANGUARD EMERGING MARKETS GOVERNMENT BOND ETF</t>
  </si>
  <si>
    <t>나무증권 CMA</t>
    <phoneticPr fontId="7" type="noConversion"/>
  </si>
  <si>
    <t>한국투자증권 CMA</t>
    <phoneticPr fontId="7" type="noConversion"/>
  </si>
  <si>
    <t>나무증권 발행어음</t>
    <phoneticPr fontId="7" type="noConversion"/>
  </si>
  <si>
    <t>신협 정기예금 6개월</t>
    <phoneticPr fontId="7" type="noConversion"/>
  </si>
  <si>
    <t>신협 정기예금 1년</t>
    <phoneticPr fontId="7" type="noConversion"/>
  </si>
  <si>
    <t>우리사주 롯데케미칼</t>
    <phoneticPr fontId="7" type="noConversion"/>
  </si>
  <si>
    <t>한국투자증권 불리오계좌 달러예수금</t>
    <phoneticPr fontId="7" type="noConversion"/>
  </si>
  <si>
    <t>매도원금</t>
    <phoneticPr fontId="7" type="noConversion"/>
  </si>
  <si>
    <t>현금수입</t>
    <phoneticPr fontId="7" type="noConversion"/>
  </si>
  <si>
    <t>현금지출</t>
    <phoneticPr fontId="7" type="noConversion"/>
  </si>
  <si>
    <t>매입액</t>
    <phoneticPr fontId="7" type="noConversion"/>
  </si>
  <si>
    <t>매도액</t>
    <phoneticPr fontId="7" type="noConversion"/>
  </si>
  <si>
    <t>이자배당액</t>
    <phoneticPr fontId="7" type="noConversion"/>
  </si>
  <si>
    <t>매도비용</t>
    <phoneticPr fontId="7" type="noConversion"/>
  </si>
  <si>
    <t>매매수익</t>
    <phoneticPr fontId="7" type="noConversion"/>
  </si>
  <si>
    <t>순현금수입</t>
    <phoneticPr fontId="7" type="noConversion"/>
  </si>
  <si>
    <t>누적</t>
    <phoneticPr fontId="7" type="noConversion"/>
  </si>
  <si>
    <t>한국투자증권 직접투자계좌 달러예수금</t>
    <phoneticPr fontId="7" type="noConversion"/>
  </si>
  <si>
    <t>한국투자증권 직접투자계좌 외화RP</t>
    <phoneticPr fontId="7" type="noConversion"/>
  </si>
  <si>
    <t>입출금</t>
    <phoneticPr fontId="7" type="noConversion"/>
  </si>
  <si>
    <t>달러자산</t>
    <phoneticPr fontId="7" type="noConversion"/>
  </si>
  <si>
    <t>달러자산 원화평가</t>
    <phoneticPr fontId="7" type="noConversion"/>
  </si>
  <si>
    <t>전년도 투자주식 배당기록 계정</t>
  </si>
  <si>
    <t>나무</t>
  </si>
  <si>
    <t>원화</t>
  </si>
  <si>
    <t>주식</t>
  </si>
  <si>
    <t>국내주식</t>
  </si>
  <si>
    <t>입출금</t>
  </si>
  <si>
    <t>현금지출</t>
  </si>
  <si>
    <t>대체자산</t>
  </si>
  <si>
    <t>ISHARES INC MSCI Brazil ETF</t>
  </si>
  <si>
    <t>종목코드</t>
  </si>
  <si>
    <t>종목명</t>
  </si>
  <si>
    <t>011170</t>
  </si>
  <si>
    <t>CP_NAMU</t>
  </si>
  <si>
    <t>CMA_NAMU</t>
  </si>
  <si>
    <t>USDAST</t>
  </si>
  <si>
    <t>D1Y_SH</t>
  </si>
  <si>
    <t>D6m_SH</t>
  </si>
  <si>
    <t>STOCK_NAMU</t>
  </si>
  <si>
    <t>CMA_KOIN</t>
  </si>
  <si>
    <t>BLDO_KOIN</t>
  </si>
  <si>
    <t>MYDO_KOIN</t>
  </si>
  <si>
    <t>OVSRP_KOIN</t>
  </si>
  <si>
    <t>금</t>
  </si>
  <si>
    <t>원자재</t>
  </si>
  <si>
    <t>중국주식</t>
  </si>
  <si>
    <t>브라질주식</t>
  </si>
  <si>
    <t>홍콩주식</t>
  </si>
  <si>
    <t>일본주식</t>
  </si>
  <si>
    <t>멕시코주식</t>
  </si>
  <si>
    <t>유로존주식</t>
  </si>
  <si>
    <t>남아프리카주식</t>
  </si>
  <si>
    <t>신흥국주식</t>
  </si>
  <si>
    <t>전세계주식</t>
  </si>
  <si>
    <t>미국장기채</t>
  </si>
  <si>
    <t>미국주식</t>
  </si>
  <si>
    <t>하이일드</t>
  </si>
  <si>
    <t>물가연동채</t>
  </si>
  <si>
    <t>신흥국채권</t>
  </si>
  <si>
    <t>유로</t>
  </si>
  <si>
    <t>독일주식</t>
  </si>
  <si>
    <t>예금1y</t>
  </si>
  <si>
    <t>예금6m</t>
  </si>
  <si>
    <t>전년도주식</t>
  </si>
  <si>
    <t>불리오달러</t>
  </si>
  <si>
    <t>직접운용달러</t>
  </si>
  <si>
    <t>SGOL</t>
  </si>
  <si>
    <t>PDBC</t>
  </si>
  <si>
    <t>FXI</t>
  </si>
  <si>
    <t>EWZ</t>
  </si>
  <si>
    <t>EWH</t>
  </si>
  <si>
    <t>EWJ</t>
  </si>
  <si>
    <t>EWW</t>
  </si>
  <si>
    <t>EZU</t>
  </si>
  <si>
    <t>EZA</t>
  </si>
  <si>
    <t>SCHE</t>
  </si>
  <si>
    <t>SPGM</t>
  </si>
  <si>
    <t>SPTL</t>
  </si>
  <si>
    <t>SPLG</t>
  </si>
  <si>
    <t>SPHY</t>
  </si>
  <si>
    <t>SPIP</t>
  </si>
  <si>
    <t>VWOB</t>
  </si>
  <si>
    <t>FXE</t>
  </si>
  <si>
    <t>EWG</t>
  </si>
  <si>
    <t>상품명</t>
  </si>
  <si>
    <t>매입수량</t>
  </si>
  <si>
    <t>매입액</t>
  </si>
  <si>
    <t>매도수량</t>
  </si>
  <si>
    <t>나무CMA</t>
  </si>
  <si>
    <t>한투CMA</t>
  </si>
  <si>
    <t>채권</t>
  </si>
  <si>
    <t>해외채권</t>
  </si>
  <si>
    <t>국내채권</t>
  </si>
  <si>
    <t>XLE</t>
  </si>
  <si>
    <t>GOVT</t>
  </si>
  <si>
    <t>Energy Select Sector SPDR</t>
  </si>
  <si>
    <t>ISHARES U.S. Treasury Bond ETF</t>
  </si>
  <si>
    <t>미국국채</t>
  </si>
  <si>
    <t>에너지섹터</t>
  </si>
  <si>
    <t>불리오</t>
  </si>
  <si>
    <t>달러</t>
  </si>
  <si>
    <t>상품</t>
  </si>
  <si>
    <t>한투외화RP</t>
  </si>
  <si>
    <t>나무원화발행어음</t>
  </si>
  <si>
    <t>BOND_KOIN</t>
  </si>
  <si>
    <t>한투외화채권</t>
  </si>
  <si>
    <t>삼척블루파워9</t>
  </si>
  <si>
    <t>SAM_CREDIT_KOIN</t>
  </si>
  <si>
    <t>캐나다주식</t>
  </si>
  <si>
    <t>EWC</t>
  </si>
  <si>
    <t>ISHARES MSCI CANADA FUND</t>
  </si>
  <si>
    <t>평균매입환율</t>
  </si>
  <si>
    <t>미국채 0.125 12/15/23</t>
  </si>
  <si>
    <t>NAVER</t>
    <phoneticPr fontId="7" type="noConversion"/>
  </si>
  <si>
    <t>메리츠캐피탈235-1</t>
    <phoneticPr fontId="7" type="noConversion"/>
  </si>
  <si>
    <t>(약정)한투원화발행어음</t>
    <phoneticPr fontId="7" type="noConversion"/>
  </si>
  <si>
    <t>(약정)한투외화발행어음</t>
    <phoneticPr fontId="7" type="noConversion"/>
  </si>
  <si>
    <t>(수시)한투외화발행어음</t>
    <phoneticPr fontId="7" type="noConversion"/>
  </si>
  <si>
    <t>(수시)한투원화발행어음</t>
    <phoneticPr fontId="7" type="noConversion"/>
  </si>
  <si>
    <t>한국투자증권 직접투자계좌 외화발행어음(약정)</t>
    <phoneticPr fontId="7" type="noConversion"/>
  </si>
  <si>
    <t>한국투자증권 직접투자계좌 외화발행어음(수시)</t>
    <phoneticPr fontId="7" type="noConversion"/>
  </si>
  <si>
    <t>한국투자증권 직접투자계좌 원화발행어음(수시)</t>
    <phoneticPr fontId="7" type="noConversion"/>
  </si>
  <si>
    <t>한국투자증권 직접투자계좌 원화발행어음(약정)</t>
    <phoneticPr fontId="7" type="noConversion"/>
  </si>
  <si>
    <t>세부자산군2</t>
    <phoneticPr fontId="7" type="noConversion"/>
  </si>
  <si>
    <t>선진국</t>
    <phoneticPr fontId="7" type="noConversion"/>
  </si>
  <si>
    <t>신흥국</t>
    <phoneticPr fontId="7" type="noConversion"/>
  </si>
  <si>
    <t>하이일드</t>
    <phoneticPr fontId="7" type="noConversion"/>
  </si>
  <si>
    <t>물가연동</t>
    <phoneticPr fontId="7" type="noConversion"/>
  </si>
  <si>
    <t>원자재</t>
    <phoneticPr fontId="7" type="noConversion"/>
  </si>
  <si>
    <t>에너지</t>
    <phoneticPr fontId="7" type="noConversion"/>
  </si>
  <si>
    <t>현금</t>
    <phoneticPr fontId="7" type="noConversion"/>
  </si>
  <si>
    <t>한투예수금</t>
    <phoneticPr fontId="7" type="noConversion"/>
  </si>
  <si>
    <t>나무예수금</t>
    <phoneticPr fontId="7" type="noConversion"/>
  </si>
  <si>
    <t>나무증권 원화예수금</t>
    <phoneticPr fontId="7" type="noConversion"/>
  </si>
  <si>
    <t>엔화자산</t>
    <phoneticPr fontId="7" type="noConversion"/>
  </si>
  <si>
    <t>엔화자산 원화평가</t>
    <phoneticPr fontId="7" type="noConversion"/>
  </si>
  <si>
    <t>엔화</t>
    <phoneticPr fontId="7" type="noConversion"/>
  </si>
  <si>
    <t>직접운용엔</t>
    <phoneticPr fontId="7" type="noConversion"/>
  </si>
  <si>
    <t>MYWN_KOIN</t>
    <phoneticPr fontId="7" type="noConversion"/>
  </si>
  <si>
    <t>한국투자증권 직접투자계화 엔화예수금</t>
    <phoneticPr fontId="7" type="noConversion"/>
  </si>
  <si>
    <t>일본리츠</t>
    <phoneticPr fontId="7" type="noConversion"/>
  </si>
  <si>
    <t>ISHARES JAPAN REIT ETF</t>
    <phoneticPr fontId="7" type="noConversion"/>
  </si>
  <si>
    <t>부동산</t>
    <phoneticPr fontId="7" type="noConversion"/>
  </si>
  <si>
    <t>외화입출금</t>
    <phoneticPr fontId="7" type="noConversion"/>
  </si>
  <si>
    <t>CASH_KOIN1</t>
    <phoneticPr fontId="7" type="noConversion"/>
  </si>
  <si>
    <t>한투CMA예수금</t>
    <phoneticPr fontId="7" type="noConversion"/>
  </si>
  <si>
    <t>한투ISA예수금</t>
    <phoneticPr fontId="7" type="noConversion"/>
  </si>
  <si>
    <t>한국투자증권 직접투자 원화예수금</t>
    <phoneticPr fontId="7" type="noConversion"/>
  </si>
  <si>
    <t>한국투자증권 CMA 원화예수금</t>
    <phoneticPr fontId="7" type="noConversion"/>
  </si>
  <si>
    <t>한국투자증권 ISA 원화예수금</t>
    <phoneticPr fontId="7" type="noConversion"/>
  </si>
  <si>
    <t>한투CMA</t>
    <phoneticPr fontId="7" type="noConversion"/>
  </si>
  <si>
    <t>한투ISA</t>
    <phoneticPr fontId="7" type="noConversion"/>
  </si>
  <si>
    <t>017940</t>
  </si>
  <si>
    <t>E1</t>
  </si>
  <si>
    <t>한투</t>
  </si>
  <si>
    <t>GLD</t>
  </si>
  <si>
    <t>금2</t>
  </si>
  <si>
    <t>SPDR GOLD TRUST SHARES NPV</t>
  </si>
  <si>
    <t>원화자금유입</t>
  </si>
  <si>
    <t>원화투자회수</t>
  </si>
  <si>
    <t>원화자금유출</t>
  </si>
  <si>
    <t>달러투자회수</t>
  </si>
  <si>
    <t>1월</t>
    <phoneticPr fontId="7" type="noConversion"/>
  </si>
  <si>
    <t>2월</t>
    <phoneticPr fontId="7" type="noConversion"/>
  </si>
  <si>
    <t>3월</t>
    <phoneticPr fontId="7" type="noConversion"/>
  </si>
  <si>
    <t>4월</t>
    <phoneticPr fontId="7" type="noConversion"/>
  </si>
  <si>
    <t>5월</t>
    <phoneticPr fontId="7" type="noConversion"/>
  </si>
  <si>
    <t>6월</t>
  </si>
  <si>
    <t>7월</t>
  </si>
  <si>
    <t>8월</t>
  </si>
  <si>
    <t>9월</t>
  </si>
  <si>
    <t>10월</t>
  </si>
  <si>
    <t>11월</t>
  </si>
  <si>
    <t>12월</t>
    <phoneticPr fontId="7" type="noConversion"/>
  </si>
  <si>
    <t>급여</t>
    <phoneticPr fontId="7" type="noConversion"/>
  </si>
  <si>
    <t>지출</t>
    <phoneticPr fontId="7" type="noConversion"/>
  </si>
  <si>
    <t>순수입</t>
    <phoneticPr fontId="7" type="noConversion"/>
  </si>
  <si>
    <t>합계</t>
    <phoneticPr fontId="7" type="noConversion"/>
  </si>
  <si>
    <t>비중</t>
    <phoneticPr fontId="7" type="noConversion"/>
  </si>
  <si>
    <t>예상순수입분배</t>
    <phoneticPr fontId="7" type="noConversion"/>
  </si>
  <si>
    <t>1476</t>
  </si>
  <si>
    <t>원화투자지출</t>
    <phoneticPr fontId="7" type="noConversion"/>
  </si>
  <si>
    <t>미국하이일드</t>
  </si>
  <si>
    <t>ACE 미국하이일드액티브(H)</t>
  </si>
  <si>
    <t>코스피 IT TR</t>
  </si>
  <si>
    <t>KODEX 200IT TR</t>
  </si>
  <si>
    <t>미국나스닥</t>
  </si>
  <si>
    <t>TIGER 미국나스닥100TR(H)</t>
  </si>
  <si>
    <t>해외주식</t>
  </si>
  <si>
    <t>선진국</t>
  </si>
  <si>
    <t>한투외화채권2</t>
  </si>
  <si>
    <t>BOND_KOIN2</t>
  </si>
  <si>
    <t>미국채 0.25 06/15/24</t>
  </si>
  <si>
    <t>넥스틸</t>
  </si>
  <si>
    <t>KODEX WTI 원유선물(H)</t>
  </si>
  <si>
    <t>092790</t>
  </si>
  <si>
    <t>원유선물</t>
  </si>
  <si>
    <t>에너지</t>
  </si>
  <si>
    <t>중국테크주식</t>
  </si>
  <si>
    <t>TIGER 차이나항셍테크</t>
  </si>
  <si>
    <t>신흥국</t>
  </si>
  <si>
    <t>장부금액</t>
  </si>
  <si>
    <t>물가연동</t>
  </si>
  <si>
    <t>현금</t>
  </si>
  <si>
    <t>외환</t>
  </si>
  <si>
    <t>현금성</t>
  </si>
  <si>
    <t>단기자금</t>
  </si>
  <si>
    <t>(약정)한투외화발행어음</t>
  </si>
  <si>
    <t>OVSCP1_KOIN</t>
  </si>
  <si>
    <t>(수시)한투외화발행어음</t>
  </si>
  <si>
    <t>OVSCP2_KOIN</t>
  </si>
  <si>
    <t>엔화</t>
  </si>
  <si>
    <t>직접운용엔</t>
  </si>
  <si>
    <t>MYWN_KOIN</t>
  </si>
  <si>
    <t>부동산</t>
  </si>
  <si>
    <t>일본리츠</t>
  </si>
  <si>
    <t>한투CMA예수금</t>
  </si>
  <si>
    <t>CASH_KOIN2</t>
  </si>
  <si>
    <t>신협</t>
  </si>
  <si>
    <t>나무예수금</t>
  </si>
  <si>
    <t>CASH_NAMU</t>
  </si>
  <si>
    <t>한투ISA</t>
  </si>
  <si>
    <t>한투ISA예수금</t>
  </si>
  <si>
    <t>CASH_KOIN3</t>
  </si>
  <si>
    <t>한투예수금</t>
  </si>
  <si>
    <t>CASH_KOIN1</t>
  </si>
  <si>
    <t>메리츠캐피탈235-1</t>
  </si>
  <si>
    <t>MERI_CREDIT_KOIN</t>
  </si>
  <si>
    <t>NAVER</t>
  </si>
  <si>
    <t>035420</t>
  </si>
  <si>
    <t>448300</t>
  </si>
  <si>
    <t>261220</t>
  </si>
  <si>
    <t>455660</t>
  </si>
  <si>
    <t>371160</t>
  </si>
  <si>
    <t>해외투자</t>
  </si>
  <si>
    <t>외화자산</t>
  </si>
  <si>
    <t>엔화자산</t>
  </si>
  <si>
    <t>JPYAST</t>
  </si>
  <si>
    <t>363580</t>
  </si>
  <si>
    <t>(약정)한투원화발행어음</t>
  </si>
  <si>
    <t>CP1_KOIN</t>
  </si>
  <si>
    <t>한증금</t>
  </si>
  <si>
    <t>롯데케미칼</t>
  </si>
  <si>
    <t>(수시)한투원화발행어음</t>
  </si>
  <si>
    <t>CP2_KOIN</t>
  </si>
  <si>
    <t>달러자산</t>
  </si>
  <si>
    <t>운용수익률</t>
  </si>
  <si>
    <t>총손익</t>
  </si>
  <si>
    <t>평가수익률</t>
  </si>
  <si>
    <t>평가손익</t>
  </si>
  <si>
    <t>평가금액</t>
  </si>
  <si>
    <t>세부자산군2</t>
  </si>
  <si>
    <t>세부자산군</t>
  </si>
  <si>
    <t>자산군</t>
  </si>
  <si>
    <t>실현수익률</t>
  </si>
  <si>
    <t>실현손익</t>
  </si>
  <si>
    <t>비용</t>
  </si>
  <si>
    <t>수익</t>
  </si>
  <si>
    <t>평잔</t>
  </si>
  <si>
    <t>보유수량</t>
  </si>
  <si>
    <t>계좌</t>
  </si>
  <si>
    <t>통화</t>
  </si>
  <si>
    <t>거래일자</t>
  </si>
  <si>
    <t>기초평가손익</t>
    <phoneticPr fontId="7" type="noConversion"/>
  </si>
  <si>
    <t>평가금액</t>
    <phoneticPr fontId="7" type="noConversion"/>
  </si>
  <si>
    <t>코스피 TR</t>
    <phoneticPr fontId="7" type="noConversion"/>
  </si>
  <si>
    <t>KODEX 코스피 TR</t>
    <phoneticPr fontId="7" type="noConversion"/>
  </si>
  <si>
    <t>한투</t>
    <phoneticPr fontId="7" type="noConversion"/>
  </si>
  <si>
    <t>원화</t>
    <phoneticPr fontId="7" type="noConversion"/>
  </si>
  <si>
    <t>주식</t>
    <phoneticPr fontId="7" type="noConversion"/>
  </si>
  <si>
    <t>국내주식</t>
    <phoneticPr fontId="7" type="noConversion"/>
  </si>
  <si>
    <t>종목코드</t>
    <phoneticPr fontId="7" type="noConversion"/>
  </si>
  <si>
    <t>종목명</t>
    <phoneticPr fontId="7" type="noConversion"/>
  </si>
  <si>
    <t>상품명</t>
    <phoneticPr fontId="7" type="noConversion"/>
  </si>
  <si>
    <t>계좌</t>
    <phoneticPr fontId="7" type="noConversion"/>
  </si>
  <si>
    <t>자산군</t>
    <phoneticPr fontId="7" type="noConversion"/>
  </si>
  <si>
    <t>세부자산군</t>
    <phoneticPr fontId="7" type="noConversion"/>
  </si>
  <si>
    <t>CASH_NHB</t>
    <phoneticPr fontId="7" type="noConversion"/>
  </si>
  <si>
    <t>농협현금성자산</t>
    <phoneticPr fontId="7" type="noConversion"/>
  </si>
  <si>
    <t>농협IRP</t>
    <phoneticPr fontId="7" type="noConversion"/>
  </si>
  <si>
    <t>원화</t>
    <phoneticPr fontId="7" type="noConversion"/>
  </si>
  <si>
    <t>채권</t>
    <phoneticPr fontId="7" type="noConversion"/>
  </si>
  <si>
    <t>국내채권</t>
    <phoneticPr fontId="7" type="noConversion"/>
  </si>
  <si>
    <t>신한정기예금1Y</t>
    <phoneticPr fontId="7" type="noConversion"/>
  </si>
  <si>
    <t>다올정기예금1Y</t>
    <phoneticPr fontId="7" type="noConversion"/>
  </si>
  <si>
    <t>D1Y_SHB</t>
    <phoneticPr fontId="7" type="noConversion"/>
  </si>
  <si>
    <t>D1Y_DOB</t>
    <phoneticPr fontId="7" type="noConversion"/>
  </si>
  <si>
    <t>KODEX 코스피</t>
    <phoneticPr fontId="7" type="noConversion"/>
  </si>
  <si>
    <t>주식</t>
    <phoneticPr fontId="7" type="noConversion"/>
  </si>
  <si>
    <t>국내주식</t>
    <phoneticPr fontId="7" type="noConversion"/>
  </si>
  <si>
    <t>평가금액</t>
    <phoneticPr fontId="7" type="noConversion"/>
  </si>
  <si>
    <t>삼성화재 금리연동형</t>
    <phoneticPr fontId="7" type="noConversion"/>
  </si>
  <si>
    <t>삼성화재 이율보증형 1Y</t>
    <phoneticPr fontId="7" type="noConversion"/>
  </si>
  <si>
    <t>삼성퇴직연금Active채권종합증권자투자신탁 제1호(채권)_Ce</t>
    <phoneticPr fontId="7" type="noConversion"/>
  </si>
  <si>
    <t>미래에셋퇴직플랜KRX100인덱스안정형40증권자투자신탁1호(채권혼합)_C-P2e</t>
    <phoneticPr fontId="7" type="noConversion"/>
  </si>
  <si>
    <t>신영퇴직연금배당40증권자투자신탁(채권혼합)_C-E</t>
    <phoneticPr fontId="7" type="noConversion"/>
  </si>
  <si>
    <t>신영퇴직연금배당주식증권자투자신탁(주식)_C-E</t>
    <phoneticPr fontId="7" type="noConversion"/>
  </si>
  <si>
    <t>한국투자TDF알아서2045증권투자신탁(주식혼합-재간접형)_C-Re</t>
    <phoneticPr fontId="7" type="noConversion"/>
  </si>
  <si>
    <t>KB미국대표성장주증권자투자신탁(주식)(H)C-퇴직e</t>
    <phoneticPr fontId="7" type="noConversion"/>
  </si>
  <si>
    <t>삼성미국인덱스증권자투자신탁H(주식)_Cpe(퇴직연금)</t>
    <phoneticPr fontId="7" type="noConversion"/>
  </si>
  <si>
    <t>삼성DC</t>
    <phoneticPr fontId="7" type="noConversion"/>
  </si>
  <si>
    <t>삼성화재신탁 대기자금</t>
    <phoneticPr fontId="7" type="noConversion"/>
  </si>
  <si>
    <t>삼성퇴직연금인덱스증권투자신탁제1호(주식)_Ce</t>
    <phoneticPr fontId="7" type="noConversion"/>
  </si>
  <si>
    <t>주식</t>
    <phoneticPr fontId="7" type="noConversion"/>
  </si>
  <si>
    <t>국내주식</t>
    <phoneticPr fontId="7" type="noConversion"/>
  </si>
  <si>
    <t>혼합</t>
    <phoneticPr fontId="7" type="noConversion"/>
  </si>
  <si>
    <t>혼합</t>
    <phoneticPr fontId="7" type="noConversion"/>
  </si>
  <si>
    <t>주식</t>
    <phoneticPr fontId="7" type="noConversion"/>
  </si>
  <si>
    <t>해외주식</t>
    <phoneticPr fontId="7" type="noConversion"/>
  </si>
  <si>
    <t>FUND1</t>
  </si>
  <si>
    <t>FUND1</t>
    <phoneticPr fontId="7" type="noConversion"/>
  </si>
  <si>
    <t>FUND2</t>
  </si>
  <si>
    <t>FUND2</t>
    <phoneticPr fontId="7" type="noConversion"/>
  </si>
  <si>
    <t>FUND3</t>
  </si>
  <si>
    <t>FUND3</t>
    <phoneticPr fontId="7" type="noConversion"/>
  </si>
  <si>
    <t>FUND4</t>
  </si>
  <si>
    <t>FUND5</t>
  </si>
  <si>
    <t>FUND6</t>
  </si>
  <si>
    <t>FUND7</t>
  </si>
  <si>
    <t>FUND8</t>
  </si>
  <si>
    <t>CASH_SHI</t>
  </si>
  <si>
    <t>CASH_SHI</t>
    <phoneticPr fontId="7" type="noConversion"/>
  </si>
  <si>
    <t>DF_SHI</t>
  </si>
  <si>
    <t>DF_SHI</t>
    <phoneticPr fontId="7" type="noConversion"/>
  </si>
  <si>
    <t>D1Y_SHI</t>
  </si>
  <si>
    <t>D1Y_SHI</t>
    <phoneticPr fontId="7" type="noConversion"/>
  </si>
  <si>
    <t>삼성정기예금1년</t>
    <phoneticPr fontId="7" type="noConversion"/>
  </si>
  <si>
    <t>삼성변동예금</t>
    <phoneticPr fontId="7" type="noConversion"/>
  </si>
  <si>
    <t>삼성주가지수펀드</t>
    <phoneticPr fontId="7" type="noConversion"/>
  </si>
  <si>
    <t>삼성채권혼합펀드</t>
    <phoneticPr fontId="7" type="noConversion"/>
  </si>
  <si>
    <t>미래채권혼합펀드</t>
    <phoneticPr fontId="7" type="noConversion"/>
  </si>
  <si>
    <t>신영채권혼합펀드</t>
    <phoneticPr fontId="7" type="noConversion"/>
  </si>
  <si>
    <t>신영주식혼합펀드</t>
    <phoneticPr fontId="7" type="noConversion"/>
  </si>
  <si>
    <t>한투TDF</t>
    <phoneticPr fontId="7" type="noConversion"/>
  </si>
  <si>
    <t>KB미국성장주펀드</t>
    <phoneticPr fontId="7" type="noConversion"/>
  </si>
  <si>
    <t>삼성미국주가지수펀드</t>
    <phoneticPr fontId="7" type="noConversion"/>
  </si>
  <si>
    <t>삼성현금</t>
    <phoneticPr fontId="7" type="noConversion"/>
  </si>
  <si>
    <t>농협현금</t>
    <phoneticPr fontId="7" type="noConversion"/>
  </si>
  <si>
    <t>CASH_NHB</t>
  </si>
  <si>
    <t>D1Y_SHB</t>
  </si>
  <si>
    <t>D1Y_DOB</t>
  </si>
  <si>
    <t>다올</t>
    <phoneticPr fontId="7" type="noConversion"/>
  </si>
  <si>
    <t>가입일</t>
    <phoneticPr fontId="7" type="noConversion"/>
  </si>
  <si>
    <t>만기일</t>
    <phoneticPr fontId="7" type="noConversion"/>
  </si>
  <si>
    <t>원금</t>
    <phoneticPr fontId="7" type="noConversion"/>
  </si>
  <si>
    <t>평가금</t>
    <phoneticPr fontId="7" type="noConversion"/>
  </si>
  <si>
    <t>거래일자</t>
    <phoneticPr fontId="7" type="noConversion"/>
  </si>
  <si>
    <t>종목명</t>
    <phoneticPr fontId="7" type="noConversion"/>
  </si>
  <si>
    <t>매입비용</t>
    <phoneticPr fontId="7" type="noConversion"/>
  </si>
  <si>
    <t>매도액</t>
    <phoneticPr fontId="7" type="noConversion"/>
  </si>
  <si>
    <t>이자배당액</t>
    <phoneticPr fontId="7" type="noConversion"/>
  </si>
  <si>
    <t>현금수입</t>
    <phoneticPr fontId="7" type="noConversion"/>
  </si>
  <si>
    <t>매매수익</t>
    <phoneticPr fontId="7" type="noConversion"/>
  </si>
  <si>
    <t>매도비용</t>
    <phoneticPr fontId="7" type="noConversion"/>
  </si>
  <si>
    <t>순수익</t>
    <phoneticPr fontId="7" type="noConversion"/>
  </si>
  <si>
    <t>입출금</t>
    <phoneticPr fontId="7" type="noConversion"/>
  </si>
  <si>
    <t>누적</t>
    <phoneticPr fontId="7" type="noConversion"/>
  </si>
  <si>
    <t>매입일</t>
    <phoneticPr fontId="7" type="noConversion"/>
  </si>
  <si>
    <t>만기일</t>
    <phoneticPr fontId="7" type="noConversion"/>
  </si>
  <si>
    <t>매입금액</t>
    <phoneticPr fontId="7" type="noConversion"/>
  </si>
  <si>
    <t>예금1년</t>
    <phoneticPr fontId="7" type="noConversion"/>
  </si>
  <si>
    <t>금리연동형</t>
    <phoneticPr fontId="7" type="noConversion"/>
  </si>
  <si>
    <t>엔투저축연금</t>
    <phoneticPr fontId="7" type="noConversion"/>
  </si>
  <si>
    <t>현금성</t>
    <phoneticPr fontId="7" type="noConversion"/>
  </si>
  <si>
    <t>원화</t>
    <phoneticPr fontId="7" type="noConversion"/>
  </si>
  <si>
    <t>CASH_NHI</t>
    <phoneticPr fontId="7" type="noConversion"/>
  </si>
  <si>
    <t>엔투현금</t>
    <phoneticPr fontId="7" type="noConversion"/>
  </si>
  <si>
    <t>NH투자증권 예수금</t>
    <phoneticPr fontId="7" type="noConversion"/>
  </si>
  <si>
    <t>통화</t>
    <phoneticPr fontId="7" type="noConversion"/>
  </si>
  <si>
    <t>원화</t>
    <phoneticPr fontId="7" type="noConversion"/>
  </si>
  <si>
    <t>원화</t>
    <phoneticPr fontId="7" type="noConversion"/>
  </si>
  <si>
    <t>원화</t>
    <phoneticPr fontId="7" type="noConversion"/>
  </si>
  <si>
    <t>기초평가손익</t>
    <phoneticPr fontId="7" type="noConversion"/>
  </si>
  <si>
    <t>세부자산군2</t>
    <phoneticPr fontId="7" type="noConversion"/>
  </si>
  <si>
    <t>2084</t>
  </si>
  <si>
    <t>2084</t>
    <phoneticPr fontId="7" type="noConversion"/>
  </si>
  <si>
    <t>일본배당주</t>
    <phoneticPr fontId="7" type="noConversion"/>
  </si>
  <si>
    <t>NEXT FUNDS JAPAN HIGH DIVIDEND EQUITY ACTIVE EXCHANGE TRADED</t>
    <phoneticPr fontId="7" type="noConversion"/>
  </si>
  <si>
    <t>한투</t>
    <phoneticPr fontId="7" type="noConversion"/>
  </si>
  <si>
    <t>엔화</t>
    <phoneticPr fontId="7" type="noConversion"/>
  </si>
  <si>
    <t>주식</t>
    <phoneticPr fontId="7" type="noConversion"/>
  </si>
  <si>
    <t>해외주식</t>
    <phoneticPr fontId="7" type="noConversion"/>
  </si>
  <si>
    <t>359210</t>
  </si>
  <si>
    <t>KBSTAR 미국단기투자등급회사채액티비</t>
    <phoneticPr fontId="7" type="noConversion"/>
  </si>
  <si>
    <t>미국단기회사채</t>
    <phoneticPr fontId="7" type="noConversion"/>
  </si>
  <si>
    <t>글로벌AI주식</t>
    <phoneticPr fontId="7" type="noConversion"/>
  </si>
  <si>
    <t>TIMEFOLIO 글로벌AI인공지능액티브</t>
    <phoneticPr fontId="7" type="noConversion"/>
  </si>
  <si>
    <t>미국배당주</t>
    <phoneticPr fontId="7" type="noConversion"/>
  </si>
  <si>
    <t>TIGER 미국배당다우존스</t>
    <phoneticPr fontId="7" type="noConversion"/>
  </si>
  <si>
    <t>437350</t>
  </si>
  <si>
    <t>456600</t>
  </si>
  <si>
    <t>458730</t>
  </si>
  <si>
    <t>EWH</t>
    <phoneticPr fontId="7" type="noConversion"/>
  </si>
  <si>
    <t>EWZ</t>
    <phoneticPr fontId="7" type="noConversion"/>
  </si>
  <si>
    <t>FXI</t>
    <phoneticPr fontId="7" type="noConversion"/>
  </si>
  <si>
    <t>SCHE</t>
    <phoneticPr fontId="7" type="noConversion"/>
  </si>
  <si>
    <t>SPHY</t>
    <phoneticPr fontId="7" type="noConversion"/>
  </si>
  <si>
    <t>EWW</t>
    <phoneticPr fontId="7" type="noConversion"/>
  </si>
  <si>
    <t>SPTL</t>
    <phoneticPr fontId="7" type="noConversion"/>
  </si>
  <si>
    <t>EWC</t>
    <phoneticPr fontId="7" type="noConversion"/>
  </si>
  <si>
    <t>EZU</t>
    <phoneticPr fontId="7" type="noConversion"/>
  </si>
  <si>
    <t>PAVE</t>
    <phoneticPr fontId="7" type="noConversion"/>
  </si>
  <si>
    <t>VNQ</t>
    <phoneticPr fontId="7" type="noConversion"/>
  </si>
  <si>
    <t>미국부동산</t>
    <phoneticPr fontId="7" type="noConversion"/>
  </si>
  <si>
    <t>VANGUARD REAL ESTATE ETF</t>
    <phoneticPr fontId="7" type="noConversion"/>
  </si>
  <si>
    <t>한투</t>
    <phoneticPr fontId="7" type="noConversion"/>
  </si>
  <si>
    <t>대체자산</t>
    <phoneticPr fontId="7" type="noConversion"/>
  </si>
  <si>
    <t>부동산</t>
    <phoneticPr fontId="7" type="noConversion"/>
  </si>
  <si>
    <t>GLOBAL X US INFRASTRUCTURE DEVELOPMENT ETF</t>
    <phoneticPr fontId="7" type="noConversion"/>
  </si>
  <si>
    <t>인프라</t>
    <phoneticPr fontId="7" type="noConversion"/>
  </si>
  <si>
    <t>미국인프라</t>
    <phoneticPr fontId="7" type="noConversion"/>
  </si>
  <si>
    <t>US91282CCG4</t>
    <phoneticPr fontId="7" type="noConversion"/>
  </si>
  <si>
    <t>MYDO_KOIN</t>
    <phoneticPr fontId="7" type="noConversion"/>
  </si>
  <si>
    <t>KODEX 국고채3년</t>
    <phoneticPr fontId="7" type="noConversion"/>
  </si>
  <si>
    <t>153130</t>
    <phoneticPr fontId="7" type="noConversion"/>
  </si>
  <si>
    <t>437080</t>
    <phoneticPr fontId="7" type="noConversion"/>
  </si>
  <si>
    <t>411060</t>
    <phoneticPr fontId="7" type="noConversion"/>
  </si>
  <si>
    <t>329200</t>
    <phoneticPr fontId="7" type="noConversion"/>
  </si>
  <si>
    <t>182480</t>
    <phoneticPr fontId="7" type="noConversion"/>
  </si>
  <si>
    <t>310960</t>
    <phoneticPr fontId="7" type="noConversion"/>
  </si>
  <si>
    <t>455850</t>
    <phoneticPr fontId="7" type="noConversion"/>
  </si>
  <si>
    <t>437350</t>
    <phoneticPr fontId="7" type="noConversion"/>
  </si>
  <si>
    <t>456600</t>
    <phoneticPr fontId="7" type="noConversion"/>
  </si>
  <si>
    <t>458730</t>
    <phoneticPr fontId="7" type="noConversion"/>
  </si>
  <si>
    <t>KODEX 단기채권</t>
    <phoneticPr fontId="7" type="noConversion"/>
  </si>
  <si>
    <t>KODEX 미국종합채권ESG액티브(H)</t>
    <phoneticPr fontId="7" type="noConversion"/>
  </si>
  <si>
    <t>ACE KRX 금현물</t>
    <phoneticPr fontId="7" type="noConversion"/>
  </si>
  <si>
    <t>TIGER 리츠부동산인프라</t>
    <phoneticPr fontId="7" type="noConversion"/>
  </si>
  <si>
    <t>SOL 반도체소부장루</t>
    <phoneticPr fontId="7" type="noConversion"/>
  </si>
  <si>
    <t>KBSTAR 미국단기투자등급회사채액티브</t>
    <phoneticPr fontId="7" type="noConversion"/>
  </si>
  <si>
    <t>KODEX 미국S&amp;P500(H)</t>
    <phoneticPr fontId="7" type="noConversion"/>
  </si>
  <si>
    <t>TIMEFOLIO 글로벌AI인공지능액티브</t>
    <phoneticPr fontId="7" type="noConversion"/>
  </si>
  <si>
    <t>TIGER 미국배당다우존스</t>
    <phoneticPr fontId="7" type="noConversion"/>
  </si>
  <si>
    <t>TIGER 200TR</t>
    <phoneticPr fontId="7" type="noConversion"/>
  </si>
  <si>
    <t>금</t>
    <phoneticPr fontId="7" type="noConversion"/>
  </si>
  <si>
    <t>리츠</t>
    <phoneticPr fontId="7" type="noConversion"/>
  </si>
  <si>
    <t>국내주식 반도체</t>
    <phoneticPr fontId="7" type="noConversion"/>
  </si>
  <si>
    <t>국내주식 대형주</t>
    <phoneticPr fontId="7" type="noConversion"/>
  </si>
  <si>
    <t>국내채권 중기</t>
    <phoneticPr fontId="7" type="noConversion"/>
  </si>
  <si>
    <t>국내채권 단기</t>
    <phoneticPr fontId="7" type="noConversion"/>
  </si>
  <si>
    <t>미국채권 종합</t>
    <phoneticPr fontId="7" type="noConversion"/>
  </si>
  <si>
    <t>미국채권 투자등급</t>
    <phoneticPr fontId="7" type="noConversion"/>
  </si>
  <si>
    <t>미국주식 S&amp;P</t>
    <phoneticPr fontId="7" type="noConversion"/>
  </si>
  <si>
    <t>글로벌 인공지능</t>
    <phoneticPr fontId="7" type="noConversion"/>
  </si>
  <si>
    <t>미국배당주</t>
    <phoneticPr fontId="7" type="noConversion"/>
  </si>
  <si>
    <t>채권</t>
    <phoneticPr fontId="7" type="noConversion"/>
  </si>
  <si>
    <t>채권</t>
    <phoneticPr fontId="7" type="noConversion"/>
  </si>
  <si>
    <t>채권</t>
    <phoneticPr fontId="7" type="noConversion"/>
  </si>
  <si>
    <t>대체자산</t>
    <phoneticPr fontId="7" type="noConversion"/>
  </si>
  <si>
    <t>주식</t>
    <phoneticPr fontId="7" type="noConversion"/>
  </si>
  <si>
    <t>주식</t>
    <phoneticPr fontId="7" type="noConversion"/>
  </si>
  <si>
    <t>주식</t>
    <phoneticPr fontId="7" type="noConversion"/>
  </si>
  <si>
    <t>주식</t>
    <phoneticPr fontId="7" type="noConversion"/>
  </si>
  <si>
    <t>국내채권</t>
    <phoneticPr fontId="7" type="noConversion"/>
  </si>
  <si>
    <t>해외채권</t>
    <phoneticPr fontId="7" type="noConversion"/>
  </si>
  <si>
    <t>국내주식</t>
    <phoneticPr fontId="7" type="noConversion"/>
  </si>
  <si>
    <t>해외주식</t>
    <phoneticPr fontId="7" type="noConversion"/>
  </si>
  <si>
    <t>부동산</t>
    <phoneticPr fontId="7" type="noConversion"/>
  </si>
  <si>
    <t>상품</t>
    <phoneticPr fontId="7" type="noConversion"/>
  </si>
  <si>
    <t>CASH_NHI</t>
  </si>
  <si>
    <t>114260</t>
  </si>
  <si>
    <t>153130</t>
  </si>
  <si>
    <t>437080</t>
  </si>
  <si>
    <t>411060</t>
  </si>
  <si>
    <t>329200</t>
  </si>
  <si>
    <t>182480</t>
  </si>
  <si>
    <t>310960</t>
  </si>
  <si>
    <t>455850</t>
  </si>
  <si>
    <t>KODEX 코스피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</si>
</sst>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_-* #,##0.00_-;\-* #,##0.00_-;_-* &quot;-&quot;_-;_-@_-"/>
    <numFmt numFmtId="177" formatCode="0_);[Red]\(0\)"/>
    <numFmt numFmtId="178" formatCode="yyyy\-mm\-dd\ hh:mm:ss"/>
    <numFmt numFmtId="179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0" borderId="0"/>
    <xf numFmtId="0" fontId="1" fillId="0" borderId="0"/>
    <xf numFmtId="41" fontId="6" fillId="0" borderId="0" applyFont="0" applyFill="0" applyBorder="0" applyAlignment="0" applyProtection="0">
      <alignment vertical="center"/>
    </xf>
    <xf numFmtId="0" fontId="1" fillId="0" borderId="0"/>
  </cellStyleXfs>
  <cellXfs count="127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41" fontId="0" fillId="0" borderId="0" xfId="1" applyFon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1" applyNumberFormat="1" applyFont="1">
      <alignment vertical="center"/>
    </xf>
    <xf numFmtId="0" fontId="8" fillId="0" borderId="0" xfId="1" applyNumberFormat="1" applyFon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1" applyNumberFormat="1" applyFont="1" applyAlignment="1">
      <alignment vertical="center"/>
    </xf>
    <xf numFmtId="0" fontId="8" fillId="0" borderId="0" xfId="1" applyNumberFormat="1" applyFont="1" applyAlignment="1">
      <alignment vertical="center"/>
    </xf>
    <xf numFmtId="14" fontId="9" fillId="2" borderId="3" xfId="0" applyNumberFormat="1" applyFont="1" applyFill="1" applyBorder="1" applyAlignment="1">
      <alignment horizontal="center" vertical="center"/>
    </xf>
    <xf numFmtId="14" fontId="9" fillId="2" borderId="3" xfId="0" applyNumberFormat="1" applyFont="1" applyFill="1" applyBorder="1" applyAlignment="1">
      <alignment horizontal="left" vertical="center"/>
    </xf>
    <xf numFmtId="0" fontId="9" fillId="2" borderId="3" xfId="1" applyNumberFormat="1" applyFont="1" applyFill="1" applyBorder="1" applyAlignment="1">
      <alignment horizontal="center" vertical="center"/>
    </xf>
    <xf numFmtId="41" fontId="9" fillId="2" borderId="3" xfId="1" applyNumberFormat="1" applyFont="1" applyFill="1" applyBorder="1" applyAlignment="1">
      <alignment horizontal="center" vertical="center"/>
    </xf>
    <xf numFmtId="41" fontId="9" fillId="2" borderId="4" xfId="1" applyNumberFormat="1" applyFont="1" applyFill="1" applyBorder="1" applyAlignment="1">
      <alignment horizontal="center" vertical="center"/>
    </xf>
    <xf numFmtId="41" fontId="0" fillId="2" borderId="3" xfId="1" applyFont="1" applyFill="1" applyBorder="1" applyAlignment="1">
      <alignment horizontal="center" vertical="center"/>
    </xf>
    <xf numFmtId="41" fontId="5" fillId="2" borderId="3" xfId="1" applyFont="1" applyFill="1" applyBorder="1" applyAlignment="1">
      <alignment horizontal="center" vertical="center"/>
    </xf>
    <xf numFmtId="41" fontId="5" fillId="2" borderId="4" xfId="1" applyFont="1" applyFill="1" applyBorder="1" applyAlignment="1">
      <alignment horizontal="center" vertical="center"/>
    </xf>
    <xf numFmtId="41" fontId="4" fillId="2" borderId="3" xfId="1" applyFont="1" applyFill="1" applyBorder="1" applyAlignment="1">
      <alignment horizontal="center" vertical="center"/>
    </xf>
    <xf numFmtId="14" fontId="0" fillId="0" borderId="1" xfId="0" applyNumberFormat="1" applyFont="1" applyFill="1" applyBorder="1">
      <alignment vertical="center"/>
    </xf>
    <xf numFmtId="0" fontId="0" fillId="0" borderId="1" xfId="1" applyNumberFormat="1" applyFont="1" applyFill="1" applyBorder="1">
      <alignment vertical="center"/>
    </xf>
    <xf numFmtId="0" fontId="8" fillId="0" borderId="1" xfId="1" applyNumberFormat="1" applyFont="1" applyFill="1" applyBorder="1">
      <alignment vertical="center"/>
    </xf>
    <xf numFmtId="0" fontId="8" fillId="0" borderId="2" xfId="1" applyNumberFormat="1" applyFont="1" applyFill="1" applyBorder="1">
      <alignment vertical="center"/>
    </xf>
    <xf numFmtId="0" fontId="0" fillId="0" borderId="0" xfId="0" applyNumberFormat="1" applyFill="1">
      <alignment vertical="center"/>
    </xf>
    <xf numFmtId="0" fontId="0" fillId="0" borderId="5" xfId="1" applyNumberFormat="1" applyFont="1" applyFill="1" applyBorder="1">
      <alignment vertical="center"/>
    </xf>
    <xf numFmtId="0" fontId="8" fillId="0" borderId="5" xfId="1" applyNumberFormat="1" applyFont="1" applyFill="1" applyBorder="1">
      <alignment vertical="center"/>
    </xf>
    <xf numFmtId="0" fontId="8" fillId="0" borderId="6" xfId="1" applyNumberFormat="1" applyFont="1" applyFill="1" applyBorder="1">
      <alignment vertical="center"/>
    </xf>
    <xf numFmtId="0" fontId="0" fillId="0" borderId="0" xfId="0" applyNumberFormat="1" applyFill="1" applyBorder="1">
      <alignment vertical="center"/>
    </xf>
    <xf numFmtId="49" fontId="0" fillId="0" borderId="0" xfId="0" applyNumberFormat="1">
      <alignment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7" fontId="0" fillId="0" borderId="0" xfId="0" applyNumberFormat="1">
      <alignment vertical="center"/>
    </xf>
    <xf numFmtId="177" fontId="9" fillId="2" borderId="3" xfId="1" applyNumberFormat="1" applyFont="1" applyFill="1" applyBorder="1" applyAlignment="1">
      <alignment horizontal="center" vertical="center"/>
    </xf>
    <xf numFmtId="177" fontId="4" fillId="2" borderId="3" xfId="1" applyNumberFormat="1" applyFont="1" applyFill="1" applyBorder="1" applyAlignment="1">
      <alignment vertical="center"/>
    </xf>
    <xf numFmtId="177" fontId="0" fillId="0" borderId="0" xfId="0" applyNumberFormat="1" applyAlignment="1">
      <alignment vertical="center"/>
    </xf>
    <xf numFmtId="177" fontId="0" fillId="0" borderId="0" xfId="1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9" fillId="2" borderId="3" xfId="1" applyNumberFormat="1" applyFont="1" applyFill="1" applyBorder="1" applyAlignment="1">
      <alignment vertical="center"/>
    </xf>
    <xf numFmtId="0" fontId="9" fillId="2" borderId="3" xfId="0" applyNumberFormat="1" applyFont="1" applyFill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8" fillId="0" borderId="1" xfId="1" applyNumberFormat="1" applyFont="1" applyFill="1" applyBorder="1" applyAlignment="1">
      <alignment vertical="center"/>
    </xf>
    <xf numFmtId="0" fontId="8" fillId="0" borderId="5" xfId="1" applyNumberFormat="1" applyFont="1" applyFill="1" applyBorder="1" applyAlignment="1">
      <alignment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 applyFont="1" applyAlignment="1">
      <alignment horizontal="left" vertical="center"/>
    </xf>
    <xf numFmtId="0" fontId="0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41" fontId="0" fillId="0" borderId="0" xfId="1" applyFont="1">
      <alignment vertical="center"/>
    </xf>
    <xf numFmtId="176" fontId="0" fillId="0" borderId="0" xfId="1" applyNumberFormat="1" applyFont="1" applyAlignment="1">
      <alignment horizontal="center" vertical="center"/>
    </xf>
    <xf numFmtId="176" fontId="0" fillId="0" borderId="0" xfId="1" applyNumberFormat="1" applyFont="1">
      <alignment vertical="center"/>
    </xf>
    <xf numFmtId="0" fontId="9" fillId="2" borderId="4" xfId="1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left" vertical="center"/>
    </xf>
    <xf numFmtId="41" fontId="0" fillId="0" borderId="0" xfId="0" applyNumberFormat="1">
      <alignment vertical="center"/>
    </xf>
    <xf numFmtId="0" fontId="3" fillId="0" borderId="0" xfId="2"/>
    <xf numFmtId="178" fontId="3" fillId="0" borderId="0" xfId="2" applyNumberFormat="1"/>
    <xf numFmtId="0" fontId="10" fillId="0" borderId="7" xfId="2" applyFont="1" applyBorder="1" applyAlignment="1">
      <alignment horizontal="center" vertical="top"/>
    </xf>
    <xf numFmtId="49" fontId="10" fillId="0" borderId="7" xfId="2" applyNumberFormat="1" applyFont="1" applyBorder="1" applyAlignment="1">
      <alignment horizontal="center" vertical="top"/>
    </xf>
    <xf numFmtId="49" fontId="3" fillId="0" borderId="0" xfId="2" applyNumberFormat="1"/>
    <xf numFmtId="0" fontId="8" fillId="0" borderId="0" xfId="1" applyNumberFormat="1" applyFont="1" applyAlignment="1">
      <alignment horizontal="center" vertical="center"/>
    </xf>
    <xf numFmtId="177" fontId="0" fillId="0" borderId="0" xfId="0" applyNumberFormat="1" applyFont="1" applyAlignment="1">
      <alignment vertical="center"/>
    </xf>
    <xf numFmtId="0" fontId="0" fillId="0" borderId="0" xfId="0" applyNumberFormat="1" applyBorder="1">
      <alignment vertical="center"/>
    </xf>
    <xf numFmtId="14" fontId="0" fillId="0" borderId="0" xfId="0" applyNumberFormat="1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1" applyNumberFormat="1" applyFont="1" applyBorder="1">
      <alignment vertical="center"/>
    </xf>
    <xf numFmtId="177" fontId="0" fillId="0" borderId="0" xfId="0" applyNumberFormat="1" applyBorder="1">
      <alignment vertical="center"/>
    </xf>
    <xf numFmtId="0" fontId="0" fillId="0" borderId="5" xfId="1" applyNumberFormat="1" applyFont="1" applyBorder="1">
      <alignment vertical="center"/>
    </xf>
    <xf numFmtId="0" fontId="0" fillId="0" borderId="0" xfId="0" applyBorder="1">
      <alignment vertical="center"/>
    </xf>
    <xf numFmtId="177" fontId="9" fillId="2" borderId="3" xfId="1" applyNumberFormat="1" applyFont="1" applyFill="1" applyBorder="1" applyAlignment="1">
      <alignment vertical="center"/>
    </xf>
    <xf numFmtId="14" fontId="0" fillId="3" borderId="5" xfId="0" applyNumberFormat="1" applyFont="1" applyFill="1" applyBorder="1" applyAlignment="1">
      <alignment horizontal="center" vertical="center"/>
    </xf>
    <xf numFmtId="0" fontId="0" fillId="3" borderId="5" xfId="0" applyNumberFormat="1" applyFont="1" applyFill="1" applyBorder="1" applyAlignment="1">
      <alignment horizontal="center" vertical="center"/>
    </xf>
    <xf numFmtId="14" fontId="0" fillId="3" borderId="5" xfId="0" applyNumberFormat="1" applyFont="1" applyFill="1" applyBorder="1" applyAlignment="1">
      <alignment horizontal="left" vertical="center"/>
    </xf>
    <xf numFmtId="177" fontId="0" fillId="3" borderId="5" xfId="1" applyNumberFormat="1" applyFont="1" applyFill="1" applyBorder="1" applyAlignment="1">
      <alignment vertical="center"/>
    </xf>
    <xf numFmtId="0" fontId="0" fillId="3" borderId="5" xfId="1" applyNumberFormat="1" applyFont="1" applyFill="1" applyBorder="1" applyAlignment="1">
      <alignment horizontal="center" vertical="center"/>
    </xf>
    <xf numFmtId="0" fontId="8" fillId="3" borderId="5" xfId="1" applyNumberFormat="1" applyFont="1" applyFill="1" applyBorder="1" applyAlignment="1">
      <alignment horizontal="center" vertical="center"/>
    </xf>
    <xf numFmtId="0" fontId="8" fillId="3" borderId="5" xfId="1" applyNumberFormat="1" applyFont="1" applyFill="1" applyBorder="1" applyAlignment="1">
      <alignment vertical="center"/>
    </xf>
    <xf numFmtId="0" fontId="0" fillId="3" borderId="5" xfId="1" applyNumberFormat="1" applyFont="1" applyFill="1" applyBorder="1" applyAlignment="1">
      <alignment vertical="center"/>
    </xf>
    <xf numFmtId="0" fontId="0" fillId="3" borderId="5" xfId="0" applyFont="1" applyFill="1" applyBorder="1">
      <alignment vertical="center"/>
    </xf>
    <xf numFmtId="14" fontId="0" fillId="3" borderId="0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center" vertical="center"/>
    </xf>
    <xf numFmtId="14" fontId="0" fillId="3" borderId="0" xfId="0" applyNumberFormat="1" applyFont="1" applyFill="1" applyBorder="1" applyAlignment="1">
      <alignment horizontal="left" vertical="center"/>
    </xf>
    <xf numFmtId="177" fontId="0" fillId="3" borderId="0" xfId="1" applyNumberFormat="1" applyFont="1" applyFill="1" applyBorder="1" applyAlignment="1">
      <alignment vertical="center"/>
    </xf>
    <xf numFmtId="0" fontId="0" fillId="3" borderId="0" xfId="1" applyNumberFormat="1" applyFont="1" applyFill="1" applyBorder="1" applyAlignment="1">
      <alignment horizontal="center" vertical="center"/>
    </xf>
    <xf numFmtId="0" fontId="8" fillId="3" borderId="0" xfId="1" applyNumberFormat="1" applyFont="1" applyFill="1" applyBorder="1" applyAlignment="1">
      <alignment horizontal="center" vertical="center"/>
    </xf>
    <xf numFmtId="0" fontId="8" fillId="3" borderId="0" xfId="1" applyNumberFormat="1" applyFont="1" applyFill="1" applyBorder="1" applyAlignment="1">
      <alignment vertical="center"/>
    </xf>
    <xf numFmtId="0" fontId="0" fillId="3" borderId="0" xfId="1" applyNumberFormat="1" applyFont="1" applyFill="1" applyBorder="1" applyAlignment="1">
      <alignment vertical="center"/>
    </xf>
    <xf numFmtId="0" fontId="0" fillId="3" borderId="0" xfId="0" applyFont="1" applyFill="1" applyBorder="1">
      <alignment vertical="center"/>
    </xf>
    <xf numFmtId="0" fontId="0" fillId="4" borderId="0" xfId="0" applyFill="1">
      <alignment vertical="center"/>
    </xf>
    <xf numFmtId="176" fontId="8" fillId="0" borderId="0" xfId="1" applyNumberFormat="1" applyFont="1" applyAlignment="1">
      <alignment vertical="center"/>
    </xf>
    <xf numFmtId="14" fontId="0" fillId="0" borderId="0" xfId="0" applyNumberFormat="1" applyAlignment="1">
      <alignment vertical="center"/>
    </xf>
    <xf numFmtId="0" fontId="1" fillId="3" borderId="1" xfId="0" applyNumberFormat="1" applyFont="1" applyFill="1" applyBorder="1" applyAlignment="1">
      <alignment horizontal="center" vertical="center"/>
    </xf>
    <xf numFmtId="0" fontId="11" fillId="0" borderId="0" xfId="1" applyNumberFormat="1" applyFont="1">
      <alignment vertical="center"/>
    </xf>
    <xf numFmtId="0" fontId="12" fillId="0" borderId="0" xfId="1" applyNumberFormat="1" applyFont="1">
      <alignment vertical="center"/>
    </xf>
    <xf numFmtId="2" fontId="12" fillId="0" borderId="0" xfId="1" applyNumberFormat="1" applyFont="1" applyFill="1">
      <alignment vertical="center"/>
    </xf>
    <xf numFmtId="0" fontId="12" fillId="0" borderId="0" xfId="1" applyNumberFormat="1" applyFont="1" applyAlignment="1">
      <alignment horizontal="left" vertical="center"/>
    </xf>
    <xf numFmtId="0" fontId="11" fillId="0" borderId="5" xfId="0" applyNumberFormat="1" applyFont="1" applyFill="1" applyBorder="1" applyAlignment="1">
      <alignment horizontal="center" vertical="center"/>
    </xf>
    <xf numFmtId="0" fontId="12" fillId="0" borderId="5" xfId="1" applyNumberFormat="1" applyFont="1" applyFill="1" applyBorder="1" applyAlignment="1">
      <alignment vertical="center"/>
    </xf>
    <xf numFmtId="14" fontId="11" fillId="0" borderId="5" xfId="0" applyNumberFormat="1" applyFont="1" applyFill="1" applyBorder="1">
      <alignment vertical="center"/>
    </xf>
    <xf numFmtId="0" fontId="11" fillId="0" borderId="5" xfId="0" applyNumberFormat="1" applyFont="1" applyFill="1" applyBorder="1" applyAlignment="1">
      <alignment horizontal="left" vertical="center"/>
    </xf>
    <xf numFmtId="0" fontId="11" fillId="0" borderId="5" xfId="1" applyNumberFormat="1" applyFont="1" applyFill="1" applyBorder="1">
      <alignment vertical="center"/>
    </xf>
    <xf numFmtId="0" fontId="12" fillId="0" borderId="5" xfId="1" applyNumberFormat="1" applyFont="1" applyFill="1" applyBorder="1">
      <alignment vertical="center"/>
    </xf>
    <xf numFmtId="0" fontId="12" fillId="0" borderId="6" xfId="1" applyNumberFormat="1" applyFont="1" applyFill="1" applyBorder="1">
      <alignment vertical="center"/>
    </xf>
    <xf numFmtId="14" fontId="11" fillId="0" borderId="5" xfId="0" applyNumberFormat="1" applyFont="1" applyFill="1" applyBorder="1" applyAlignment="1">
      <alignment horizontal="center" vertical="center"/>
    </xf>
    <xf numFmtId="14" fontId="11" fillId="0" borderId="5" xfId="0" applyNumberFormat="1" applyFont="1" applyFill="1" applyBorder="1" applyAlignment="1">
      <alignment horizontal="left" vertical="center"/>
    </xf>
    <xf numFmtId="49" fontId="11" fillId="0" borderId="5" xfId="0" applyNumberFormat="1" applyFont="1" applyFill="1" applyBorder="1" applyAlignment="1">
      <alignment horizontal="left" vertical="center"/>
    </xf>
    <xf numFmtId="49" fontId="0" fillId="0" borderId="0" xfId="0" applyNumberFormat="1" applyBorder="1">
      <alignment vertical="center"/>
    </xf>
    <xf numFmtId="49" fontId="0" fillId="0" borderId="0" xfId="0" applyNumberFormat="1" applyAlignment="1">
      <alignment horizontal="left" vertical="center"/>
    </xf>
    <xf numFmtId="0" fontId="12" fillId="0" borderId="0" xfId="1" applyNumberFormat="1" applyFont="1" applyAlignment="1">
      <alignment vertical="center"/>
    </xf>
    <xf numFmtId="0" fontId="11" fillId="0" borderId="0" xfId="1" applyNumberFormat="1" applyFont="1" applyAlignment="1">
      <alignment vertical="center"/>
    </xf>
    <xf numFmtId="0" fontId="0" fillId="0" borderId="0" xfId="0" applyNumberFormat="1" applyAlignment="1">
      <alignment vertical="center"/>
    </xf>
    <xf numFmtId="176" fontId="12" fillId="0" borderId="0" xfId="1" applyNumberFormat="1" applyFont="1" applyAlignment="1">
      <alignment vertical="center"/>
    </xf>
    <xf numFmtId="14" fontId="11" fillId="0" borderId="1" xfId="0" applyNumberFormat="1" applyFont="1" applyFill="1" applyBorder="1" applyAlignment="1">
      <alignment vertical="center"/>
    </xf>
    <xf numFmtId="0" fontId="11" fillId="0" borderId="0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left" vertical="center"/>
    </xf>
    <xf numFmtId="0" fontId="11" fillId="0" borderId="1" xfId="1" applyNumberFormat="1" applyFont="1" applyFill="1" applyBorder="1">
      <alignment vertical="center"/>
    </xf>
    <xf numFmtId="0" fontId="12" fillId="0" borderId="1" xfId="1" applyNumberFormat="1" applyFont="1" applyFill="1" applyBorder="1">
      <alignment vertical="center"/>
    </xf>
    <xf numFmtId="0" fontId="12" fillId="0" borderId="0" xfId="1" applyNumberFormat="1" applyFont="1" applyFill="1" applyBorder="1" applyAlignment="1">
      <alignment vertical="center"/>
    </xf>
    <xf numFmtId="0" fontId="12" fillId="0" borderId="2" xfId="1" applyNumberFormat="1" applyFont="1" applyFill="1" applyBorder="1">
      <alignment vertical="center"/>
    </xf>
    <xf numFmtId="14" fontId="11" fillId="0" borderId="1" xfId="0" applyNumberFormat="1" applyFont="1" applyFill="1" applyBorder="1">
      <alignment vertical="center"/>
    </xf>
    <xf numFmtId="0" fontId="0" fillId="0" borderId="0" xfId="1" applyNumberFormat="1" applyFont="1" applyFill="1">
      <alignment vertical="center"/>
    </xf>
    <xf numFmtId="49" fontId="9" fillId="2" borderId="3" xfId="0" applyNumberFormat="1" applyFont="1" applyFill="1" applyBorder="1" applyAlignment="1">
      <alignment horizontal="center" vertical="center"/>
    </xf>
    <xf numFmtId="179" fontId="0" fillId="0" borderId="0" xfId="0" applyNumberFormat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6">
    <cellStyle name="쉼표 [0]" xfId="1" builtinId="6"/>
    <cellStyle name="쉼표 [0] 2" xfId="4"/>
    <cellStyle name="표준" xfId="0" builtinId="0"/>
    <cellStyle name="표준 2" xfId="2"/>
    <cellStyle name="표준 2 2" xfId="5"/>
    <cellStyle name="표준 3" xfId="3"/>
  </cellStyles>
  <dxfs count="255">
    <dxf>
      <numFmt numFmtId="178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rgb="FF9BC2E6"/>
        </left>
        <top style="thin">
          <color rgb="FF9BC2E6"/>
        </top>
      </border>
    </dxf>
    <dxf>
      <numFmt numFmtId="0" formatCode="General"/>
      <fill>
        <patternFill patternType="none">
          <fgColor rgb="FF000000"/>
          <bgColor auto="1"/>
        </patternFill>
      </fill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numFmt numFmtId="0" formatCode="General"/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6" formatCode="_-* #,##0.00_-;\-* #,##0.00_-;_-* &quot;-&quot;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border outline="0">
        <top style="thin">
          <color rgb="FF9BC2E6"/>
        </top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0_);[Red]\(0\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0_);[Red]\(0\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rgb="FF9BC2E6"/>
        </top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numFmt numFmtId="30" formatCode="@"/>
    </dxf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표3" displayName="표3" ref="A1:J64" totalsRowShown="0">
  <autoFilter ref="A1:J64"/>
  <tableColumns count="10">
    <tableColumn id="8" name="종목코드" dataDxfId="254"/>
    <tableColumn id="9" name="종목명" dataDxfId="253">
      <calculatedColumnFormula>LEFT(#REF!,SEARCH("_",#REF!)-1)</calculatedColumnFormula>
    </tableColumn>
    <tableColumn id="14" name="평가금액"/>
    <tableColumn id="7" name="상품명"/>
    <tableColumn id="2" name="계좌"/>
    <tableColumn id="3" name="통화"/>
    <tableColumn id="6" name="자산군"/>
    <tableColumn id="4" name="세부자산군"/>
    <tableColumn id="5" name="세부자산군2"/>
    <tableColumn id="10" name="기초평가손익" dataDxfId="25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CMA_한투183611" displayName="CMA_한투183611" ref="A1:S33" totalsRowShown="0" headerRowDxfId="82" headerRowCellStyle="쉼표 [0]">
  <autoFilter ref="A1:S33"/>
  <tableColumns count="19">
    <tableColumn id="1" name="거래일자" dataDxfId="81"/>
    <tableColumn id="5" name="종목코드" dataDxfId="80"/>
    <tableColumn id="9" name="종목명" dataDxfId="79">
      <calculatedColumnFormula>VLOOKUP(CMA_한투183611[[#This Row],[종목코드]],표3[],2,FALSE)</calculatedColumnFormula>
    </tableColumn>
    <tableColumn id="10" name="상품명" dataDxfId="78">
      <calculatedColumnFormula>VLOOKUP(CMA_한투183611[[#This Row],[종목코드]],표3[],4,FALSE)</calculatedColumnFormula>
    </tableColumn>
    <tableColumn id="6" name="매입수량" dataDxfId="77"/>
    <tableColumn id="2" name="매입액" dataDxfId="76" dataCellStyle="쉼표 [0]"/>
    <tableColumn id="12" name="현금지출" dataDxfId="75" dataCellStyle="쉼표 [0]"/>
    <tableColumn id="16" name="매입비용" dataDxfId="74">
      <calculatedColumnFormula>CMA_한투183611[[#This Row],[현금지출]]-CMA_한투183611[[#This Row],[매입액]]</calculatedColumnFormula>
    </tableColumn>
    <tableColumn id="7" name="매도수량" dataDxfId="73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CMA_한투183611[[#This Row],[매도액]]-CMA_한투183611[[#This Row],[매도원금]]</calculatedColumnFormula>
    </tableColumn>
    <tableColumn id="18" name="매도비용">
      <calculatedColumnFormula>CMA_한투183611[[#This Row],[매도액]]+CMA_한투183611[[#This Row],[이자배당액]]-CMA_한투183611[[#This Row],[현금수입]]</calculatedColumnFormula>
    </tableColumn>
    <tableColumn id="19" name="순수익">
      <calculatedColumnFormula>CMA_한투183611[[#This Row],[매매수익]]+CMA_한투183611[[#This Row],[이자배당액]]-CMA_한투183611[[#This Row],[매도비용]]-CMA_한투183611[[#This Row],[매입비용]]</calculatedColumnFormula>
    </tableColumn>
    <tableColumn id="4" name="입출금"/>
    <tableColumn id="21" name="순현금수입" dataDxfId="72">
      <calculatedColumnFormula>CMA_한투183611[[#This Row],[입출금]]+CMA_한투183611[[#This Row],[현금수입]]-CMA_한투183611[[#This Row],[현금지출]]</calculatedColumnFormula>
    </tableColumn>
    <tableColumn id="22" name="누적" dataDxfId="71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CMA_한투18361112" displayName="CMA_한투18361112" ref="A1:S7" totalsRowShown="0" headerRowDxfId="70" headerRowCellStyle="쉼표 [0]">
  <autoFilter ref="A1:S7"/>
  <tableColumns count="19">
    <tableColumn id="1" name="거래일자" dataDxfId="69"/>
    <tableColumn id="5" name="종목코드" dataDxfId="68"/>
    <tableColumn id="9" name="종목명" dataDxfId="67">
      <calculatedColumnFormula>VLOOKUP(CMA_한투18361112[[#This Row],[종목코드]],표3[],2,FALSE)</calculatedColumnFormula>
    </tableColumn>
    <tableColumn id="10" name="상품명" dataDxfId="66">
      <calculatedColumnFormula>VLOOKUP(CMA_한투18361112[[#This Row],[종목코드]],표3[],4,FALSE)</calculatedColumnFormula>
    </tableColumn>
    <tableColumn id="6" name="매입수량" dataDxfId="65"/>
    <tableColumn id="2" name="매입액"/>
    <tableColumn id="12" name="현금지출"/>
    <tableColumn id="16" name="매입비용" dataDxfId="64">
      <calculatedColumnFormula>CMA_한투18361112[[#This Row],[현금지출]]-CMA_한투18361112[[#This Row],[매입액]]</calculatedColumnFormula>
    </tableColumn>
    <tableColumn id="7" name="매도수량" dataDxfId="63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CMA_한투18361112[[#This Row],[매도액]]-CMA_한투18361112[[#This Row],[매도원금]]</calculatedColumnFormula>
    </tableColumn>
    <tableColumn id="18" name="매도비용">
      <calculatedColumnFormula>CMA_한투18361112[[#This Row],[매도액]]+CMA_한투18361112[[#This Row],[이자배당액]]-CMA_한투18361112[[#This Row],[현금수입]]</calculatedColumnFormula>
    </tableColumn>
    <tableColumn id="19" name="순수익">
      <calculatedColumnFormula>CMA_한투18361112[[#This Row],[매매수익]]+CMA_한투18361112[[#This Row],[이자배당액]]-CMA_한투18361112[[#This Row],[매도비용]]-CMA_한투18361112[[#This Row],[매입비용]]</calculatedColumnFormula>
    </tableColumn>
    <tableColumn id="4" name="입출금"/>
    <tableColumn id="21" name="순현금수입" dataDxfId="62">
      <calculatedColumnFormula>CMA_한투18361112[[#This Row],[입출금]]+CMA_한투18361112[[#This Row],[현금수입]]-CMA_한투18361112[[#This Row],[현금지출]]</calculatedColumnFormula>
    </tableColumn>
    <tableColumn id="22" name="누적" dataDxfId="61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" name="CMA_한투183" displayName="CMA_한투183" ref="A1:S2" totalsRowShown="0" headerRowDxfId="60" dataDxfId="59" headerRowCellStyle="쉼표 [0]" dataCellStyle="쉼표 [0]">
  <autoFilter ref="A1:S2"/>
  <tableColumns count="19">
    <tableColumn id="1" name="거래일자" dataDxfId="58"/>
    <tableColumn id="5" name="종목코드" dataDxfId="57"/>
    <tableColumn id="9" name="종목명" dataDxfId="56"/>
    <tableColumn id="10" name="상품명" dataDxfId="55"/>
    <tableColumn id="6" name="매입수량" dataDxfId="54"/>
    <tableColumn id="2" name="매입액" dataDxfId="53" dataCellStyle="쉼표 [0]"/>
    <tableColumn id="12" name="현금지출" dataDxfId="52" dataCellStyle="쉼표 [0]"/>
    <tableColumn id="16" name="매입비용" dataDxfId="51" dataCellStyle="쉼표 [0]"/>
    <tableColumn id="7" name="매도수량" dataDxfId="50" dataCellStyle="쉼표 [0]"/>
    <tableColumn id="3" name="매도원금" dataDxfId="49" dataCellStyle="쉼표 [0]"/>
    <tableColumn id="15" name="매도액" dataDxfId="48" dataCellStyle="쉼표 [0]"/>
    <tableColumn id="14" name="이자배당액" dataDxfId="47" dataCellStyle="쉼표 [0]"/>
    <tableColumn id="13" name="현금수입" dataDxfId="46" dataCellStyle="쉼표 [0]"/>
    <tableColumn id="17" name="매매수익" dataDxfId="45" dataCellStyle="쉼표 [0]"/>
    <tableColumn id="18" name="매도비용" dataDxfId="44" dataCellStyle="쉼표 [0]"/>
    <tableColumn id="19" name="순수익" dataDxfId="43" dataCellStyle="쉼표 [0]"/>
    <tableColumn id="4" name="입출금" dataDxfId="42" dataCellStyle="쉼표 [0]"/>
    <tableColumn id="21" name="순현금수입" dataDxfId="41" dataCellStyle="쉼표 [0]"/>
    <tableColumn id="22" name="누적" dataDxfId="40" dataCellStyle="쉼표 [0]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5" name="CMA_한투1836" displayName="CMA_한투1836" ref="A1:S2" insertRow="1" totalsRowShown="0" headerRowDxfId="39" headerRowCellStyle="쉼표 [0]">
  <autoFilter ref="A1:S2"/>
  <tableColumns count="19">
    <tableColumn id="1" name="거래일자" dataDxfId="38"/>
    <tableColumn id="5" name="종목코드" dataDxfId="37"/>
    <tableColumn id="9" name="종목명" dataDxfId="36">
      <calculatedColumnFormula>VLOOKUP(CMA_한투1836[[#This Row],[종목코드]],표3[],2,FALSE)</calculatedColumnFormula>
    </tableColumn>
    <tableColumn id="10" name="상품명" dataDxfId="35">
      <calculatedColumnFormula>VLOOKUP(CMA_한투1836[[#This Row],[종목코드]],표3[],4,FALSE)</calculatedColumnFormula>
    </tableColumn>
    <tableColumn id="6" name="매입수량" dataDxfId="34"/>
    <tableColumn id="2" name="매입액"/>
    <tableColumn id="12" name="현금지출"/>
    <tableColumn id="16" name="매입비용" dataDxfId="33">
      <calculatedColumnFormula>CMA_한투1836[[#This Row],[현금지출]]-CMA_한투1836[[#This Row],[매입액]]</calculatedColumnFormula>
    </tableColumn>
    <tableColumn id="7" name="매도수량" dataDxfId="32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CMA_한투1836[[#This Row],[매도액]]-CMA_한투1836[[#This Row],[매도원금]]</calculatedColumnFormula>
    </tableColumn>
    <tableColumn id="18" name="매도비용">
      <calculatedColumnFormula>CMA_한투1836[[#This Row],[매도액]]+CMA_한투1836[[#This Row],[이자배당액]]-CMA_한투1836[[#This Row],[현금수입]]</calculatedColumnFormula>
    </tableColumn>
    <tableColumn id="19" name="순수익">
      <calculatedColumnFormula>CMA_한투1836[[#This Row],[매매수익]]+CMA_한투1836[[#This Row],[이자배당액]]-CMA_한투1836[[#This Row],[매도비용]]-CMA_한투1836[[#This Row],[매입비용]]</calculatedColumnFormula>
    </tableColumn>
    <tableColumn id="4" name="입출금"/>
    <tableColumn id="21" name="순현금수입" dataDxfId="31">
      <calculatedColumnFormula>CMA_한투1836[[#This Row],[입출금]]+CMA_한투1836[[#This Row],[현금수입]]-CMA_한투1836[[#This Row],[현금지출]]</calculatedColumnFormula>
    </tableColumn>
    <tableColumn id="22" name="누적" dataDxfId="30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7" name="CMA_한투1838" displayName="CMA_한투1838" ref="A1:S2" insertRow="1" totalsRowShown="0" headerRowDxfId="29" dataDxfId="28" headerRowCellStyle="쉼표 [0]" dataCellStyle="쉼표 [0]">
  <autoFilter ref="A1:S2"/>
  <tableColumns count="19">
    <tableColumn id="1" name="거래일자" dataDxfId="27"/>
    <tableColumn id="5" name="종목코드" dataDxfId="26"/>
    <tableColumn id="9" name="종목명" dataDxfId="25">
      <calculatedColumnFormula>VLOOKUP(CMA_한투1838[[#This Row],[종목코드]],표3[],2,FALSE)</calculatedColumnFormula>
    </tableColumn>
    <tableColumn id="10" name="상품명" dataDxfId="24">
      <calculatedColumnFormula>VLOOKUP(CMA_한투1838[[#This Row],[종목코드]],표3[],4,FALSE)</calculatedColumnFormula>
    </tableColumn>
    <tableColumn id="6" name="매입수량" dataDxfId="23"/>
    <tableColumn id="2" name="매입액" dataDxfId="22" dataCellStyle="쉼표 [0]"/>
    <tableColumn id="12" name="현금지출" dataDxfId="21" dataCellStyle="쉼표 [0]"/>
    <tableColumn id="16" name="매입비용" dataDxfId="20" dataCellStyle="쉼표 [0]">
      <calculatedColumnFormula>CMA_한투1838[[#This Row],[현금지출]]-CMA_한투1838[[#This Row],[매입액]]</calculatedColumnFormula>
    </tableColumn>
    <tableColumn id="7" name="매도수량" dataDxfId="19" dataCellStyle="쉼표 [0]"/>
    <tableColumn id="3" name="매도원금" dataDxfId="18" dataCellStyle="쉼표 [0]"/>
    <tableColumn id="15" name="매도액" dataDxfId="17" dataCellStyle="쉼표 [0]"/>
    <tableColumn id="14" name="이자배당액" dataDxfId="16" dataCellStyle="쉼표 [0]"/>
    <tableColumn id="13" name="현금수입" dataDxfId="15" dataCellStyle="쉼표 [0]"/>
    <tableColumn id="17" name="매매수익" dataDxfId="14" dataCellStyle="쉼표 [0]">
      <calculatedColumnFormula>CMA_한투1838[[#This Row],[매도액]]-CMA_한투1838[[#This Row],[매도원금]]</calculatedColumnFormula>
    </tableColumn>
    <tableColumn id="18" name="매도비용" dataDxfId="13" dataCellStyle="쉼표 [0]">
      <calculatedColumnFormula>CMA_한투1838[[#This Row],[매도액]]+CMA_한투1838[[#This Row],[이자배당액]]-CMA_한투1838[[#This Row],[현금수입]]</calculatedColumnFormula>
    </tableColumn>
    <tableColumn id="19" name="순수익" dataDxfId="12" dataCellStyle="쉼표 [0]">
      <calculatedColumnFormula>CMA_한투1838[[#This Row],[매매수익]]+CMA_한투1838[[#This Row],[이자배당액]]-CMA_한투1838[[#This Row],[매도비용]]-CMA_한투1838[[#This Row],[매입비용]]</calculatedColumnFormula>
    </tableColumn>
    <tableColumn id="4" name="입출금" dataDxfId="11" dataCellStyle="쉼표 [0]"/>
    <tableColumn id="21" name="순현금수입" dataDxfId="10" dataCellStyle="쉼표 [0]">
      <calculatedColumnFormula>CMA_한투1838[[#This Row],[입출금]]+CMA_한투1838[[#This Row],[현금수입]]-CMA_한투1838[[#This Row],[현금지출]]</calculatedColumnFormula>
    </tableColumn>
    <tableColumn id="22" name="누적" dataDxfId="9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표8" displayName="표8" ref="A1:F340" totalsRowShown="0" headerRowDxfId="8">
  <autoFilter ref="A1:F340"/>
  <tableColumns count="6">
    <tableColumn id="1" name="거래일자" dataDxfId="7"/>
    <tableColumn id="4" name="원화자금유입" dataDxfId="6"/>
    <tableColumn id="2" name="원화투자회수" dataDxfId="5" dataCellStyle="쉼표 [0]"/>
    <tableColumn id="6" name="원화투자지출" dataDxfId="4" dataCellStyle="쉼표 [0]">
      <calculatedColumnFormula>IF(WEEKDAY(표8[[#This Row],[거래일자]])=4, 2000000,0)</calculatedColumnFormula>
    </tableColumn>
    <tableColumn id="3" name="원화자금유출" dataDxfId="3" dataCellStyle="쉼표 [0]"/>
    <tableColumn id="5" name="달러투자회수" dataDxfId="2" dataCellStyle="쉼표 [0]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12" name="표1" displayName="표1" ref="A1:T57" totalsRowShown="0" headerRowDxfId="1">
  <autoFilter ref="A1:T57"/>
  <tableColumns count="20">
    <tableColumn id="2" name="종목코드"/>
    <tableColumn id="3" name="거래일자" dataDxfId="0"/>
    <tableColumn id="4" name="종목명"/>
    <tableColumn id="5" name="통화"/>
    <tableColumn id="6" name="계좌"/>
    <tableColumn id="7" name="보유수량"/>
    <tableColumn id="8" name="장부금액"/>
    <tableColumn id="9" name="평잔"/>
    <tableColumn id="10" name="수익"/>
    <tableColumn id="11" name="비용"/>
    <tableColumn id="12" name="실현손익"/>
    <tableColumn id="13" name="실현수익률"/>
    <tableColumn id="14" name="자산군"/>
    <tableColumn id="15" name="세부자산군"/>
    <tableColumn id="16" name="세부자산군2"/>
    <tableColumn id="17" name="평가금액"/>
    <tableColumn id="18" name="평가손익"/>
    <tableColumn id="19" name="평가수익률"/>
    <tableColumn id="20" name="총손익"/>
    <tableColumn id="21" name="운용수익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3" name="연금종목정보" displayName="연금종목정보" ref="A1:J28" totalsRowShown="0">
  <autoFilter ref="A1:J28"/>
  <tableColumns count="10">
    <tableColumn id="1" name="종목코드" dataDxfId="251"/>
    <tableColumn id="2" name="종목명"/>
    <tableColumn id="8" name="평가금액" dataDxfId="250" dataCellStyle="쉼표 [0]"/>
    <tableColumn id="3" name="상품명"/>
    <tableColumn id="4" name="계좌"/>
    <tableColumn id="11" name="통화"/>
    <tableColumn id="5" name="자산군"/>
    <tableColumn id="6" name="세부자산군"/>
    <tableColumn id="13" name="세부자산군2"/>
    <tableColumn id="12" name="기초평가손익" dataDxfId="249" dataCellStyle="쉼표 [0]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5" name="농협IRP" displayName="농협IRP" ref="A1:S18" totalsRowShown="0" headerRowDxfId="248" headerRowBorderDxfId="247" tableBorderDxfId="246" totalsRowBorderDxfId="245" headerRowCellStyle="쉼표 [0]">
  <autoFilter ref="A1:S18"/>
  <tableColumns count="19">
    <tableColumn id="1" name="거래일자" dataDxfId="244"/>
    <tableColumn id="2" name="종목코드" dataDxfId="243"/>
    <tableColumn id="3" name="종목명" dataDxfId="242">
      <calculatedColumnFormula>VLOOKUP(농협IRP[[#This Row],[종목코드]],연금종목정보[],2,FALSE)</calculatedColumnFormula>
    </tableColumn>
    <tableColumn id="4" name="상품명" dataDxfId="241">
      <calculatedColumnFormula>VLOOKUP(농협IRP[[#This Row],[종목코드]],연금종목정보[],4,FALSE)</calculatedColumnFormula>
    </tableColumn>
    <tableColumn id="5" name="매입수량" dataDxfId="240" dataCellStyle="쉼표 [0]"/>
    <tableColumn id="6" name="매입액" dataDxfId="239" dataCellStyle="쉼표 [0]"/>
    <tableColumn id="7" name="현금지출" dataDxfId="238" dataCellStyle="쉼표 [0]"/>
    <tableColumn id="8" name="매입비용" dataDxfId="237" dataCellStyle="쉼표 [0]">
      <calculatedColumnFormula>농협IRP[[#This Row],[현금지출]]-농협IRP[[#This Row],[매입액]]</calculatedColumnFormula>
    </tableColumn>
    <tableColumn id="9" name="매도수량" dataDxfId="236" dataCellStyle="쉼표 [0]"/>
    <tableColumn id="10" name="매도원금" dataDxfId="235" dataCellStyle="쉼표 [0]"/>
    <tableColumn id="11" name="매도액" dataDxfId="234" dataCellStyle="쉼표 [0]"/>
    <tableColumn id="12" name="이자배당액" dataDxfId="233" dataCellStyle="쉼표 [0]"/>
    <tableColumn id="13" name="현금수입" dataDxfId="232" dataCellStyle="쉼표 [0]"/>
    <tableColumn id="14" name="매매수익" dataDxfId="231" dataCellStyle="쉼표 [0]">
      <calculatedColumnFormula>농협IRP[[#This Row],[매도액]]-농협IRP[[#This Row],[매도원금]]</calculatedColumnFormula>
    </tableColumn>
    <tableColumn id="15" name="매도비용" dataDxfId="230" dataCellStyle="쉼표 [0]">
      <calculatedColumnFormula>농협IRP[[#This Row],[매도액]]+농협IRP[[#This Row],[이자배당액]]-농협IRP[[#This Row],[현금수입]]</calculatedColumnFormula>
    </tableColumn>
    <tableColumn id="16" name="순수익" dataDxfId="229" dataCellStyle="쉼표 [0]">
      <calculatedColumnFormula>농협IRP[[#This Row],[매매수익]]+농협IRP[[#This Row],[이자배당액]]-농협IRP[[#This Row],[매도비용]]-농협IRP[[#This Row],[매입비용]]</calculatedColumnFormula>
    </tableColumn>
    <tableColumn id="17" name="입출금" dataDxfId="228"/>
    <tableColumn id="18" name="순현금수입" dataDxfId="227" dataCellStyle="쉼표 [0]">
      <calculatedColumnFormula>농협IRP[[#This Row],[입출금]]+농협IRP[[#This Row],[현금수입]]-농협IRP[[#This Row],[현금지출]]</calculatedColumnFormula>
    </tableColumn>
    <tableColumn id="19" name="누적" dataDxfId="226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삼성DC" displayName="삼성DC" ref="A1:S12" totalsRowShown="0" headerRowDxfId="225" headerRowBorderDxfId="224" tableBorderDxfId="223" totalsRowBorderDxfId="222" headerRowCellStyle="쉼표 [0]">
  <autoFilter ref="A1:S12"/>
  <tableColumns count="19">
    <tableColumn id="1" name="거래일자" dataDxfId="221"/>
    <tableColumn id="2" name="종목코드" dataDxfId="220"/>
    <tableColumn id="3" name="종목명" dataDxfId="219">
      <calculatedColumnFormula>VLOOKUP(삼성DC[[#This Row],[종목코드]],연금종목정보[],2,FALSE)</calculatedColumnFormula>
    </tableColumn>
    <tableColumn id="4" name="상품명" dataDxfId="218">
      <calculatedColumnFormula>VLOOKUP(삼성DC[[#This Row],[종목코드]],연금종목정보[],4,FALSE)</calculatedColumnFormula>
    </tableColumn>
    <tableColumn id="5" name="매입수량" dataDxfId="217" dataCellStyle="쉼표 [0]"/>
    <tableColumn id="6" name="매입액" dataDxfId="216" dataCellStyle="쉼표 [0]"/>
    <tableColumn id="7" name="현금지출" dataDxfId="215" dataCellStyle="쉼표 [0]"/>
    <tableColumn id="8" name="매입비용" dataDxfId="214" dataCellStyle="쉼표 [0]">
      <calculatedColumnFormula>삼성DC[[#This Row],[현금지출]]-삼성DC[[#This Row],[매입액]]</calculatedColumnFormula>
    </tableColumn>
    <tableColumn id="9" name="매도수량" dataDxfId="213" dataCellStyle="쉼표 [0]"/>
    <tableColumn id="10" name="매도원금" dataDxfId="212" dataCellStyle="쉼표 [0]"/>
    <tableColumn id="11" name="매도액" dataDxfId="211" dataCellStyle="쉼표 [0]"/>
    <tableColumn id="12" name="이자배당액" dataDxfId="210" dataCellStyle="쉼표 [0]"/>
    <tableColumn id="13" name="현금수입" dataDxfId="209" dataCellStyle="쉼표 [0]"/>
    <tableColumn id="14" name="매매수익" dataDxfId="208" dataCellStyle="쉼표 [0]">
      <calculatedColumnFormula>삼성DC[[#This Row],[매도액]]-삼성DC[[#This Row],[매도원금]]</calculatedColumnFormula>
    </tableColumn>
    <tableColumn id="15" name="매도비용" dataDxfId="207" dataCellStyle="쉼표 [0]">
      <calculatedColumnFormula>삼성DC[[#This Row],[매도액]]+삼성DC[[#This Row],[이자배당액]]-삼성DC[[#This Row],[현금수입]]</calculatedColumnFormula>
    </tableColumn>
    <tableColumn id="16" name="순수익" dataDxfId="206" dataCellStyle="쉼표 [0]">
      <calculatedColumnFormula>삼성DC[[#This Row],[매매수익]]+삼성DC[[#This Row],[이자배당액]]-삼성DC[[#This Row],[매도비용]]-삼성DC[[#This Row],[매입비용]]</calculatedColumnFormula>
    </tableColumn>
    <tableColumn id="17" name="입출금" dataDxfId="205"/>
    <tableColumn id="18" name="순현금수입" dataDxfId="204" dataCellStyle="쉼표 [0]">
      <calculatedColumnFormula>삼성DC[[#This Row],[입출금]]+삼성DC[[#This Row],[현금수입]]-삼성DC[[#This Row],[현금지출]]</calculatedColumnFormula>
    </tableColumn>
    <tableColumn id="19" name="누적" dataDxfId="203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8" name="농협IRP17" displayName="농협IRP17" ref="A1:S14" totalsRowShown="0" headerRowDxfId="202" headerRowBorderDxfId="201" tableBorderDxfId="200" totalsRowBorderDxfId="199" headerRowCellStyle="쉼표 [0]">
  <autoFilter ref="A1:S14"/>
  <tableColumns count="19">
    <tableColumn id="1" name="거래일자" dataDxfId="198"/>
    <tableColumn id="2" name="종목코드"/>
    <tableColumn id="3" name="종목명">
      <calculatedColumnFormula>VLOOKUP(농협IRP17[[#This Row],[종목코드]],연금종목정보[],2,FALSE)</calculatedColumnFormula>
    </tableColumn>
    <tableColumn id="4" name="상품명">
      <calculatedColumnFormula>VLOOKUP(농협IRP17[[#This Row],[종목코드]],연금종목정보[],4,FALSE)</calculatedColumnFormula>
    </tableColumn>
    <tableColumn id="5" name="매입수량"/>
    <tableColumn id="6" name="매입액"/>
    <tableColumn id="7" name="현금지출"/>
    <tableColumn id="8" name="매입비용" dataDxfId="197">
      <calculatedColumnFormula>농협IRP17[[#This Row],[현금지출]]-농협IRP17[[#This Row],[매입액]]</calculatedColumnFormula>
    </tableColumn>
    <tableColumn id="9" name="매도수량"/>
    <tableColumn id="10" name="매도원금"/>
    <tableColumn id="11" name="매도액"/>
    <tableColumn id="12" name="이자배당액"/>
    <tableColumn id="13" name="현금수입"/>
    <tableColumn id="14" name="매매수익" dataDxfId="196">
      <calculatedColumnFormula>농협IRP17[[#This Row],[매도액]]-농협IRP17[[#This Row],[매도원금]]</calculatedColumnFormula>
    </tableColumn>
    <tableColumn id="15" name="매도비용" dataDxfId="195">
      <calculatedColumnFormula>농협IRP17[[#This Row],[매도액]]+농협IRP17[[#This Row],[이자배당액]]-농협IRP17[[#This Row],[현금수입]]</calculatedColumnFormula>
    </tableColumn>
    <tableColumn id="16" name="순수익" dataDxfId="194">
      <calculatedColumnFormula>농협IRP17[[#This Row],[매매수익]]+농협IRP17[[#This Row],[이자배당액]]-농협IRP17[[#This Row],[매도비용]]-농협IRP17[[#This Row],[매입비용]]</calculatedColumnFormula>
    </tableColumn>
    <tableColumn id="17" name="입출금"/>
    <tableColumn id="18" name="순현금수입" dataDxfId="193">
      <calculatedColumnFormula>농협IRP17[[#This Row],[입출금]]+농협IRP17[[#This Row],[현금수입]]-농협IRP17[[#This Row],[현금지출]]</calculatedColumnFormula>
    </tableColumn>
    <tableColumn id="19" name="누적" dataDxfId="192">
      <calculatedColumnFormula>SUM($R$2:R2)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" name="불리오" displayName="불리오" ref="A1:S37" totalsRowShown="0" headerRowDxfId="191" dataDxfId="190" headerRowCellStyle="쉼표 [0]" dataCellStyle="쉼표 [0]">
  <autoFilter ref="A1:S37"/>
  <tableColumns count="19">
    <tableColumn id="1" name="거래일자" dataDxfId="189"/>
    <tableColumn id="4" name="종목코드" dataDxfId="188"/>
    <tableColumn id="9" name="종목명" dataDxfId="187">
      <calculatedColumnFormula>VLOOKUP(불리오[[#This Row],[종목코드]],표3[],2,FALSE)</calculatedColumnFormula>
    </tableColumn>
    <tableColumn id="10" name="상품명" dataDxfId="186">
      <calculatedColumnFormula>VLOOKUP(불리오[[#This Row],[종목코드]],표3[],4,FALSE)</calculatedColumnFormula>
    </tableColumn>
    <tableColumn id="6" name="매입수량" dataDxfId="185"/>
    <tableColumn id="2" name="매입액" dataDxfId="184" dataCellStyle="쉼표 [0]"/>
    <tableColumn id="16" name="현금지출" dataDxfId="183" dataCellStyle="쉼표 [0]"/>
    <tableColumn id="12" name="매입비용" dataDxfId="182" dataCellStyle="쉼표 [0]">
      <calculatedColumnFormula>불리오[[#This Row],[현금지출]]-불리오[[#This Row],[매입액]]</calculatedColumnFormula>
    </tableColumn>
    <tableColumn id="7" name="매도수량" dataDxfId="181" dataCellStyle="쉼표 [0]"/>
    <tableColumn id="3" name="매도원금" dataDxfId="180" dataCellStyle="쉼표 [0]"/>
    <tableColumn id="19" name="매도액" dataDxfId="179" dataCellStyle="쉼표 [0]"/>
    <tableColumn id="14" name="이자배당액" dataDxfId="178" dataCellStyle="쉼표 [0]"/>
    <tableColumn id="17" name="현금수입" dataDxfId="177" dataCellStyle="쉼표 [0]"/>
    <tableColumn id="18" name="매매수익" dataDxfId="176" dataCellStyle="쉼표 [0]">
      <calculatedColumnFormula>불리오[[#This Row],[매도액]]-불리오[[#This Row],[매도원금]]</calculatedColumnFormula>
    </tableColumn>
    <tableColumn id="15" name="매도비용" dataDxfId="175" dataCellStyle="쉼표 [0]">
      <calculatedColumnFormula>불리오[[#This Row],[매도액]]+불리오[[#This Row],[이자배당액]]-불리오[[#This Row],[현금수입]]</calculatedColumnFormula>
    </tableColumn>
    <tableColumn id="13" name="순수익" dataDxfId="174" dataCellStyle="쉼표 [0]">
      <calculatedColumnFormula>불리오[[#This Row],[매매수익]]+불리오[[#This Row],[이자배당액]]-불리오[[#This Row],[매도비용]]-불리오[[#This Row],[매입비용]]</calculatedColumnFormula>
    </tableColumn>
    <tableColumn id="5" name="입출금" dataDxfId="173" dataCellStyle="쉼표 [0]"/>
    <tableColumn id="22" name="순현금수입" dataDxfId="172" dataCellStyle="쉼표 [0]">
      <calculatedColumnFormula>불리오[[#This Row],[입출금]]+불리오[[#This Row],[현금수입]]-불리오[[#This Row],[현금지출]]</calculatedColumnFormula>
    </tableColumn>
    <tableColumn id="23" name="누적" dataDxfId="171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" name="표4" displayName="표4" ref="A1:S11" totalsRowShown="0" headerRowDxfId="170" dataDxfId="168" headerRowBorderDxfId="169" tableBorderDxfId="167" headerRowCellStyle="쉼표 [0]">
  <autoFilter ref="A1:S11"/>
  <tableColumns count="19">
    <tableColumn id="1" name="거래일자" dataDxfId="166"/>
    <tableColumn id="17" name="종목코드" dataDxfId="165"/>
    <tableColumn id="2" name="종목명" dataDxfId="164">
      <calculatedColumnFormula>VLOOKUP(표4[[#This Row],[종목코드]],표3[],2,FALSE)</calculatedColumnFormula>
    </tableColumn>
    <tableColumn id="3" name="상품명" dataDxfId="163">
      <calculatedColumnFormula>VLOOKUP(표4[[#This Row],[종목코드]],표3[],4,FALSE)</calculatedColumnFormula>
    </tableColumn>
    <tableColumn id="18" name="매입수량" dataDxfId="162"/>
    <tableColumn id="4" name="매입액" dataDxfId="161" dataCellStyle="쉼표 [0]"/>
    <tableColumn id="5" name="현금지출" dataDxfId="160" dataCellStyle="쉼표 [0]"/>
    <tableColumn id="6" name="매입비용" dataDxfId="159" dataCellStyle="쉼표 [0]">
      <calculatedColumnFormula>표4[[#This Row],[현금지출]]-표4[[#This Row],[매입액]]</calculatedColumnFormula>
    </tableColumn>
    <tableColumn id="19" name="매도수량" dataDxfId="158" dataCellStyle="쉼표 [0]"/>
    <tableColumn id="7" name="매도원금" dataDxfId="157" dataCellStyle="쉼표 [0]"/>
    <tableColumn id="8" name="매도액" dataDxfId="156" dataCellStyle="쉼표 [0]"/>
    <tableColumn id="9" name="이자배당액" dataDxfId="155" dataCellStyle="쉼표 [0]"/>
    <tableColumn id="10" name="현금수입" dataDxfId="154" dataCellStyle="쉼표 [0]"/>
    <tableColumn id="11" name="매매수익" dataDxfId="153" dataCellStyle="쉼표 [0]">
      <calculatedColumnFormula>표4[[#This Row],[매도액]]-표4[[#This Row],[매도원금]]</calculatedColumnFormula>
    </tableColumn>
    <tableColumn id="12" name="매도비용" dataDxfId="152" dataCellStyle="쉼표 [0]">
      <calculatedColumnFormula>표4[[#This Row],[매도액]]+표4[[#This Row],[이자배당액]]-표4[[#This Row],[현금수입]]</calculatedColumnFormula>
    </tableColumn>
    <tableColumn id="13" name="순수익" dataDxfId="151" dataCellStyle="쉼표 [0]">
      <calculatedColumnFormula>표4[[#This Row],[매매수익]]+표4[[#This Row],[이자배당액]]-표4[[#This Row],[매도비용]]-표4[[#This Row],[매입비용]]</calculatedColumnFormula>
    </tableColumn>
    <tableColumn id="14" name="입출금" dataDxfId="150"/>
    <tableColumn id="15" name="순현금수입" dataDxfId="149">
      <calculatedColumnFormula>표4[[#This Row],[입출금]]+표4[[#This Row],[현금수입]]-표4[[#This Row],[현금지출]]</calculatedColumnFormula>
    </tableColumn>
    <tableColumn id="16" name="누적" dataDxfId="148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표4_10" displayName="표4_10" ref="A1:S4" totalsRowShown="0" headerRowDxfId="147" dataDxfId="145" headerRowBorderDxfId="146" tableBorderDxfId="144" headerRowCellStyle="쉼표 [0]">
  <autoFilter ref="A1:S4"/>
  <tableColumns count="19">
    <tableColumn id="1" name="거래일자" dataDxfId="143"/>
    <tableColumn id="17" name="종목코드" dataDxfId="142"/>
    <tableColumn id="2" name="종목명" dataDxfId="141">
      <calculatedColumnFormula>VLOOKUP(표4_10[[#This Row],[종목코드]],표3[],2,FALSE)</calculatedColumnFormula>
    </tableColumn>
    <tableColumn id="3" name="상품명" dataDxfId="140">
      <calculatedColumnFormula>VLOOKUP(표4_10[[#This Row],[종목코드]],표3[],4,FALSE)</calculatedColumnFormula>
    </tableColumn>
    <tableColumn id="18" name="매입수량" dataDxfId="139"/>
    <tableColumn id="4" name="매입액" dataDxfId="138" dataCellStyle="쉼표 [0]"/>
    <tableColumn id="5" name="현금지출" dataDxfId="137" dataCellStyle="쉼표 [0]"/>
    <tableColumn id="6" name="매입비용" dataDxfId="136" dataCellStyle="쉼표 [0]">
      <calculatedColumnFormula>표4_10[[#This Row],[현금지출]]-표4_10[[#This Row],[매입액]]</calculatedColumnFormula>
    </tableColumn>
    <tableColumn id="19" name="매도수량" dataDxfId="135" dataCellStyle="쉼표 [0]"/>
    <tableColumn id="7" name="매도원금" dataDxfId="134" dataCellStyle="쉼표 [0]"/>
    <tableColumn id="8" name="매도액" dataDxfId="133" dataCellStyle="쉼표 [0]"/>
    <tableColumn id="9" name="이자배당액" dataDxfId="132" dataCellStyle="쉼표 [0]"/>
    <tableColumn id="10" name="현금수입" dataDxfId="131" dataCellStyle="쉼표 [0]"/>
    <tableColumn id="11" name="매매수익" dataDxfId="130" dataCellStyle="쉼표 [0]">
      <calculatedColumnFormula>표4_10[[#This Row],[매도액]]-표4_10[[#This Row],[매도원금]]</calculatedColumnFormula>
    </tableColumn>
    <tableColumn id="12" name="매도비용" dataDxfId="129" dataCellStyle="쉼표 [0]">
      <calculatedColumnFormula>표4_10[[#This Row],[매도액]]+표4_10[[#This Row],[이자배당액]]-표4_10[[#This Row],[현금수입]]</calculatedColumnFormula>
    </tableColumn>
    <tableColumn id="13" name="순수익" dataDxfId="128" dataCellStyle="쉼표 [0]">
      <calculatedColumnFormula>표4_10[[#This Row],[매매수익]]+표4_10[[#This Row],[이자배당액]]-표4_10[[#This Row],[매도비용]]-표4_10[[#This Row],[매입비용]]</calculatedColumnFormula>
    </tableColumn>
    <tableColumn id="14" name="입출금" dataDxfId="127"/>
    <tableColumn id="15" name="순현금수입" dataDxfId="126">
      <calculatedColumnFormula>표4_10[[#This Row],[입출금]]+표4_10[[#This Row],[현금수입]]-표4_10[[#This Row],[현금지출]]</calculatedColumnFormula>
    </tableColumn>
    <tableColumn id="16" name="누적" dataDxfId="125">
      <calculatedColumnFormula>SUM($R$2:R2)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6" name="CMA_한투1837" displayName="CMA_한투1837" ref="A1:T4" totalsRowShown="0" headerRowDxfId="124" dataDxfId="123" headerRowCellStyle="쉼표 [0]" dataCellStyle="쉼표 [0]">
  <autoFilter ref="A1:T4"/>
  <tableColumns count="20">
    <tableColumn id="1" name="거래일자" dataDxfId="122" totalsRowDxfId="121"/>
    <tableColumn id="6" name="종목코드" dataDxfId="120" totalsRowDxfId="119"/>
    <tableColumn id="9" name="종목명" dataDxfId="118" totalsRowDxfId="117">
      <calculatedColumnFormula>VLOOKUP(CMA_한투1837[[#This Row],[종목코드]],표3[],2,FALSE)</calculatedColumnFormula>
    </tableColumn>
    <tableColumn id="10" name="상품명" dataDxfId="116" totalsRowDxfId="115">
      <calculatedColumnFormula>VLOOKUP(CMA_한투1837[[#This Row],[종목코드]],표3[],4,FALSE)</calculatedColumnFormula>
    </tableColumn>
    <tableColumn id="7" name="매입수량" dataDxfId="114" totalsRowDxfId="113"/>
    <tableColumn id="2" name="매입액" dataDxfId="112" totalsRowDxfId="111" dataCellStyle="쉼표 [0]"/>
    <tableColumn id="5" name="현금지출" dataDxfId="110" totalsRowDxfId="109" dataCellStyle="쉼표 [0]"/>
    <tableColumn id="16" name="매입비용" dataDxfId="108" totalsRowDxfId="107" dataCellStyle="쉼표 [0]">
      <calculatedColumnFormula>CMA_한투1837[[#This Row],[현금지출]]-CMA_한투1837[[#This Row],[매입액]]</calculatedColumnFormula>
    </tableColumn>
    <tableColumn id="8" name="매도수량" dataDxfId="106" totalsRowDxfId="105" dataCellStyle="쉼표 [0]"/>
    <tableColumn id="3" name="매도원금" dataDxfId="104" totalsRowDxfId="103" dataCellStyle="쉼표 [0]"/>
    <tableColumn id="15" name="매도액" dataDxfId="102" totalsRowDxfId="101" dataCellStyle="쉼표 [0]"/>
    <tableColumn id="14" name="이자배당액" dataDxfId="100" totalsRowDxfId="99" dataCellStyle="쉼표 [0]"/>
    <tableColumn id="13" name="현금수입" dataDxfId="98" totalsRowDxfId="97" dataCellStyle="쉼표 [0]"/>
    <tableColumn id="17" name="매매수익" dataDxfId="96" totalsRowDxfId="95" dataCellStyle="쉼표 [0]">
      <calculatedColumnFormula>CMA_한투1837[[#This Row],[매도액]]-CMA_한투1837[[#This Row],[매도원금]]</calculatedColumnFormula>
    </tableColumn>
    <tableColumn id="18" name="매도비용" dataDxfId="94" totalsRowDxfId="93" dataCellStyle="쉼표 [0]">
      <calculatedColumnFormula>CMA_한투1837[[#This Row],[매도액]]+CMA_한투1837[[#This Row],[이자배당액]]-CMA_한투1837[[#This Row],[현금수입]]</calculatedColumnFormula>
    </tableColumn>
    <tableColumn id="19" name="순수익" dataDxfId="92" totalsRowDxfId="91" dataCellStyle="쉼표 [0]">
      <calculatedColumnFormula>CMA_한투1837[[#This Row],[매매수익]]+CMA_한투1837[[#This Row],[이자배당액]]-CMA_한투1837[[#This Row],[매도비용]]-CMA_한투1837[[#This Row],[매입비용]]</calculatedColumnFormula>
    </tableColumn>
    <tableColumn id="4" name="입출금" dataDxfId="90" totalsRowDxfId="89" dataCellStyle="쉼표 [0]"/>
    <tableColumn id="21" name="순현금수입" dataDxfId="88" totalsRowDxfId="87" dataCellStyle="쉼표 [0]">
      <calculatedColumnFormula>CMA_한투1837[[#This Row],[입출금]]+CMA_한투1837[[#This Row],[현금수입]]-CMA_한투1837[[#This Row],[현금지출]]</calculatedColumnFormula>
    </tableColumn>
    <tableColumn id="22" name="누적" dataDxfId="86" totalsRowDxfId="85" dataCellStyle="쉼표 [0]">
      <calculatedColumnFormula>SUM($R$2:R2)</calculatedColumnFormula>
    </tableColumn>
    <tableColumn id="12" name="외화입출금" dataDxfId="84" totalsRowDxfId="83" dataCellStyle="쉼표 [0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opLeftCell="A40" workbookViewId="0">
      <selection activeCell="B58" sqref="B58"/>
    </sheetView>
  </sheetViews>
  <sheetFormatPr defaultRowHeight="16.5" x14ac:dyDescent="0.3"/>
  <cols>
    <col min="1" max="1" width="19" bestFit="1" customWidth="1"/>
    <col min="2" max="2" width="22.75" bestFit="1" customWidth="1"/>
    <col min="3" max="3" width="11.25" bestFit="1" customWidth="1"/>
    <col min="4" max="4" width="71.625" bestFit="1" customWidth="1"/>
    <col min="5" max="5" width="9.5" bestFit="1" customWidth="1"/>
    <col min="6" max="6" width="7.5" bestFit="1" customWidth="1"/>
    <col min="7" max="7" width="9.375" bestFit="1" customWidth="1"/>
    <col min="8" max="8" width="13.25" bestFit="1" customWidth="1"/>
    <col min="9" max="9" width="14.5" bestFit="1" customWidth="1"/>
    <col min="10" max="10" width="15.25" bestFit="1" customWidth="1"/>
  </cols>
  <sheetData>
    <row r="1" spans="1:10" x14ac:dyDescent="0.3">
      <c r="A1" t="s">
        <v>77</v>
      </c>
      <c r="B1" t="s">
        <v>78</v>
      </c>
      <c r="C1" t="s">
        <v>311</v>
      </c>
      <c r="D1" t="s">
        <v>26</v>
      </c>
      <c r="E1" t="s">
        <v>6</v>
      </c>
      <c r="F1" t="s">
        <v>16</v>
      </c>
      <c r="G1" t="s">
        <v>19</v>
      </c>
      <c r="H1" t="s">
        <v>20</v>
      </c>
      <c r="I1" t="s">
        <v>170</v>
      </c>
      <c r="J1" t="s">
        <v>310</v>
      </c>
    </row>
    <row r="2" spans="1:10" x14ac:dyDescent="0.3">
      <c r="A2" s="31" t="s">
        <v>113</v>
      </c>
      <c r="B2" t="s">
        <v>90</v>
      </c>
      <c r="C2">
        <v>0</v>
      </c>
      <c r="D2" t="s">
        <v>39</v>
      </c>
      <c r="E2" t="s">
        <v>11</v>
      </c>
      <c r="F2" t="s">
        <v>18</v>
      </c>
      <c r="G2" t="s">
        <v>25</v>
      </c>
      <c r="H2" t="s">
        <v>12</v>
      </c>
      <c r="I2" t="s">
        <v>175</v>
      </c>
      <c r="J2">
        <v>7.5199999999999818</v>
      </c>
    </row>
    <row r="3" spans="1:10" x14ac:dyDescent="0.3">
      <c r="A3" s="31" t="s">
        <v>114</v>
      </c>
      <c r="B3" t="s">
        <v>91</v>
      </c>
      <c r="C3">
        <v>0</v>
      </c>
      <c r="D3" t="s">
        <v>37</v>
      </c>
      <c r="E3" t="s">
        <v>11</v>
      </c>
      <c r="F3" t="s">
        <v>18</v>
      </c>
      <c r="G3" t="s">
        <v>25</v>
      </c>
      <c r="H3" t="s">
        <v>12</v>
      </c>
      <c r="I3" t="s">
        <v>175</v>
      </c>
      <c r="J3">
        <v>-0.1600000000000108</v>
      </c>
    </row>
    <row r="4" spans="1:10" x14ac:dyDescent="0.3">
      <c r="A4" s="31" t="s">
        <v>115</v>
      </c>
      <c r="B4" t="s">
        <v>92</v>
      </c>
      <c r="C4">
        <v>0</v>
      </c>
      <c r="D4" t="s">
        <v>36</v>
      </c>
      <c r="E4" t="s">
        <v>11</v>
      </c>
      <c r="F4" t="s">
        <v>18</v>
      </c>
      <c r="G4" t="s">
        <v>24</v>
      </c>
      <c r="H4" t="s">
        <v>14</v>
      </c>
      <c r="I4" t="s">
        <v>172</v>
      </c>
      <c r="J4">
        <v>-16.72999999999999</v>
      </c>
    </row>
    <row r="5" spans="1:10" x14ac:dyDescent="0.3">
      <c r="A5" s="31" t="s">
        <v>116</v>
      </c>
      <c r="B5" t="s">
        <v>93</v>
      </c>
      <c r="C5">
        <v>0</v>
      </c>
      <c r="D5" t="s">
        <v>76</v>
      </c>
      <c r="E5" t="s">
        <v>11</v>
      </c>
      <c r="F5" t="s">
        <v>18</v>
      </c>
      <c r="G5" t="s">
        <v>24</v>
      </c>
      <c r="H5" t="s">
        <v>14</v>
      </c>
      <c r="I5" t="s">
        <v>172</v>
      </c>
      <c r="J5">
        <v>-3.7800000000000011</v>
      </c>
    </row>
    <row r="6" spans="1:10" x14ac:dyDescent="0.3">
      <c r="A6" s="31" t="s">
        <v>117</v>
      </c>
      <c r="B6" t="s">
        <v>94</v>
      </c>
      <c r="C6">
        <v>0</v>
      </c>
      <c r="D6" t="s">
        <v>30</v>
      </c>
      <c r="E6" t="s">
        <v>11</v>
      </c>
      <c r="F6" t="s">
        <v>18</v>
      </c>
      <c r="G6" t="s">
        <v>24</v>
      </c>
      <c r="H6" t="s">
        <v>14</v>
      </c>
      <c r="I6" t="s">
        <v>172</v>
      </c>
      <c r="J6">
        <v>-15.199999999999989</v>
      </c>
    </row>
    <row r="7" spans="1:10" x14ac:dyDescent="0.3">
      <c r="A7" s="31" t="s">
        <v>118</v>
      </c>
      <c r="B7" t="s">
        <v>95</v>
      </c>
      <c r="C7">
        <v>0</v>
      </c>
      <c r="D7" t="s">
        <v>31</v>
      </c>
      <c r="E7" t="s">
        <v>11</v>
      </c>
      <c r="F7" t="s">
        <v>18</v>
      </c>
      <c r="G7" t="s">
        <v>24</v>
      </c>
      <c r="H7" t="s">
        <v>14</v>
      </c>
      <c r="I7" t="s">
        <v>171</v>
      </c>
      <c r="J7">
        <v>8.1700000000001012</v>
      </c>
    </row>
    <row r="8" spans="1:10" x14ac:dyDescent="0.3">
      <c r="A8" s="31" t="s">
        <v>119</v>
      </c>
      <c r="B8" t="s">
        <v>96</v>
      </c>
      <c r="C8">
        <v>0</v>
      </c>
      <c r="D8" t="s">
        <v>32</v>
      </c>
      <c r="E8" t="s">
        <v>11</v>
      </c>
      <c r="F8" t="s">
        <v>18</v>
      </c>
      <c r="G8" t="s">
        <v>24</v>
      </c>
      <c r="H8" t="s">
        <v>14</v>
      </c>
      <c r="I8" t="s">
        <v>172</v>
      </c>
      <c r="J8">
        <v>-1.2900000000000205</v>
      </c>
    </row>
    <row r="9" spans="1:10" x14ac:dyDescent="0.3">
      <c r="A9" s="31" t="s">
        <v>120</v>
      </c>
      <c r="B9" t="s">
        <v>97</v>
      </c>
      <c r="C9">
        <v>0</v>
      </c>
      <c r="D9" t="s">
        <v>34</v>
      </c>
      <c r="E9" t="s">
        <v>11</v>
      </c>
      <c r="F9" t="s">
        <v>18</v>
      </c>
      <c r="G9" t="s">
        <v>24</v>
      </c>
      <c r="H9" t="s">
        <v>14</v>
      </c>
      <c r="I9" t="s">
        <v>171</v>
      </c>
      <c r="J9">
        <v>0</v>
      </c>
    </row>
    <row r="10" spans="1:10" x14ac:dyDescent="0.3">
      <c r="A10" s="31" t="s">
        <v>121</v>
      </c>
      <c r="B10" t="s">
        <v>98</v>
      </c>
      <c r="C10">
        <v>0</v>
      </c>
      <c r="D10" t="s">
        <v>33</v>
      </c>
      <c r="E10" t="s">
        <v>11</v>
      </c>
      <c r="F10" t="s">
        <v>18</v>
      </c>
      <c r="G10" t="s">
        <v>24</v>
      </c>
      <c r="H10" t="s">
        <v>14</v>
      </c>
      <c r="I10" t="s">
        <v>172</v>
      </c>
      <c r="J10">
        <v>21.75</v>
      </c>
    </row>
    <row r="11" spans="1:10" x14ac:dyDescent="0.3">
      <c r="A11" s="31" t="s">
        <v>122</v>
      </c>
      <c r="B11" t="s">
        <v>99</v>
      </c>
      <c r="C11">
        <v>0</v>
      </c>
      <c r="D11" t="s">
        <v>38</v>
      </c>
      <c r="E11" t="s">
        <v>11</v>
      </c>
      <c r="F11" t="s">
        <v>18</v>
      </c>
      <c r="G11" t="s">
        <v>24</v>
      </c>
      <c r="H11" t="s">
        <v>14</v>
      </c>
      <c r="I11" t="s">
        <v>172</v>
      </c>
      <c r="J11">
        <v>9.4300000000000068</v>
      </c>
    </row>
    <row r="12" spans="1:10" x14ac:dyDescent="0.3">
      <c r="A12" s="31" t="s">
        <v>123</v>
      </c>
      <c r="B12" t="s">
        <v>100</v>
      </c>
      <c r="C12">
        <v>0</v>
      </c>
      <c r="D12" t="s">
        <v>40</v>
      </c>
      <c r="E12" t="s">
        <v>11</v>
      </c>
      <c r="F12" t="s">
        <v>18</v>
      </c>
      <c r="G12" t="s">
        <v>24</v>
      </c>
      <c r="H12" t="s">
        <v>14</v>
      </c>
      <c r="I12" t="s">
        <v>171</v>
      </c>
      <c r="J12">
        <v>36.759999999999991</v>
      </c>
    </row>
    <row r="13" spans="1:10" x14ac:dyDescent="0.3">
      <c r="A13" s="31" t="s">
        <v>124</v>
      </c>
      <c r="B13" t="s">
        <v>101</v>
      </c>
      <c r="C13">
        <v>0</v>
      </c>
      <c r="D13" t="s">
        <v>44</v>
      </c>
      <c r="E13" t="s">
        <v>11</v>
      </c>
      <c r="F13" t="s">
        <v>18</v>
      </c>
      <c r="G13" t="s">
        <v>23</v>
      </c>
      <c r="H13" t="s">
        <v>15</v>
      </c>
      <c r="I13" t="s">
        <v>171</v>
      </c>
      <c r="J13">
        <v>-8.8299999999999841</v>
      </c>
    </row>
    <row r="14" spans="1:10" x14ac:dyDescent="0.3">
      <c r="A14" s="31" t="s">
        <v>125</v>
      </c>
      <c r="B14" t="s">
        <v>102</v>
      </c>
      <c r="C14">
        <v>0</v>
      </c>
      <c r="D14" t="s">
        <v>43</v>
      </c>
      <c r="E14" t="s">
        <v>11</v>
      </c>
      <c r="F14" t="s">
        <v>18</v>
      </c>
      <c r="G14" t="s">
        <v>24</v>
      </c>
      <c r="H14" t="s">
        <v>14</v>
      </c>
      <c r="I14" t="s">
        <v>171</v>
      </c>
      <c r="J14">
        <v>43.339999999999918</v>
      </c>
    </row>
    <row r="15" spans="1:10" x14ac:dyDescent="0.3">
      <c r="A15" s="31" t="s">
        <v>126</v>
      </c>
      <c r="B15" t="s">
        <v>103</v>
      </c>
      <c r="C15">
        <v>0</v>
      </c>
      <c r="D15" t="s">
        <v>41</v>
      </c>
      <c r="E15" t="s">
        <v>11</v>
      </c>
      <c r="F15" t="s">
        <v>18</v>
      </c>
      <c r="G15" t="s">
        <v>23</v>
      </c>
      <c r="H15" t="s">
        <v>15</v>
      </c>
      <c r="I15" t="s">
        <v>173</v>
      </c>
      <c r="J15">
        <v>0</v>
      </c>
    </row>
    <row r="16" spans="1:10" x14ac:dyDescent="0.3">
      <c r="A16" s="31" t="s">
        <v>127</v>
      </c>
      <c r="B16" t="s">
        <v>104</v>
      </c>
      <c r="C16">
        <v>0</v>
      </c>
      <c r="D16" t="s">
        <v>42</v>
      </c>
      <c r="E16" t="s">
        <v>11</v>
      </c>
      <c r="F16" t="s">
        <v>18</v>
      </c>
      <c r="G16" t="s">
        <v>23</v>
      </c>
      <c r="H16" t="s">
        <v>15</v>
      </c>
      <c r="I16" t="s">
        <v>174</v>
      </c>
      <c r="J16">
        <v>0</v>
      </c>
    </row>
    <row r="17" spans="1:10" x14ac:dyDescent="0.3">
      <c r="A17" s="31" t="s">
        <v>128</v>
      </c>
      <c r="B17" t="s">
        <v>105</v>
      </c>
      <c r="C17">
        <v>0</v>
      </c>
      <c r="D17" t="s">
        <v>45</v>
      </c>
      <c r="E17" t="s">
        <v>11</v>
      </c>
      <c r="F17" t="s">
        <v>18</v>
      </c>
      <c r="G17" t="s">
        <v>23</v>
      </c>
      <c r="H17" t="s">
        <v>15</v>
      </c>
      <c r="I17" t="s">
        <v>172</v>
      </c>
      <c r="J17">
        <v>2.2200000000000273</v>
      </c>
    </row>
    <row r="18" spans="1:10" x14ac:dyDescent="0.3">
      <c r="A18" s="31" t="s">
        <v>141</v>
      </c>
      <c r="B18" s="5" t="s">
        <v>144</v>
      </c>
      <c r="C18">
        <v>0</v>
      </c>
      <c r="D18" t="s">
        <v>143</v>
      </c>
      <c r="E18" t="s">
        <v>146</v>
      </c>
      <c r="F18" t="s">
        <v>147</v>
      </c>
      <c r="G18" t="s">
        <v>137</v>
      </c>
      <c r="H18" t="s">
        <v>138</v>
      </c>
      <c r="I18" t="s">
        <v>172</v>
      </c>
      <c r="J18">
        <v>0</v>
      </c>
    </row>
    <row r="19" spans="1:10" x14ac:dyDescent="0.3">
      <c r="A19" s="31" t="s">
        <v>129</v>
      </c>
      <c r="B19" t="s">
        <v>106</v>
      </c>
      <c r="C19">
        <v>0</v>
      </c>
      <c r="D19" t="s">
        <v>35</v>
      </c>
      <c r="E19" t="s">
        <v>11</v>
      </c>
      <c r="F19" t="s">
        <v>18</v>
      </c>
      <c r="G19" t="s">
        <v>25</v>
      </c>
      <c r="H19" t="s">
        <v>12</v>
      </c>
      <c r="I19" t="s">
        <v>13</v>
      </c>
      <c r="J19">
        <v>0</v>
      </c>
    </row>
    <row r="20" spans="1:10" x14ac:dyDescent="0.3">
      <c r="A20" s="31" t="s">
        <v>130</v>
      </c>
      <c r="B20" t="s">
        <v>107</v>
      </c>
      <c r="C20">
        <v>0</v>
      </c>
      <c r="D20" t="s">
        <v>29</v>
      </c>
      <c r="E20" t="s">
        <v>11</v>
      </c>
      <c r="F20" t="s">
        <v>18</v>
      </c>
      <c r="G20" t="s">
        <v>24</v>
      </c>
      <c r="H20" t="s">
        <v>14</v>
      </c>
      <c r="I20" t="s">
        <v>171</v>
      </c>
      <c r="J20">
        <v>0</v>
      </c>
    </row>
    <row r="21" spans="1:10" x14ac:dyDescent="0.3">
      <c r="A21" s="31" t="s">
        <v>140</v>
      </c>
      <c r="B21" s="5" t="s">
        <v>145</v>
      </c>
      <c r="C21">
        <v>0</v>
      </c>
      <c r="D21" t="s">
        <v>142</v>
      </c>
      <c r="E21" t="s">
        <v>146</v>
      </c>
      <c r="F21" t="s">
        <v>147</v>
      </c>
      <c r="G21" t="s">
        <v>75</v>
      </c>
      <c r="H21" t="s">
        <v>148</v>
      </c>
      <c r="I21" t="s">
        <v>176</v>
      </c>
      <c r="J21">
        <v>0</v>
      </c>
    </row>
    <row r="22" spans="1:10" x14ac:dyDescent="0.3">
      <c r="A22" s="31" t="s">
        <v>79</v>
      </c>
      <c r="B22" t="s">
        <v>10</v>
      </c>
      <c r="C22">
        <v>0</v>
      </c>
      <c r="D22" t="s">
        <v>51</v>
      </c>
      <c r="E22" t="s">
        <v>8</v>
      </c>
      <c r="F22" t="s">
        <v>17</v>
      </c>
      <c r="G22" t="s">
        <v>24</v>
      </c>
      <c r="H22" t="s">
        <v>9</v>
      </c>
      <c r="J22">
        <v>714000</v>
      </c>
    </row>
    <row r="23" spans="1:10" x14ac:dyDescent="0.3">
      <c r="A23" s="31" t="s">
        <v>80</v>
      </c>
      <c r="B23" t="s">
        <v>150</v>
      </c>
      <c r="C23">
        <v>0</v>
      </c>
      <c r="D23" t="s">
        <v>48</v>
      </c>
      <c r="E23" t="s">
        <v>7</v>
      </c>
      <c r="F23" t="s">
        <v>17</v>
      </c>
      <c r="G23" t="s">
        <v>137</v>
      </c>
      <c r="H23" t="s">
        <v>139</v>
      </c>
      <c r="J23">
        <v>0</v>
      </c>
    </row>
    <row r="24" spans="1:10" x14ac:dyDescent="0.3">
      <c r="A24" s="31" t="s">
        <v>81</v>
      </c>
      <c r="B24" t="s">
        <v>135</v>
      </c>
      <c r="C24">
        <v>0</v>
      </c>
      <c r="D24" t="s">
        <v>46</v>
      </c>
      <c r="E24" t="s">
        <v>7</v>
      </c>
      <c r="F24" t="s">
        <v>17</v>
      </c>
      <c r="G24" t="s">
        <v>21</v>
      </c>
      <c r="H24" t="s">
        <v>17</v>
      </c>
      <c r="I24" t="s">
        <v>22</v>
      </c>
      <c r="J24">
        <v>0</v>
      </c>
    </row>
    <row r="25" spans="1:10" x14ac:dyDescent="0.3">
      <c r="A25" s="31" t="s">
        <v>82</v>
      </c>
      <c r="B25" t="s">
        <v>66</v>
      </c>
      <c r="C25">
        <v>0</v>
      </c>
      <c r="D25" t="s">
        <v>67</v>
      </c>
      <c r="E25" t="s">
        <v>2</v>
      </c>
      <c r="F25" t="s">
        <v>17</v>
      </c>
      <c r="G25" t="s">
        <v>5</v>
      </c>
      <c r="H25" t="s">
        <v>4</v>
      </c>
      <c r="J25">
        <v>399892</v>
      </c>
    </row>
    <row r="26" spans="1:10" x14ac:dyDescent="0.3">
      <c r="A26" s="31" t="s">
        <v>284</v>
      </c>
      <c r="B26" s="5" t="s">
        <v>181</v>
      </c>
      <c r="C26">
        <v>0</v>
      </c>
      <c r="D26" t="s">
        <v>182</v>
      </c>
      <c r="E26" t="s">
        <v>2</v>
      </c>
      <c r="F26" t="s">
        <v>17</v>
      </c>
      <c r="G26" t="s">
        <v>5</v>
      </c>
      <c r="H26" t="s">
        <v>4</v>
      </c>
      <c r="J26">
        <v>114050</v>
      </c>
    </row>
    <row r="27" spans="1:10" x14ac:dyDescent="0.3">
      <c r="A27" s="31" t="s">
        <v>267</v>
      </c>
      <c r="B27" s="5" t="s">
        <v>179</v>
      </c>
      <c r="C27">
        <v>0</v>
      </c>
      <c r="D27" t="s">
        <v>180</v>
      </c>
      <c r="E27" t="s">
        <v>7</v>
      </c>
      <c r="F27" t="s">
        <v>17</v>
      </c>
      <c r="G27" t="s">
        <v>21</v>
      </c>
      <c r="H27" t="s">
        <v>17</v>
      </c>
      <c r="I27" t="s">
        <v>177</v>
      </c>
      <c r="J27">
        <v>0</v>
      </c>
    </row>
    <row r="28" spans="1:10" x14ac:dyDescent="0.3">
      <c r="A28" s="31" t="s">
        <v>272</v>
      </c>
      <c r="B28" s="5" t="s">
        <v>178</v>
      </c>
      <c r="C28">
        <v>0</v>
      </c>
      <c r="D28" t="s">
        <v>194</v>
      </c>
      <c r="E28" t="s">
        <v>2</v>
      </c>
      <c r="F28" t="s">
        <v>17</v>
      </c>
      <c r="G28" t="s">
        <v>21</v>
      </c>
      <c r="H28" t="s">
        <v>17</v>
      </c>
      <c r="I28" t="s">
        <v>177</v>
      </c>
      <c r="J28">
        <v>0</v>
      </c>
    </row>
    <row r="29" spans="1:10" x14ac:dyDescent="0.3">
      <c r="A29" s="31" t="s">
        <v>264</v>
      </c>
      <c r="B29" s="5" t="s">
        <v>192</v>
      </c>
      <c r="C29">
        <v>0</v>
      </c>
      <c r="D29" t="s">
        <v>195</v>
      </c>
      <c r="E29" t="s">
        <v>197</v>
      </c>
      <c r="F29" t="s">
        <v>17</v>
      </c>
      <c r="G29" t="s">
        <v>21</v>
      </c>
      <c r="H29" t="s">
        <v>17</v>
      </c>
      <c r="I29" t="s">
        <v>177</v>
      </c>
      <c r="J29">
        <v>0</v>
      </c>
    </row>
    <row r="30" spans="1:10" x14ac:dyDescent="0.3">
      <c r="A30" s="31" t="s">
        <v>270</v>
      </c>
      <c r="B30" s="5" t="s">
        <v>193</v>
      </c>
      <c r="C30">
        <v>0</v>
      </c>
      <c r="D30" t="s">
        <v>196</v>
      </c>
      <c r="E30" t="s">
        <v>198</v>
      </c>
      <c r="F30" t="s">
        <v>17</v>
      </c>
      <c r="G30" t="s">
        <v>21</v>
      </c>
      <c r="H30" t="s">
        <v>17</v>
      </c>
      <c r="I30" t="s">
        <v>177</v>
      </c>
      <c r="J30">
        <v>0</v>
      </c>
    </row>
    <row r="31" spans="1:10" x14ac:dyDescent="0.3">
      <c r="A31" s="31" t="s">
        <v>83</v>
      </c>
      <c r="B31" t="s">
        <v>108</v>
      </c>
      <c r="C31">
        <v>0</v>
      </c>
      <c r="D31" t="s">
        <v>50</v>
      </c>
      <c r="E31" t="s">
        <v>3</v>
      </c>
      <c r="F31" t="s">
        <v>17</v>
      </c>
      <c r="G31" t="s">
        <v>137</v>
      </c>
      <c r="H31" t="s">
        <v>139</v>
      </c>
      <c r="J31">
        <v>0</v>
      </c>
    </row>
    <row r="32" spans="1:10" x14ac:dyDescent="0.3">
      <c r="A32" s="31" t="s">
        <v>84</v>
      </c>
      <c r="B32" t="s">
        <v>109</v>
      </c>
      <c r="C32">
        <v>0</v>
      </c>
      <c r="D32" t="s">
        <v>49</v>
      </c>
      <c r="E32" t="s">
        <v>3</v>
      </c>
      <c r="F32" t="s">
        <v>17</v>
      </c>
      <c r="G32" t="s">
        <v>137</v>
      </c>
      <c r="H32" t="s">
        <v>139</v>
      </c>
      <c r="J32">
        <v>0</v>
      </c>
    </row>
    <row r="33" spans="1:10" x14ac:dyDescent="0.3">
      <c r="A33" s="31" t="s">
        <v>85</v>
      </c>
      <c r="B33" t="s">
        <v>110</v>
      </c>
      <c r="C33">
        <v>0</v>
      </c>
      <c r="D33" t="s">
        <v>68</v>
      </c>
      <c r="E33" t="s">
        <v>69</v>
      </c>
      <c r="F33" t="s">
        <v>70</v>
      </c>
      <c r="G33" t="s">
        <v>71</v>
      </c>
      <c r="H33" t="s">
        <v>72</v>
      </c>
      <c r="J33">
        <v>0</v>
      </c>
    </row>
    <row r="34" spans="1:10" x14ac:dyDescent="0.3">
      <c r="A34" s="31" t="s">
        <v>86</v>
      </c>
      <c r="B34" t="s">
        <v>136</v>
      </c>
      <c r="C34">
        <v>0</v>
      </c>
      <c r="D34" t="s">
        <v>47</v>
      </c>
      <c r="E34" t="s">
        <v>197</v>
      </c>
      <c r="F34" t="s">
        <v>17</v>
      </c>
      <c r="G34" t="s">
        <v>21</v>
      </c>
      <c r="H34" t="s">
        <v>17</v>
      </c>
      <c r="I34" t="s">
        <v>22</v>
      </c>
      <c r="J34">
        <v>0</v>
      </c>
    </row>
    <row r="35" spans="1:10" x14ac:dyDescent="0.3">
      <c r="A35" s="31" t="s">
        <v>87</v>
      </c>
      <c r="B35" t="s">
        <v>111</v>
      </c>
      <c r="C35">
        <v>0</v>
      </c>
      <c r="D35" t="s">
        <v>52</v>
      </c>
      <c r="E35" t="s">
        <v>11</v>
      </c>
      <c r="F35" t="s">
        <v>18</v>
      </c>
      <c r="G35" t="s">
        <v>21</v>
      </c>
      <c r="H35" t="s">
        <v>13</v>
      </c>
      <c r="I35" t="s">
        <v>177</v>
      </c>
      <c r="J35">
        <v>0</v>
      </c>
    </row>
    <row r="36" spans="1:10" x14ac:dyDescent="0.3">
      <c r="A36" s="31" t="s">
        <v>88</v>
      </c>
      <c r="B36" t="s">
        <v>112</v>
      </c>
      <c r="C36">
        <v>0</v>
      </c>
      <c r="D36" t="s">
        <v>63</v>
      </c>
      <c r="E36" t="s">
        <v>2</v>
      </c>
      <c r="F36" t="s">
        <v>18</v>
      </c>
      <c r="G36" t="s">
        <v>21</v>
      </c>
      <c r="H36" t="s">
        <v>13</v>
      </c>
      <c r="I36" t="s">
        <v>177</v>
      </c>
      <c r="J36">
        <v>0</v>
      </c>
    </row>
    <row r="37" spans="1:10" x14ac:dyDescent="0.3">
      <c r="A37" s="31" t="s">
        <v>260</v>
      </c>
      <c r="B37" s="5" t="s">
        <v>184</v>
      </c>
      <c r="C37">
        <v>0</v>
      </c>
      <c r="D37" t="s">
        <v>186</v>
      </c>
      <c r="E37" t="s">
        <v>2</v>
      </c>
      <c r="F37" t="s">
        <v>183</v>
      </c>
      <c r="G37" t="s">
        <v>21</v>
      </c>
      <c r="H37" t="s">
        <v>13</v>
      </c>
      <c r="I37" t="s">
        <v>177</v>
      </c>
      <c r="J37">
        <v>0</v>
      </c>
    </row>
    <row r="38" spans="1:10" x14ac:dyDescent="0.3">
      <c r="A38" s="31" t="s">
        <v>89</v>
      </c>
      <c r="B38" t="s">
        <v>149</v>
      </c>
      <c r="C38">
        <v>0</v>
      </c>
      <c r="D38" t="s">
        <v>64</v>
      </c>
      <c r="E38" t="s">
        <v>2</v>
      </c>
      <c r="F38" t="s">
        <v>18</v>
      </c>
      <c r="G38" t="s">
        <v>21</v>
      </c>
      <c r="H38" t="s">
        <v>13</v>
      </c>
      <c r="I38" t="s">
        <v>22</v>
      </c>
      <c r="J38">
        <v>0</v>
      </c>
    </row>
    <row r="39" spans="1:10" x14ac:dyDescent="0.3">
      <c r="A39" s="31" t="s">
        <v>255</v>
      </c>
      <c r="B39" t="s">
        <v>163</v>
      </c>
      <c r="C39">
        <v>3118.02</v>
      </c>
      <c r="D39" t="s">
        <v>166</v>
      </c>
      <c r="E39" t="s">
        <v>2</v>
      </c>
      <c r="F39" t="s">
        <v>18</v>
      </c>
      <c r="G39" t="s">
        <v>137</v>
      </c>
      <c r="H39" t="s">
        <v>138</v>
      </c>
      <c r="J39">
        <v>0</v>
      </c>
    </row>
    <row r="40" spans="1:10" x14ac:dyDescent="0.3">
      <c r="A40" s="31" t="s">
        <v>257</v>
      </c>
      <c r="B40" s="5" t="s">
        <v>164</v>
      </c>
      <c r="C40">
        <v>0</v>
      </c>
      <c r="D40" t="s">
        <v>167</v>
      </c>
      <c r="E40" t="s">
        <v>2</v>
      </c>
      <c r="F40" t="s">
        <v>18</v>
      </c>
      <c r="G40" t="s">
        <v>21</v>
      </c>
      <c r="H40" t="s">
        <v>13</v>
      </c>
      <c r="I40" t="s">
        <v>22</v>
      </c>
      <c r="J40">
        <v>0</v>
      </c>
    </row>
    <row r="41" spans="1:10" x14ac:dyDescent="0.3">
      <c r="A41" s="31" t="s">
        <v>291</v>
      </c>
      <c r="B41" s="5" t="s">
        <v>165</v>
      </c>
      <c r="C41">
        <v>5045369</v>
      </c>
      <c r="D41" t="s">
        <v>168</v>
      </c>
      <c r="E41" t="s">
        <v>2</v>
      </c>
      <c r="F41" t="s">
        <v>70</v>
      </c>
      <c r="G41" t="s">
        <v>21</v>
      </c>
      <c r="H41" t="s">
        <v>17</v>
      </c>
      <c r="I41" t="s">
        <v>22</v>
      </c>
      <c r="J41">
        <v>0</v>
      </c>
    </row>
    <row r="42" spans="1:10" x14ac:dyDescent="0.3">
      <c r="A42" s="31" t="s">
        <v>287</v>
      </c>
      <c r="B42" s="5" t="s">
        <v>162</v>
      </c>
      <c r="C42">
        <f>5056743+4774227+604108</f>
        <v>10435078</v>
      </c>
      <c r="D42" t="s">
        <v>169</v>
      </c>
      <c r="E42" t="s">
        <v>2</v>
      </c>
      <c r="F42" t="s">
        <v>70</v>
      </c>
      <c r="G42" t="s">
        <v>137</v>
      </c>
      <c r="H42" t="s">
        <v>139</v>
      </c>
      <c r="J42">
        <v>0</v>
      </c>
    </row>
    <row r="43" spans="1:10" x14ac:dyDescent="0.3">
      <c r="A43" s="31" t="s">
        <v>151</v>
      </c>
      <c r="B43" s="5" t="s">
        <v>152</v>
      </c>
      <c r="C43">
        <v>0</v>
      </c>
      <c r="D43" t="s">
        <v>159</v>
      </c>
      <c r="E43" t="s">
        <v>2</v>
      </c>
      <c r="F43" t="s">
        <v>18</v>
      </c>
      <c r="G43" t="s">
        <v>23</v>
      </c>
      <c r="H43" t="s">
        <v>15</v>
      </c>
      <c r="J43">
        <v>0</v>
      </c>
    </row>
    <row r="44" spans="1:10" x14ac:dyDescent="0.3">
      <c r="A44" s="31" t="s">
        <v>154</v>
      </c>
      <c r="B44" s="5" t="s">
        <v>153</v>
      </c>
      <c r="C44">
        <v>1497062</v>
      </c>
      <c r="D44" t="s">
        <v>153</v>
      </c>
      <c r="E44" t="s">
        <v>198</v>
      </c>
      <c r="F44" t="s">
        <v>70</v>
      </c>
      <c r="G44" t="s">
        <v>137</v>
      </c>
      <c r="H44" t="s">
        <v>139</v>
      </c>
      <c r="J44">
        <v>0</v>
      </c>
    </row>
    <row r="45" spans="1:10" x14ac:dyDescent="0.3">
      <c r="A45" s="31" t="s">
        <v>156</v>
      </c>
      <c r="B45" s="5" t="s">
        <v>155</v>
      </c>
      <c r="C45">
        <v>0</v>
      </c>
      <c r="D45" t="s">
        <v>157</v>
      </c>
      <c r="E45" t="s">
        <v>11</v>
      </c>
      <c r="F45" t="s">
        <v>18</v>
      </c>
      <c r="G45" t="s">
        <v>24</v>
      </c>
      <c r="H45" t="s">
        <v>14</v>
      </c>
      <c r="I45" t="s">
        <v>171</v>
      </c>
      <c r="J45">
        <v>0</v>
      </c>
    </row>
    <row r="46" spans="1:10" x14ac:dyDescent="0.3">
      <c r="A46" s="31" t="s">
        <v>276</v>
      </c>
      <c r="B46" s="5" t="s">
        <v>160</v>
      </c>
      <c r="C46">
        <v>0</v>
      </c>
      <c r="D46" t="s">
        <v>160</v>
      </c>
      <c r="E46" t="s">
        <v>2</v>
      </c>
      <c r="F46" t="s">
        <v>17</v>
      </c>
      <c r="G46" t="s">
        <v>24</v>
      </c>
      <c r="H46" t="s">
        <v>9</v>
      </c>
      <c r="J46">
        <v>164000</v>
      </c>
    </row>
    <row r="47" spans="1:10" x14ac:dyDescent="0.3">
      <c r="A47" s="31" t="s">
        <v>274</v>
      </c>
      <c r="B47" s="5" t="s">
        <v>161</v>
      </c>
      <c r="C47">
        <v>1054767</v>
      </c>
      <c r="D47" s="5" t="s">
        <v>161</v>
      </c>
      <c r="E47" t="s">
        <v>198</v>
      </c>
      <c r="F47" t="s">
        <v>17</v>
      </c>
      <c r="G47" t="s">
        <v>137</v>
      </c>
      <c r="H47" t="s">
        <v>139</v>
      </c>
      <c r="J47">
        <v>0</v>
      </c>
    </row>
    <row r="48" spans="1:10" x14ac:dyDescent="0.3">
      <c r="A48" s="31" t="s">
        <v>227</v>
      </c>
      <c r="B48" s="5" t="s">
        <v>187</v>
      </c>
      <c r="C48">
        <v>0</v>
      </c>
      <c r="D48" t="s">
        <v>188</v>
      </c>
      <c r="E48" t="s">
        <v>2</v>
      </c>
      <c r="F48" t="s">
        <v>183</v>
      </c>
      <c r="G48" t="s">
        <v>25</v>
      </c>
      <c r="H48" t="s">
        <v>189</v>
      </c>
      <c r="I48" t="s">
        <v>189</v>
      </c>
      <c r="J48">
        <v>-2674</v>
      </c>
    </row>
    <row r="49" spans="1:10" x14ac:dyDescent="0.3">
      <c r="A49" s="31" t="s">
        <v>199</v>
      </c>
      <c r="B49" s="5" t="s">
        <v>200</v>
      </c>
      <c r="C49">
        <v>0</v>
      </c>
      <c r="D49" t="s">
        <v>200</v>
      </c>
      <c r="E49" t="s">
        <v>201</v>
      </c>
      <c r="F49" t="s">
        <v>70</v>
      </c>
      <c r="G49" t="s">
        <v>71</v>
      </c>
      <c r="H49" t="s">
        <v>72</v>
      </c>
      <c r="J49">
        <v>57600</v>
      </c>
    </row>
    <row r="50" spans="1:10" x14ac:dyDescent="0.3">
      <c r="A50" s="31" t="s">
        <v>202</v>
      </c>
      <c r="B50" s="5" t="s">
        <v>203</v>
      </c>
      <c r="C50">
        <v>0</v>
      </c>
      <c r="D50" t="s">
        <v>204</v>
      </c>
      <c r="E50" t="s">
        <v>201</v>
      </c>
      <c r="F50" t="s">
        <v>147</v>
      </c>
      <c r="G50" t="s">
        <v>75</v>
      </c>
      <c r="H50" t="s">
        <v>148</v>
      </c>
      <c r="I50" t="s">
        <v>91</v>
      </c>
      <c r="J50">
        <v>30</v>
      </c>
    </row>
    <row r="51" spans="1:10" x14ac:dyDescent="0.3">
      <c r="A51" s="31" t="s">
        <v>279</v>
      </c>
      <c r="B51" s="5" t="s">
        <v>229</v>
      </c>
      <c r="C51">
        <v>0</v>
      </c>
      <c r="D51" t="s">
        <v>230</v>
      </c>
      <c r="E51" t="s">
        <v>201</v>
      </c>
      <c r="F51" t="s">
        <v>70</v>
      </c>
      <c r="G51" t="s">
        <v>137</v>
      </c>
      <c r="H51" t="s">
        <v>138</v>
      </c>
      <c r="I51" t="s">
        <v>103</v>
      </c>
      <c r="J51">
        <v>57570</v>
      </c>
    </row>
    <row r="52" spans="1:10" x14ac:dyDescent="0.3">
      <c r="A52" s="31" t="s">
        <v>285</v>
      </c>
      <c r="B52" s="5" t="s">
        <v>231</v>
      </c>
      <c r="C52">
        <v>0</v>
      </c>
      <c r="D52" t="s">
        <v>232</v>
      </c>
      <c r="E52" t="s">
        <v>201</v>
      </c>
      <c r="F52" t="s">
        <v>70</v>
      </c>
      <c r="G52" t="s">
        <v>71</v>
      </c>
      <c r="H52" t="s">
        <v>72</v>
      </c>
      <c r="J52">
        <v>183365</v>
      </c>
    </row>
    <row r="53" spans="1:10" x14ac:dyDescent="0.3">
      <c r="A53" s="31" t="s">
        <v>277</v>
      </c>
      <c r="B53" s="5" t="s">
        <v>233</v>
      </c>
      <c r="C53">
        <v>0</v>
      </c>
      <c r="D53" t="s">
        <v>234</v>
      </c>
      <c r="E53" t="s">
        <v>201</v>
      </c>
      <c r="F53" t="s">
        <v>70</v>
      </c>
      <c r="G53" t="s">
        <v>71</v>
      </c>
      <c r="H53" t="s">
        <v>235</v>
      </c>
      <c r="I53" t="s">
        <v>236</v>
      </c>
      <c r="J53">
        <v>11520</v>
      </c>
    </row>
    <row r="54" spans="1:10" x14ac:dyDescent="0.3">
      <c r="A54" s="31" t="s">
        <v>458</v>
      </c>
      <c r="B54" s="5" t="s">
        <v>237</v>
      </c>
      <c r="C54">
        <v>1969.4</v>
      </c>
      <c r="D54" t="s">
        <v>239</v>
      </c>
      <c r="E54" t="s">
        <v>201</v>
      </c>
      <c r="F54" t="s">
        <v>147</v>
      </c>
      <c r="G54" t="s">
        <v>137</v>
      </c>
      <c r="H54" t="s">
        <v>138</v>
      </c>
      <c r="I54" t="s">
        <v>236</v>
      </c>
      <c r="J54">
        <v>0</v>
      </c>
    </row>
    <row r="55" spans="1:10" x14ac:dyDescent="0.3">
      <c r="A55" s="31" t="s">
        <v>242</v>
      </c>
      <c r="B55" s="5" t="s">
        <v>240</v>
      </c>
      <c r="C55">
        <v>0</v>
      </c>
      <c r="D55" t="s">
        <v>240</v>
      </c>
      <c r="E55" t="s">
        <v>201</v>
      </c>
      <c r="F55" t="s">
        <v>70</v>
      </c>
      <c r="G55" t="s">
        <v>71</v>
      </c>
      <c r="H55" t="s">
        <v>72</v>
      </c>
      <c r="J55">
        <v>-443800</v>
      </c>
    </row>
    <row r="56" spans="1:10" x14ac:dyDescent="0.3">
      <c r="A56" s="31" t="s">
        <v>278</v>
      </c>
      <c r="B56" s="5" t="s">
        <v>243</v>
      </c>
      <c r="C56">
        <v>0</v>
      </c>
      <c r="D56" t="s">
        <v>241</v>
      </c>
      <c r="E56" t="s">
        <v>201</v>
      </c>
      <c r="F56" t="s">
        <v>70</v>
      </c>
      <c r="G56" t="s">
        <v>75</v>
      </c>
      <c r="H56" t="s">
        <v>148</v>
      </c>
      <c r="I56" t="s">
        <v>244</v>
      </c>
      <c r="J56">
        <v>20615</v>
      </c>
    </row>
    <row r="57" spans="1:10" x14ac:dyDescent="0.3">
      <c r="A57" s="31" t="s">
        <v>280</v>
      </c>
      <c r="B57" s="5" t="s">
        <v>245</v>
      </c>
      <c r="C57">
        <v>0</v>
      </c>
      <c r="D57" t="s">
        <v>246</v>
      </c>
      <c r="E57" t="s">
        <v>201</v>
      </c>
      <c r="F57" t="s">
        <v>70</v>
      </c>
      <c r="G57" t="s">
        <v>71</v>
      </c>
      <c r="H57" t="s">
        <v>235</v>
      </c>
      <c r="I57" t="s">
        <v>247</v>
      </c>
      <c r="J57">
        <v>0</v>
      </c>
    </row>
    <row r="58" spans="1:10" x14ac:dyDescent="0.3">
      <c r="A58" s="31" t="s">
        <v>429</v>
      </c>
      <c r="B58" s="5" t="s">
        <v>312</v>
      </c>
      <c r="C58">
        <v>0</v>
      </c>
      <c r="D58" t="s">
        <v>313</v>
      </c>
      <c r="E58" t="s">
        <v>314</v>
      </c>
      <c r="F58" t="s">
        <v>315</v>
      </c>
      <c r="G58" t="s">
        <v>316</v>
      </c>
      <c r="H58" t="s">
        <v>317</v>
      </c>
      <c r="J58" s="5">
        <v>0</v>
      </c>
    </row>
    <row r="59" spans="1:10" x14ac:dyDescent="0.3">
      <c r="A59" s="31" t="s">
        <v>421</v>
      </c>
      <c r="B59" s="5" t="s">
        <v>423</v>
      </c>
      <c r="C59">
        <v>0</v>
      </c>
      <c r="D59" t="s">
        <v>424</v>
      </c>
      <c r="E59" t="s">
        <v>425</v>
      </c>
      <c r="F59" t="s">
        <v>426</v>
      </c>
      <c r="G59" t="s">
        <v>427</v>
      </c>
      <c r="H59" t="s">
        <v>428</v>
      </c>
      <c r="J59" s="5">
        <v>0</v>
      </c>
    </row>
    <row r="60" spans="1:10" x14ac:dyDescent="0.3">
      <c r="A60" s="31" t="s">
        <v>436</v>
      </c>
      <c r="B60" s="5" t="s">
        <v>431</v>
      </c>
      <c r="C60">
        <v>0</v>
      </c>
      <c r="D60" t="s">
        <v>430</v>
      </c>
      <c r="E60" t="s">
        <v>425</v>
      </c>
      <c r="F60" t="s">
        <v>17</v>
      </c>
      <c r="G60" t="s">
        <v>427</v>
      </c>
      <c r="H60" t="s">
        <v>428</v>
      </c>
      <c r="J60" s="5">
        <v>0</v>
      </c>
    </row>
    <row r="61" spans="1:10" x14ac:dyDescent="0.3">
      <c r="A61" s="31" t="s">
        <v>437</v>
      </c>
      <c r="B61" s="5" t="s">
        <v>432</v>
      </c>
      <c r="C61">
        <v>0</v>
      </c>
      <c r="D61" t="s">
        <v>433</v>
      </c>
      <c r="E61" t="s">
        <v>425</v>
      </c>
      <c r="F61" t="s">
        <v>17</v>
      </c>
      <c r="G61" t="s">
        <v>427</v>
      </c>
      <c r="H61" t="s">
        <v>428</v>
      </c>
      <c r="J61" s="5">
        <v>0</v>
      </c>
    </row>
    <row r="62" spans="1:10" x14ac:dyDescent="0.3">
      <c r="A62" s="31" t="s">
        <v>438</v>
      </c>
      <c r="B62" s="5" t="s">
        <v>434</v>
      </c>
      <c r="C62">
        <v>0</v>
      </c>
      <c r="D62" t="s">
        <v>435</v>
      </c>
      <c r="E62" t="s">
        <v>425</v>
      </c>
      <c r="F62" t="s">
        <v>17</v>
      </c>
      <c r="G62" t="s">
        <v>427</v>
      </c>
      <c r="H62" t="s">
        <v>428</v>
      </c>
      <c r="J62" s="5">
        <v>0</v>
      </c>
    </row>
    <row r="63" spans="1:10" x14ac:dyDescent="0.3">
      <c r="A63" s="31" t="s">
        <v>448</v>
      </c>
      <c r="B63" s="5" t="s">
        <v>457</v>
      </c>
      <c r="C63">
        <v>0</v>
      </c>
      <c r="D63" t="s">
        <v>455</v>
      </c>
      <c r="E63" t="s">
        <v>452</v>
      </c>
      <c r="F63" t="s">
        <v>18</v>
      </c>
      <c r="G63" t="s">
        <v>453</v>
      </c>
      <c r="H63" t="s">
        <v>456</v>
      </c>
      <c r="J63" s="5">
        <v>0</v>
      </c>
    </row>
    <row r="64" spans="1:10" x14ac:dyDescent="0.3">
      <c r="A64" s="31" t="s">
        <v>449</v>
      </c>
      <c r="B64" s="5" t="s">
        <v>450</v>
      </c>
      <c r="C64">
        <v>0</v>
      </c>
      <c r="D64" t="s">
        <v>451</v>
      </c>
      <c r="E64" t="s">
        <v>452</v>
      </c>
      <c r="F64" t="s">
        <v>18</v>
      </c>
      <c r="G64" t="s">
        <v>453</v>
      </c>
      <c r="H64" t="s">
        <v>454</v>
      </c>
      <c r="J64" s="5"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pane xSplit="4" ySplit="1" topLeftCell="E2" activePane="bottomRight" state="frozen"/>
      <selection activeCell="A46" sqref="A46"/>
      <selection pane="topRight" activeCell="O1" sqref="O1"/>
      <selection pane="bottomLeft" activeCell="A2" sqref="A2"/>
      <selection pane="bottomRight" activeCell="S4" sqref="S4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40" customWidth="1"/>
    <col min="6" max="6" width="8.625" customWidth="1"/>
    <col min="7" max="7" width="10.25" customWidth="1"/>
    <col min="8" max="8" width="7.125" customWidth="1"/>
    <col min="9" max="9" width="6" style="40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bestFit="1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4" t="s">
        <v>26</v>
      </c>
      <c r="E1" s="42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7" t="s">
        <v>62</v>
      </c>
    </row>
    <row r="2" spans="1:19" x14ac:dyDescent="0.3">
      <c r="A2" s="22">
        <v>45292</v>
      </c>
      <c r="B2" s="5" t="s">
        <v>185</v>
      </c>
      <c r="C2" s="1" t="str">
        <f>VLOOKUP(표4_10[[#This Row],[종목코드]],표3[],2,FALSE)</f>
        <v>직접운용엔</v>
      </c>
      <c r="D2" s="9" t="str">
        <f>VLOOKUP(표4_10[[#This Row],[종목코드]],표3[],4,FALSE)</f>
        <v>한국투자증권 직접투자계화 엔화예수금</v>
      </c>
      <c r="E2" s="40">
        <v>1</v>
      </c>
      <c r="F2" s="23">
        <v>0</v>
      </c>
      <c r="G2" s="24">
        <v>0</v>
      </c>
      <c r="H2" s="24">
        <f>표4_10[[#This Row],[현금지출]]-표4_10[[#This Row],[매입액]]</f>
        <v>0</v>
      </c>
      <c r="I2" s="44">
        <v>0</v>
      </c>
      <c r="J2" s="23">
        <v>0</v>
      </c>
      <c r="K2" s="23">
        <v>0</v>
      </c>
      <c r="L2" s="23">
        <v>0</v>
      </c>
      <c r="M2" s="23">
        <v>0</v>
      </c>
      <c r="N2" s="23">
        <f>표4_10[[#This Row],[매도액]]-표4_10[[#This Row],[매도원금]]</f>
        <v>0</v>
      </c>
      <c r="O2" s="23">
        <f>표4_10[[#This Row],[매도액]]+표4_10[[#This Row],[이자배당액]]-표4_10[[#This Row],[현금수입]]</f>
        <v>0</v>
      </c>
      <c r="P2" s="25">
        <f>표4_10[[#This Row],[매매수익]]+표4_10[[#This Row],[이자배당액]]-표4_10[[#This Row],[매도비용]]-표4_10[[#This Row],[매입비용]]</f>
        <v>0</v>
      </c>
      <c r="Q2" s="26">
        <v>2911</v>
      </c>
      <c r="R2" s="26">
        <f>표4_10[[#This Row],[입출금]]+표4_10[[#This Row],[현금수입]]-표4_10[[#This Row],[현금지출]]</f>
        <v>2911</v>
      </c>
      <c r="S2" s="26">
        <f>SUM($R$2:R2)</f>
        <v>2911</v>
      </c>
    </row>
    <row r="3" spans="1:19" x14ac:dyDescent="0.3">
      <c r="A3" s="22">
        <v>45292</v>
      </c>
      <c r="B3" s="31" t="s">
        <v>227</v>
      </c>
      <c r="C3" s="32" t="str">
        <f>VLOOKUP(표4_10[[#This Row],[종목코드]],표3[],2,FALSE)</f>
        <v>일본리츠</v>
      </c>
      <c r="D3" s="54" t="str">
        <f>VLOOKUP(표4_10[[#This Row],[종목코드]],표3[],4,FALSE)</f>
        <v>ISHARES JAPAN REIT ETF</v>
      </c>
      <c r="E3" s="43">
        <v>1</v>
      </c>
      <c r="F3" s="27">
        <v>359653</v>
      </c>
      <c r="G3" s="28">
        <v>359653</v>
      </c>
      <c r="H3" s="28">
        <f>표4_10[[#This Row],[현금지출]]-표4_10[[#This Row],[매입액]]</f>
        <v>0</v>
      </c>
      <c r="I3" s="45">
        <v>0</v>
      </c>
      <c r="J3" s="27">
        <v>0</v>
      </c>
      <c r="K3" s="27">
        <v>0</v>
      </c>
      <c r="L3" s="27">
        <v>0</v>
      </c>
      <c r="M3" s="27">
        <v>0</v>
      </c>
      <c r="N3" s="27">
        <f>표4_10[[#This Row],[매도액]]-표4_10[[#This Row],[매도원금]]</f>
        <v>0</v>
      </c>
      <c r="O3" s="27">
        <f>표4_10[[#This Row],[매도액]]+표4_10[[#This Row],[이자배당액]]-표4_10[[#This Row],[현금수입]]</f>
        <v>0</v>
      </c>
      <c r="P3" s="29">
        <f>표4_10[[#This Row],[매매수익]]+표4_10[[#This Row],[이자배당액]]-표4_10[[#This Row],[매도비용]]-표4_10[[#This Row],[매입비용]]</f>
        <v>0</v>
      </c>
      <c r="Q3" s="30">
        <v>359653</v>
      </c>
      <c r="R3" s="30">
        <f>표4_10[[#This Row],[입출금]]+표4_10[[#This Row],[현금수입]]-표4_10[[#This Row],[현금지출]]</f>
        <v>0</v>
      </c>
      <c r="S3" s="26">
        <f>SUM($R$2:R3)</f>
        <v>2911</v>
      </c>
    </row>
    <row r="4" spans="1:19" x14ac:dyDescent="0.3">
      <c r="A4" s="99">
        <v>45343</v>
      </c>
      <c r="B4" s="106" t="s">
        <v>422</v>
      </c>
      <c r="C4" s="97" t="str">
        <f>VLOOKUP(표4_10[[#This Row],[종목코드]],표3[],2,FALSE)</f>
        <v>일본배당주</v>
      </c>
      <c r="D4" s="100" t="str">
        <f>VLOOKUP(표4_10[[#This Row],[종목코드]],표3[],4,FALSE)</f>
        <v>NEXT FUNDS JAPAN HIGH DIVIDEND EQUITY ACTIVE EXCHANGE TRADED</v>
      </c>
      <c r="E4" s="43">
        <v>151</v>
      </c>
      <c r="F4" s="101">
        <v>335069</v>
      </c>
      <c r="G4" s="102">
        <v>336007</v>
      </c>
      <c r="H4" s="102">
        <f>표4_10[[#This Row],[현금지출]]-표4_10[[#This Row],[매입액]]</f>
        <v>938</v>
      </c>
      <c r="I4" s="98">
        <v>0</v>
      </c>
      <c r="J4" s="101">
        <v>0</v>
      </c>
      <c r="K4" s="101">
        <v>0</v>
      </c>
      <c r="L4" s="101">
        <v>0</v>
      </c>
      <c r="M4" s="101">
        <v>0</v>
      </c>
      <c r="N4" s="101">
        <f>표4_10[[#This Row],[매도액]]-표4_10[[#This Row],[매도원금]]</f>
        <v>0</v>
      </c>
      <c r="O4" s="101">
        <f>표4_10[[#This Row],[매도액]]+표4_10[[#This Row],[이자배당액]]-표4_10[[#This Row],[현금수입]]</f>
        <v>0</v>
      </c>
      <c r="P4" s="103">
        <f>표4_10[[#This Row],[매매수익]]+표4_10[[#This Row],[이자배당액]]-표4_10[[#This Row],[매도비용]]-표4_10[[#This Row],[매입비용]]</f>
        <v>-938</v>
      </c>
      <c r="Q4" s="30">
        <v>336258</v>
      </c>
      <c r="R4" s="30">
        <f>표4_10[[#This Row],[입출금]]+표4_10[[#This Row],[현금수입]]-표4_10[[#This Row],[현금지출]]</f>
        <v>251</v>
      </c>
      <c r="S4" s="26">
        <f>SUM($R$2:R4)</f>
        <v>3162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zoomScale="85" zoomScaleNormal="85" workbookViewId="0">
      <selection activeCell="F4" sqref="F4"/>
    </sheetView>
  </sheetViews>
  <sheetFormatPr defaultRowHeight="16.5" x14ac:dyDescent="0.3"/>
  <cols>
    <col min="1" max="1" width="11.125" style="3" bestFit="1" customWidth="1"/>
    <col min="2" max="2" width="18" style="1" customWidth="1"/>
    <col min="3" max="3" width="18" style="1" bestFit="1" customWidth="1"/>
    <col min="4" max="4" width="20" style="9" bestFit="1" customWidth="1"/>
    <col min="5" max="5" width="13.375" style="38" customWidth="1"/>
    <col min="6" max="7" width="10.5" style="7" customWidth="1"/>
    <col min="8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4" max="14" width="10.75" customWidth="1"/>
    <col min="15" max="15" width="11.875" style="5" customWidth="1"/>
    <col min="16" max="16" width="9.75" bestFit="1" customWidth="1"/>
    <col min="17" max="17" width="12" style="35" customWidth="1"/>
    <col min="20" max="20" width="11.25" bestFit="1" customWidth="1"/>
    <col min="22" max="22" width="12.25" bestFit="1" customWidth="1"/>
    <col min="23" max="23" width="11.375" bestFit="1" customWidth="1"/>
  </cols>
  <sheetData>
    <row r="1" spans="1:20" s="2" customFormat="1" x14ac:dyDescent="0.3">
      <c r="A1" s="1" t="s">
        <v>0</v>
      </c>
      <c r="B1" s="46" t="s">
        <v>77</v>
      </c>
      <c r="C1" s="1" t="s">
        <v>1</v>
      </c>
      <c r="D1" s="9" t="s">
        <v>26</v>
      </c>
      <c r="E1" s="48" t="s">
        <v>132</v>
      </c>
      <c r="F1" s="15" t="s">
        <v>56</v>
      </c>
      <c r="G1" s="15" t="s">
        <v>74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37" t="s">
        <v>73</v>
      </c>
      <c r="R1" s="19" t="s">
        <v>61</v>
      </c>
      <c r="S1" s="20" t="s">
        <v>62</v>
      </c>
      <c r="T1" s="15" t="s">
        <v>190</v>
      </c>
    </row>
    <row r="2" spans="1:20" s="2" customFormat="1" x14ac:dyDescent="0.3">
      <c r="A2" s="1">
        <v>45292</v>
      </c>
      <c r="B2" s="46" t="s">
        <v>82</v>
      </c>
      <c r="C2" s="1" t="str">
        <f>VLOOKUP(CMA_한투1837[[#This Row],[종목코드]],표3[],2,FALSE)</f>
        <v>달러자산</v>
      </c>
      <c r="D2" s="9" t="str">
        <f>VLOOKUP(CMA_한투1837[[#This Row],[종목코드]],표3[],4,FALSE)</f>
        <v>달러자산 원화평가</v>
      </c>
      <c r="E2" s="62">
        <v>1</v>
      </c>
      <c r="F2">
        <v>22572209</v>
      </c>
      <c r="G2">
        <v>22572209</v>
      </c>
      <c r="H2">
        <f>CMA_한투1837[[#This Row],[현금지출]]-CMA_한투1837[[#This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CMA_한투1837[[#This Row],[매도액]]-CMA_한투1837[[#This Row],[매도원금]]</f>
        <v>0</v>
      </c>
      <c r="O2">
        <f>CMA_한투1837[[#This Row],[매도액]]+CMA_한투1837[[#This Row],[이자배당액]]-CMA_한투1837[[#This Row],[현금수입]]</f>
        <v>0</v>
      </c>
      <c r="P2">
        <f>CMA_한투1837[[#This Row],[매매수익]]+CMA_한투1837[[#This Row],[이자배당액]]-CMA_한투1837[[#This Row],[매도비용]]-CMA_한투1837[[#This Row],[매입비용]]</f>
        <v>0</v>
      </c>
      <c r="Q2">
        <v>22572209</v>
      </c>
      <c r="R2">
        <f>CMA_한투1837[[#This Row],[입출금]]+CMA_한투1837[[#This Row],[현금수입]]-CMA_한투1837[[#This Row],[현금지출]]</f>
        <v>0</v>
      </c>
      <c r="S2">
        <f>SUM($R$2:R2)</f>
        <v>0</v>
      </c>
      <c r="T2"/>
    </row>
    <row r="3" spans="1:20" s="2" customFormat="1" x14ac:dyDescent="0.3">
      <c r="A3" s="1">
        <v>45292</v>
      </c>
      <c r="B3" s="46" t="s">
        <v>284</v>
      </c>
      <c r="C3" s="1" t="str">
        <f>VLOOKUP(CMA_한투1837[[#This Row],[종목코드]],표3[],2,FALSE)</f>
        <v>엔화자산</v>
      </c>
      <c r="D3" s="9" t="str">
        <f>VLOOKUP(CMA_한투1837[[#This Row],[종목코드]],표3[],4,FALSE)</f>
        <v>엔화자산 원화평가</v>
      </c>
      <c r="E3" s="62">
        <v>1</v>
      </c>
      <c r="F3">
        <v>3199997</v>
      </c>
      <c r="G3">
        <v>3199997</v>
      </c>
      <c r="H3">
        <f>CMA_한투1837[[#This Row],[현금지출]]-CMA_한투1837[[#This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CMA_한투1837[[#This Row],[매도액]]-CMA_한투1837[[#This Row],[매도원금]]</f>
        <v>0</v>
      </c>
      <c r="O3">
        <f>CMA_한투1837[[#This Row],[매도액]]+CMA_한투1837[[#This Row],[이자배당액]]-CMA_한투1837[[#This Row],[현금수입]]</f>
        <v>0</v>
      </c>
      <c r="P3">
        <f>CMA_한투1837[[#This Row],[매매수익]]+CMA_한투1837[[#This Row],[이자배당액]]-CMA_한투1837[[#This Row],[매도비용]]-CMA_한투1837[[#This Row],[매입비용]]</f>
        <v>0</v>
      </c>
      <c r="Q3">
        <v>3199997</v>
      </c>
      <c r="R3">
        <f>CMA_한투1837[[#This Row],[입출금]]+CMA_한투1837[[#This Row],[현금수입]]-CMA_한투1837[[#This Row],[현금지출]]</f>
        <v>0</v>
      </c>
      <c r="S3">
        <f>SUM($R$2:R3)</f>
        <v>0</v>
      </c>
      <c r="T3"/>
    </row>
    <row r="4" spans="1:20" x14ac:dyDescent="0.3">
      <c r="A4" s="1">
        <v>45336</v>
      </c>
      <c r="B4" s="46" t="s">
        <v>284</v>
      </c>
      <c r="C4" s="1" t="str">
        <f>VLOOKUP(CMA_한투1837[[#This Row],[종목코드]],표3[],2,FALSE)</f>
        <v>엔화자산</v>
      </c>
      <c r="D4" s="9" t="str">
        <f>VLOOKUP(CMA_한투1837[[#This Row],[종목코드]],표3[],4,FALSE)</f>
        <v>엔화자산 원화평가</v>
      </c>
      <c r="E4" s="38">
        <v>0</v>
      </c>
      <c r="F4" s="93">
        <v>2999992</v>
      </c>
      <c r="G4" s="93">
        <v>2999992</v>
      </c>
      <c r="H4" s="94">
        <f>CMA_한투1837[[#This Row],[현금지출]]-CMA_한투1837[[#This Row],[매입액]]</f>
        <v>0</v>
      </c>
      <c r="I4" s="94">
        <v>0</v>
      </c>
      <c r="J4" s="93">
        <v>0</v>
      </c>
      <c r="K4" s="93">
        <v>0</v>
      </c>
      <c r="L4" s="93">
        <v>0</v>
      </c>
      <c r="M4" s="93">
        <v>0</v>
      </c>
      <c r="N4" s="94">
        <f>CMA_한투1837[[#This Row],[매도액]]-CMA_한투1837[[#This Row],[매도원금]]</f>
        <v>0</v>
      </c>
      <c r="O4" s="94">
        <f>CMA_한투1837[[#This Row],[매도액]]+CMA_한투1837[[#This Row],[이자배당액]]-CMA_한투1837[[#This Row],[현금수입]]</f>
        <v>0</v>
      </c>
      <c r="P4" s="94">
        <f>CMA_한투1837[[#This Row],[매매수익]]+CMA_한투1837[[#This Row],[이자배당액]]-CMA_한투1837[[#This Row],[매도비용]]-CMA_한투1837[[#This Row],[매입비용]]</f>
        <v>0</v>
      </c>
      <c r="Q4" s="96">
        <v>2999992</v>
      </c>
      <c r="R4" s="94">
        <f>CMA_한투1837[[#This Row],[입출금]]+CMA_한투1837[[#This Row],[현금수입]]-CMA_한투1837[[#This Row],[현금지출]]</f>
        <v>0</v>
      </c>
      <c r="S4" s="94">
        <f>SUM($R$2:R4)</f>
        <v>0</v>
      </c>
      <c r="T4" s="95">
        <v>-336258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zoomScale="85" zoomScaleNormal="85" workbookViewId="0">
      <selection activeCell="R27" sqref="R27"/>
    </sheetView>
  </sheetViews>
  <sheetFormatPr defaultRowHeight="16.5" x14ac:dyDescent="0.3"/>
  <cols>
    <col min="1" max="1" width="11.125" style="3" bestFit="1" customWidth="1"/>
    <col min="2" max="2" width="11.375" style="1" customWidth="1"/>
    <col min="3" max="3" width="15.75" style="1" customWidth="1"/>
    <col min="4" max="4" width="44.75" style="9" bestFit="1" customWidth="1"/>
    <col min="5" max="5" width="12.875" style="9" customWidth="1"/>
    <col min="6" max="6" width="16.75" style="7" bestFit="1" customWidth="1"/>
    <col min="7" max="7" width="11.875" style="7" customWidth="1"/>
    <col min="8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13.625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s="2" customFormat="1" x14ac:dyDescent="0.3">
      <c r="A2" s="1">
        <v>45292</v>
      </c>
      <c r="B2" s="31" t="s">
        <v>272</v>
      </c>
      <c r="C2" t="str">
        <f>VLOOKUP(CMA_한투183611[[#This Row],[종목코드]],표3[],2,FALSE)</f>
        <v>한투예수금</v>
      </c>
      <c r="D2" t="str">
        <f>VLOOKUP(CMA_한투183611[[#This Row],[종목코드]],표3[],4,FALSE)</f>
        <v>한국투자증권 직접투자 원화예수금</v>
      </c>
      <c r="E2">
        <v>1</v>
      </c>
      <c r="F2" s="7">
        <v>0</v>
      </c>
      <c r="G2" s="7">
        <v>0</v>
      </c>
      <c r="H2">
        <f>CMA_한투183611[[#This Row],[현금지출]]-CMA_한투183611[[#This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CMA_한투183611[[#This Row],[매도액]]-CMA_한투183611[[#This Row],[매도원금]]</f>
        <v>0</v>
      </c>
      <c r="O2">
        <f>CMA_한투183611[[#This Row],[매도액]]+CMA_한투183611[[#This Row],[이자배당액]]-CMA_한투183611[[#This Row],[현금수입]]</f>
        <v>0</v>
      </c>
      <c r="P2">
        <f>CMA_한투183611[[#This Row],[매매수익]]+CMA_한투183611[[#This Row],[이자배당액]]-CMA_한투183611[[#This Row],[매도비용]]-CMA_한투183611[[#This Row],[매입비용]]</f>
        <v>0</v>
      </c>
      <c r="Q2">
        <v>575509</v>
      </c>
      <c r="R2">
        <f>CMA_한투183611[[#This Row],[입출금]]+CMA_한투183611[[#This Row],[현금수입]]-CMA_한투183611[[#This Row],[현금지출]]</f>
        <v>575509</v>
      </c>
      <c r="S2">
        <f>SUM($R$2:R2)</f>
        <v>575509</v>
      </c>
    </row>
    <row r="3" spans="1:19" s="2" customFormat="1" x14ac:dyDescent="0.3">
      <c r="A3" s="1">
        <v>45292</v>
      </c>
      <c r="B3" s="31" t="s">
        <v>291</v>
      </c>
      <c r="C3" t="str">
        <f>VLOOKUP(CMA_한투183611[[#This Row],[종목코드]],표3[],2,FALSE)</f>
        <v>(수시)한투원화발행어음</v>
      </c>
      <c r="D3" t="str">
        <f>VLOOKUP(CMA_한투183611[[#This Row],[종목코드]],표3[],4,FALSE)</f>
        <v>한국투자증권 직접투자계좌 원화발행어음(수시)</v>
      </c>
      <c r="E3">
        <v>1</v>
      </c>
      <c r="F3" s="7">
        <v>17176678</v>
      </c>
      <c r="G3" s="7">
        <v>17176678</v>
      </c>
      <c r="H3">
        <f>CMA_한투183611[[#This Row],[현금지출]]-CMA_한투183611[[#This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CMA_한투183611[[#This Row],[매도액]]-CMA_한투183611[[#This Row],[매도원금]]</f>
        <v>0</v>
      </c>
      <c r="O3">
        <f>CMA_한투183611[[#This Row],[매도액]]+CMA_한투183611[[#This Row],[이자배당액]]-CMA_한투183611[[#This Row],[현금수입]]</f>
        <v>0</v>
      </c>
      <c r="P3">
        <f>CMA_한투183611[[#This Row],[매매수익]]+CMA_한투183611[[#This Row],[이자배당액]]-CMA_한투183611[[#This Row],[매도비용]]-CMA_한투183611[[#This Row],[매입비용]]</f>
        <v>0</v>
      </c>
      <c r="Q3">
        <v>17176678</v>
      </c>
      <c r="R3">
        <f>CMA_한투183611[[#This Row],[입출금]]+CMA_한투183611[[#This Row],[현금수입]]-CMA_한투183611[[#This Row],[현금지출]]</f>
        <v>0</v>
      </c>
      <c r="S3">
        <f>SUM($R$2:R3)</f>
        <v>575509</v>
      </c>
    </row>
    <row r="4" spans="1:19" s="2" customFormat="1" x14ac:dyDescent="0.3">
      <c r="A4" s="1">
        <v>45292</v>
      </c>
      <c r="B4" s="31" t="s">
        <v>287</v>
      </c>
      <c r="C4" t="str">
        <f>VLOOKUP(CMA_한투183611[[#This Row],[종목코드]],표3[],2,FALSE)</f>
        <v>(약정)한투원화발행어음</v>
      </c>
      <c r="D4" t="str">
        <f>VLOOKUP(CMA_한투183611[[#This Row],[종목코드]],표3[],4,FALSE)</f>
        <v>한국투자증권 직접투자계좌 원화발행어음(약정)</v>
      </c>
      <c r="E4">
        <v>1</v>
      </c>
      <c r="F4" s="7">
        <v>10043166</v>
      </c>
      <c r="G4" s="7">
        <v>10043166</v>
      </c>
      <c r="H4">
        <f>CMA_한투183611[[#This Row],[현금지출]]-CMA_한투183611[[#This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CMA_한투183611[[#This Row],[매도액]]-CMA_한투183611[[#This Row],[매도원금]]</f>
        <v>0</v>
      </c>
      <c r="O4">
        <f>CMA_한투183611[[#This Row],[매도액]]+CMA_한투183611[[#This Row],[이자배당액]]-CMA_한투183611[[#This Row],[현금수입]]</f>
        <v>0</v>
      </c>
      <c r="P4">
        <f>CMA_한투183611[[#This Row],[매매수익]]+CMA_한투183611[[#This Row],[이자배당액]]-CMA_한투183611[[#This Row],[매도비용]]-CMA_한투183611[[#This Row],[매입비용]]</f>
        <v>0</v>
      </c>
      <c r="Q4">
        <v>10043166</v>
      </c>
      <c r="R4">
        <f>CMA_한투183611[[#This Row],[입출금]]+CMA_한투183611[[#This Row],[현금수입]]-CMA_한투183611[[#This Row],[현금지출]]</f>
        <v>0</v>
      </c>
      <c r="S4">
        <f>SUM($R$2:R4)</f>
        <v>575509</v>
      </c>
    </row>
    <row r="5" spans="1:19" s="2" customFormat="1" x14ac:dyDescent="0.3">
      <c r="A5" s="1">
        <v>45292</v>
      </c>
      <c r="B5" s="31" t="s">
        <v>276</v>
      </c>
      <c r="C5" t="str">
        <f>VLOOKUP(CMA_한투183611[[#This Row],[종목코드]],표3[],2,FALSE)</f>
        <v>NAVER</v>
      </c>
      <c r="D5" t="str">
        <f>VLOOKUP(CMA_한투183611[[#This Row],[종목코드]],표3[],4,FALSE)</f>
        <v>NAVER</v>
      </c>
      <c r="E5">
        <v>5</v>
      </c>
      <c r="F5" s="7">
        <v>956000</v>
      </c>
      <c r="G5" s="7">
        <v>956000</v>
      </c>
      <c r="H5">
        <f>CMA_한투183611[[#This Row],[현금지출]]-CMA_한투183611[[#This Row],[매입액]]</f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CMA_한투183611[[#This Row],[매도액]]-CMA_한투183611[[#This Row],[매도원금]]</f>
        <v>0</v>
      </c>
      <c r="O5">
        <f>CMA_한투183611[[#This Row],[매도액]]+CMA_한투183611[[#This Row],[이자배당액]]-CMA_한투183611[[#This Row],[현금수입]]</f>
        <v>0</v>
      </c>
      <c r="P5">
        <f>CMA_한투183611[[#This Row],[매매수익]]+CMA_한투183611[[#This Row],[이자배당액]]-CMA_한투183611[[#This Row],[매도비용]]-CMA_한투183611[[#This Row],[매입비용]]</f>
        <v>0</v>
      </c>
      <c r="Q5">
        <v>956000</v>
      </c>
      <c r="R5">
        <f>CMA_한투183611[[#This Row],[입출금]]+CMA_한투183611[[#This Row],[현금수입]]-CMA_한투183611[[#This Row],[현금지출]]</f>
        <v>0</v>
      </c>
      <c r="S5">
        <f>SUM($R$2:R5)</f>
        <v>575509</v>
      </c>
    </row>
    <row r="6" spans="1:19" s="2" customFormat="1" x14ac:dyDescent="0.3">
      <c r="A6" s="1">
        <v>45292</v>
      </c>
      <c r="B6" s="31" t="s">
        <v>199</v>
      </c>
      <c r="C6" t="str">
        <f>VLOOKUP(CMA_한투183611[[#This Row],[종목코드]],표3[],2,FALSE)</f>
        <v>E1</v>
      </c>
      <c r="D6" t="str">
        <f>VLOOKUP(CMA_한투183611[[#This Row],[종목코드]],표3[],4,FALSE)</f>
        <v>E1</v>
      </c>
      <c r="E6">
        <v>48</v>
      </c>
      <c r="F6" s="7">
        <v>2932800</v>
      </c>
      <c r="G6" s="7">
        <v>2932800</v>
      </c>
      <c r="H6">
        <f>CMA_한투183611[[#This Row],[현금지출]]-CMA_한투183611[[#This Row],[매입액]]</f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>CMA_한투183611[[#This Row],[매도액]]-CMA_한투183611[[#This Row],[매도원금]]</f>
        <v>0</v>
      </c>
      <c r="O6">
        <f>CMA_한투183611[[#This Row],[매도액]]+CMA_한투183611[[#This Row],[이자배당액]]-CMA_한투183611[[#This Row],[현금수입]]</f>
        <v>0</v>
      </c>
      <c r="P6">
        <f>CMA_한투183611[[#This Row],[매매수익]]+CMA_한투183611[[#This Row],[이자배당액]]-CMA_한투183611[[#This Row],[매도비용]]-CMA_한투183611[[#This Row],[매입비용]]</f>
        <v>0</v>
      </c>
      <c r="Q6">
        <v>2932800</v>
      </c>
      <c r="R6">
        <f>CMA_한투183611[[#This Row],[입출금]]+CMA_한투183611[[#This Row],[현금수입]]-CMA_한투183611[[#This Row],[현금지출]]</f>
        <v>0</v>
      </c>
      <c r="S6">
        <f>SUM($R$2:R6)</f>
        <v>575509</v>
      </c>
    </row>
    <row r="7" spans="1:19" s="2" customFormat="1" x14ac:dyDescent="0.3">
      <c r="A7" s="1">
        <v>45292</v>
      </c>
      <c r="B7" s="31" t="s">
        <v>279</v>
      </c>
      <c r="C7" t="str">
        <f>VLOOKUP(CMA_한투183611[[#This Row],[종목코드]],표3[],2,FALSE)</f>
        <v>미국하이일드</v>
      </c>
      <c r="D7" t="str">
        <f>VLOOKUP(CMA_한투183611[[#This Row],[종목코드]],표3[],4,FALSE)</f>
        <v>ACE 미국하이일드액티브(H)</v>
      </c>
      <c r="E7">
        <v>303</v>
      </c>
      <c r="F7" s="7">
        <v>3014850</v>
      </c>
      <c r="G7" s="7">
        <v>3014850</v>
      </c>
      <c r="H7">
        <f>CMA_한투183611[[#This Row],[현금지출]]-CMA_한투183611[[#This Row],[매입액]]</f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f>CMA_한투183611[[#This Row],[매도액]]-CMA_한투183611[[#This Row],[매도원금]]</f>
        <v>0</v>
      </c>
      <c r="O7">
        <f>CMA_한투183611[[#This Row],[매도액]]+CMA_한투183611[[#This Row],[이자배당액]]-CMA_한투183611[[#This Row],[현금수입]]</f>
        <v>0</v>
      </c>
      <c r="P7">
        <f>CMA_한투183611[[#This Row],[매매수익]]+CMA_한투183611[[#This Row],[이자배당액]]-CMA_한투183611[[#This Row],[매도비용]]-CMA_한투183611[[#This Row],[매입비용]]</f>
        <v>0</v>
      </c>
      <c r="Q7">
        <v>3014850</v>
      </c>
      <c r="R7">
        <f>CMA_한투183611[[#This Row],[입출금]]+CMA_한투183611[[#This Row],[현금수입]]-CMA_한투183611[[#This Row],[현금지출]]</f>
        <v>0</v>
      </c>
      <c r="S7">
        <f>SUM($R$2:R7)</f>
        <v>575509</v>
      </c>
    </row>
    <row r="8" spans="1:19" s="2" customFormat="1" x14ac:dyDescent="0.3">
      <c r="A8" s="1">
        <v>45292</v>
      </c>
      <c r="B8" s="31" t="s">
        <v>285</v>
      </c>
      <c r="C8" t="str">
        <f>VLOOKUP(CMA_한투183611[[#This Row],[종목코드]],표3[],2,FALSE)</f>
        <v>코스피 IT TR</v>
      </c>
      <c r="D8" t="str">
        <f>VLOOKUP(CMA_한투183611[[#This Row],[종목코드]],표3[],4,FALSE)</f>
        <v>KODEX 200IT TR</v>
      </c>
      <c r="E8">
        <v>403</v>
      </c>
      <c r="F8" s="7">
        <v>4985110</v>
      </c>
      <c r="G8" s="7">
        <v>4985110</v>
      </c>
      <c r="H8">
        <f>CMA_한투183611[[#This Row],[현금지출]]-CMA_한투183611[[#This Row],[매입액]]</f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>CMA_한투183611[[#This Row],[매도액]]-CMA_한투183611[[#This Row],[매도원금]]</f>
        <v>0</v>
      </c>
      <c r="O8">
        <f>CMA_한투183611[[#This Row],[매도액]]+CMA_한투183611[[#This Row],[이자배당액]]-CMA_한투183611[[#This Row],[현금수입]]</f>
        <v>0</v>
      </c>
      <c r="P8">
        <f>CMA_한투183611[[#This Row],[매매수익]]+CMA_한투183611[[#This Row],[이자배당액]]-CMA_한투183611[[#This Row],[매도비용]]-CMA_한투183611[[#This Row],[매입비용]]</f>
        <v>0</v>
      </c>
      <c r="Q8">
        <v>4985110</v>
      </c>
      <c r="R8">
        <f>CMA_한투183611[[#This Row],[입출금]]+CMA_한투183611[[#This Row],[현금수입]]-CMA_한투183611[[#This Row],[현금지출]]</f>
        <v>0</v>
      </c>
      <c r="S8">
        <f>SUM($R$2:R8)</f>
        <v>575509</v>
      </c>
    </row>
    <row r="9" spans="1:19" s="2" customFormat="1" x14ac:dyDescent="0.3">
      <c r="A9" s="1">
        <v>45292</v>
      </c>
      <c r="B9" s="31" t="s">
        <v>277</v>
      </c>
      <c r="C9" t="str">
        <f>VLOOKUP(CMA_한투183611[[#This Row],[종목코드]],표3[],2,FALSE)</f>
        <v>미국나스닥</v>
      </c>
      <c r="D9" t="str">
        <f>VLOOKUP(CMA_한투183611[[#This Row],[종목코드]],표3[],4,FALSE)</f>
        <v>TIGER 미국나스닥100TR(H)</v>
      </c>
      <c r="E9">
        <v>144</v>
      </c>
      <c r="F9" s="7">
        <v>1992960</v>
      </c>
      <c r="G9" s="7">
        <v>1992960</v>
      </c>
      <c r="H9">
        <f>CMA_한투183611[[#This Row],[현금지출]]-CMA_한투183611[[#This Row],[매입액]]</f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>CMA_한투183611[[#This Row],[매도액]]-CMA_한투183611[[#This Row],[매도원금]]</f>
        <v>0</v>
      </c>
      <c r="O9">
        <f>CMA_한투183611[[#This Row],[매도액]]+CMA_한투183611[[#This Row],[이자배당액]]-CMA_한투183611[[#This Row],[현금수입]]</f>
        <v>0</v>
      </c>
      <c r="P9">
        <f>CMA_한투183611[[#This Row],[매매수익]]+CMA_한투183611[[#This Row],[이자배당액]]-CMA_한투183611[[#This Row],[매도비용]]-CMA_한투183611[[#This Row],[매입비용]]</f>
        <v>0</v>
      </c>
      <c r="Q9">
        <v>1992960</v>
      </c>
      <c r="R9">
        <f>CMA_한투183611[[#This Row],[입출금]]+CMA_한투183611[[#This Row],[현금수입]]-CMA_한투183611[[#This Row],[현금지출]]</f>
        <v>0</v>
      </c>
      <c r="S9">
        <f>SUM($R$2:R9)</f>
        <v>575509</v>
      </c>
    </row>
    <row r="10" spans="1:19" s="2" customFormat="1" x14ac:dyDescent="0.3">
      <c r="A10" s="1">
        <v>45292</v>
      </c>
      <c r="B10" s="31" t="s">
        <v>242</v>
      </c>
      <c r="C10" t="str">
        <f>VLOOKUP(CMA_한투183611[[#This Row],[종목코드]],표3[],2,FALSE)</f>
        <v>넥스틸</v>
      </c>
      <c r="D10" t="str">
        <f>VLOOKUP(CMA_한투183611[[#This Row],[종목코드]],표3[],4,FALSE)</f>
        <v>넥스틸</v>
      </c>
      <c r="E10" s="111">
        <v>634</v>
      </c>
      <c r="F10" s="7">
        <v>4983240</v>
      </c>
      <c r="G10" s="7">
        <v>4983240</v>
      </c>
      <c r="H10">
        <f>CMA_한투183611[[#This Row],[현금지출]]-CMA_한투183611[[#This Row],[매입액]]</f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>CMA_한투183611[[#This Row],[매도액]]-CMA_한투183611[[#This Row],[매도원금]]</f>
        <v>0</v>
      </c>
      <c r="O10">
        <f>CMA_한투183611[[#This Row],[매도액]]+CMA_한투183611[[#This Row],[이자배당액]]-CMA_한투183611[[#This Row],[현금수입]]</f>
        <v>0</v>
      </c>
      <c r="P10">
        <f>CMA_한투183611[[#This Row],[매매수익]]+CMA_한투183611[[#This Row],[이자배당액]]-CMA_한투183611[[#This Row],[매도비용]]-CMA_한투183611[[#This Row],[매입비용]]</f>
        <v>0</v>
      </c>
      <c r="Q10">
        <v>4983240</v>
      </c>
      <c r="R10">
        <f>CMA_한투183611[[#This Row],[입출금]]+CMA_한투183611[[#This Row],[현금수입]]-CMA_한투183611[[#This Row],[현금지출]]</f>
        <v>0</v>
      </c>
      <c r="S10">
        <f>SUM($R$2:R10)</f>
        <v>575509</v>
      </c>
    </row>
    <row r="11" spans="1:19" s="2" customFormat="1" x14ac:dyDescent="0.3">
      <c r="A11" s="1">
        <v>45292</v>
      </c>
      <c r="B11" s="31" t="s">
        <v>278</v>
      </c>
      <c r="C11" t="str">
        <f>VLOOKUP(CMA_한투183611[[#This Row],[종목코드]],표3[],2,FALSE)</f>
        <v>원유선물</v>
      </c>
      <c r="D11" t="str">
        <f>VLOOKUP(CMA_한투183611[[#This Row],[종목코드]],표3[],4,FALSE)</f>
        <v>KODEX WTI 원유선물(H)</v>
      </c>
      <c r="E11">
        <v>217</v>
      </c>
      <c r="F11" s="7">
        <v>3013045</v>
      </c>
      <c r="G11" s="7">
        <v>3013045</v>
      </c>
      <c r="H11">
        <f>CMA_한투183611[[#This Row],[현금지출]]-CMA_한투183611[[#This Row],[매입액]]</f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>CMA_한투183611[[#This Row],[매도액]]-CMA_한투183611[[#This Row],[매도원금]]</f>
        <v>0</v>
      </c>
      <c r="O11">
        <f>CMA_한투183611[[#This Row],[매도액]]+CMA_한투183611[[#This Row],[이자배당액]]-CMA_한투183611[[#This Row],[현금수입]]</f>
        <v>0</v>
      </c>
      <c r="P11">
        <f>CMA_한투183611[[#This Row],[매매수익]]+CMA_한투183611[[#This Row],[이자배당액]]-CMA_한투183611[[#This Row],[매도비용]]-CMA_한투183611[[#This Row],[매입비용]]</f>
        <v>0</v>
      </c>
      <c r="Q11">
        <v>3013045</v>
      </c>
      <c r="R11">
        <f>CMA_한투183611[[#This Row],[입출금]]+CMA_한투183611[[#This Row],[현금수입]]-CMA_한투183611[[#This Row],[현금지출]]</f>
        <v>0</v>
      </c>
      <c r="S11">
        <f>SUM($R$2:R11)</f>
        <v>575509</v>
      </c>
    </row>
    <row r="12" spans="1:19" s="2" customFormat="1" x14ac:dyDescent="0.3">
      <c r="A12" s="1">
        <v>45293</v>
      </c>
      <c r="B12" s="31" t="s">
        <v>280</v>
      </c>
      <c r="C12" t="str">
        <f>VLOOKUP(CMA_한투183611[[#This Row],[종목코드]],표3[],2,FALSE)</f>
        <v>중국테크주식</v>
      </c>
      <c r="D12" t="str">
        <f>VLOOKUP(CMA_한투183611[[#This Row],[종목코드]],표3[],4,FALSE)</f>
        <v>TIGER 차이나항셍테크</v>
      </c>
      <c r="E12">
        <v>579</v>
      </c>
      <c r="F12" s="7">
        <v>2999220</v>
      </c>
      <c r="G12" s="7">
        <v>2999650</v>
      </c>
      <c r="H12">
        <f>CMA_한투183611[[#This Row],[현금지출]]-CMA_한투183611[[#This Row],[매입액]]</f>
        <v>430</v>
      </c>
      <c r="I12">
        <v>0</v>
      </c>
      <c r="J12">
        <v>0</v>
      </c>
      <c r="K12">
        <v>0</v>
      </c>
      <c r="L12">
        <v>0</v>
      </c>
      <c r="M12">
        <v>0</v>
      </c>
      <c r="N12">
        <f>CMA_한투183611[[#This Row],[매도액]]-CMA_한투183611[[#This Row],[매도원금]]</f>
        <v>0</v>
      </c>
      <c r="O12">
        <f>CMA_한투183611[[#This Row],[매도액]]+CMA_한투183611[[#This Row],[이자배당액]]-CMA_한투183611[[#This Row],[현금수입]]</f>
        <v>0</v>
      </c>
      <c r="P12">
        <f>CMA_한투183611[[#This Row],[매매수익]]+CMA_한투183611[[#This Row],[이자배당액]]-CMA_한투183611[[#This Row],[매도비용]]-CMA_한투183611[[#This Row],[매입비용]]</f>
        <v>-430</v>
      </c>
      <c r="Q12">
        <v>0</v>
      </c>
      <c r="R12">
        <f>CMA_한투183611[[#This Row],[입출금]]+CMA_한투183611[[#This Row],[현금수입]]-CMA_한투183611[[#This Row],[현금지출]]</f>
        <v>-2999650</v>
      </c>
      <c r="S12">
        <f>SUM($R$2:R12)</f>
        <v>-2424141</v>
      </c>
    </row>
    <row r="13" spans="1:19" x14ac:dyDescent="0.3">
      <c r="A13" s="3">
        <v>45293</v>
      </c>
      <c r="B13" s="31" t="s">
        <v>242</v>
      </c>
      <c r="C13" s="9" t="str">
        <f>VLOOKUP(CMA_한투183611[[#This Row],[종목코드]],표3[],2,FALSE)</f>
        <v>넥스틸</v>
      </c>
      <c r="D13" s="33" t="str">
        <f>VLOOKUP(CMA_한투183611[[#This Row],[종목코드]],표3[],4,FALSE)</f>
        <v>넥스틸</v>
      </c>
      <c r="E13" s="40">
        <v>0</v>
      </c>
      <c r="F13" s="7">
        <v>0</v>
      </c>
      <c r="G13" s="7">
        <v>0</v>
      </c>
      <c r="H13" s="5">
        <f>CMA_한투183611[[#This Row],[현금지출]]-CMA_한투183611[[#This Row],[매입액]]</f>
        <v>0</v>
      </c>
      <c r="I13" s="35">
        <v>200</v>
      </c>
      <c r="J13" s="7">
        <v>1572000</v>
      </c>
      <c r="K13">
        <v>1446000</v>
      </c>
      <c r="L13" s="7">
        <v>0</v>
      </c>
      <c r="M13">
        <f>1446000-200-2601</f>
        <v>1443199</v>
      </c>
      <c r="N13">
        <f>CMA_한투183611[[#This Row],[매도액]]-CMA_한투183611[[#This Row],[매도원금]]</f>
        <v>-126000</v>
      </c>
      <c r="O13" s="5">
        <f>CMA_한투183611[[#This Row],[매도액]]+CMA_한투183611[[#This Row],[이자배당액]]-CMA_한투183611[[#This Row],[현금수입]]</f>
        <v>2801</v>
      </c>
      <c r="P13">
        <f>CMA_한투183611[[#This Row],[매매수익]]+CMA_한투183611[[#This Row],[이자배당액]]-CMA_한투183611[[#This Row],[매도비용]]-CMA_한투183611[[#This Row],[매입비용]]</f>
        <v>-128801</v>
      </c>
      <c r="Q13">
        <v>0</v>
      </c>
      <c r="R13" s="5">
        <f>CMA_한투183611[[#This Row],[입출금]]+CMA_한투183611[[#This Row],[현금수입]]-CMA_한투183611[[#This Row],[현금지출]]</f>
        <v>1443199</v>
      </c>
      <c r="S13">
        <f>SUM($R$2:R13)</f>
        <v>-980942</v>
      </c>
    </row>
    <row r="14" spans="1:19" x14ac:dyDescent="0.3">
      <c r="A14" s="3">
        <v>45293</v>
      </c>
      <c r="B14" s="31" t="s">
        <v>291</v>
      </c>
      <c r="C14" s="9" t="str">
        <f>VLOOKUP(CMA_한투183611[[#This Row],[종목코드]],표3[],2,FALSE)</f>
        <v>(수시)한투원화발행어음</v>
      </c>
      <c r="D14" s="33" t="str">
        <f>VLOOKUP(CMA_한투183611[[#This Row],[종목코드]],표3[],4,FALSE)</f>
        <v>한국투자증권 직접투자계좌 원화발행어음(수시)</v>
      </c>
      <c r="E14" s="40">
        <v>0</v>
      </c>
      <c r="F14" s="7">
        <v>0</v>
      </c>
      <c r="G14" s="7">
        <v>0</v>
      </c>
      <c r="H14" s="5">
        <f>CMA_한투183611[[#This Row],[현금지출]]-CMA_한투183611[[#This Row],[매입액]]</f>
        <v>0</v>
      </c>
      <c r="I14" s="35">
        <v>0</v>
      </c>
      <c r="J14" s="50">
        <v>1988333</v>
      </c>
      <c r="K14">
        <v>1989286</v>
      </c>
      <c r="L14" s="7">
        <v>0</v>
      </c>
      <c r="M14">
        <f>1989286-140</f>
        <v>1989146</v>
      </c>
      <c r="N14">
        <f>CMA_한투183611[[#This Row],[매도액]]-CMA_한투183611[[#This Row],[매도원금]]</f>
        <v>953</v>
      </c>
      <c r="O14" s="5">
        <f>CMA_한투183611[[#This Row],[매도액]]+CMA_한투183611[[#This Row],[이자배당액]]-CMA_한투183611[[#This Row],[현금수입]]</f>
        <v>140</v>
      </c>
      <c r="P14">
        <f>CMA_한투183611[[#This Row],[매매수익]]+CMA_한투183611[[#This Row],[이자배당액]]-CMA_한투183611[[#This Row],[매도비용]]-CMA_한투183611[[#This Row],[매입비용]]</f>
        <v>813</v>
      </c>
      <c r="Q14">
        <v>0</v>
      </c>
      <c r="R14" s="5">
        <f>CMA_한투183611[[#This Row],[입출금]]+CMA_한투183611[[#This Row],[현금수입]]-CMA_한투183611[[#This Row],[현금지출]]</f>
        <v>1989146</v>
      </c>
      <c r="S14">
        <f>SUM($R$2:R14)</f>
        <v>1008204</v>
      </c>
    </row>
    <row r="15" spans="1:19" x14ac:dyDescent="0.3">
      <c r="A15" s="3">
        <v>45294</v>
      </c>
      <c r="B15" s="107" t="s">
        <v>242</v>
      </c>
      <c r="C15" s="64" t="str">
        <f>VLOOKUP(CMA_한투183611[[#This Row],[종목코드]],표3[],2,FALSE)</f>
        <v>넥스틸</v>
      </c>
      <c r="D15" s="65" t="str">
        <f>VLOOKUP(CMA_한투183611[[#This Row],[종목코드]],표3[],4,FALSE)</f>
        <v>넥스틸</v>
      </c>
      <c r="E15" s="43">
        <v>0</v>
      </c>
      <c r="F15" s="66">
        <v>0</v>
      </c>
      <c r="G15" s="66">
        <v>0</v>
      </c>
      <c r="H15" s="63">
        <f>CMA_한투183611[[#This Row],[현금지출]]-CMA_한투183611[[#This Row],[매입액]]</f>
        <v>0</v>
      </c>
      <c r="I15" s="67">
        <v>139</v>
      </c>
      <c r="J15" s="66">
        <f>7860*139</f>
        <v>1092540</v>
      </c>
      <c r="K15" s="68">
        <v>995240</v>
      </c>
      <c r="L15" s="66">
        <v>0</v>
      </c>
      <c r="M15" s="69">
        <v>993332</v>
      </c>
      <c r="N15" s="69">
        <f>CMA_한투183611[[#This Row],[매도액]]-CMA_한투183611[[#This Row],[매도원금]]</f>
        <v>-97300</v>
      </c>
      <c r="O15" s="63">
        <f>CMA_한투183611[[#This Row],[매도액]]+CMA_한투183611[[#This Row],[이자배당액]]-CMA_한투183611[[#This Row],[현금수입]]</f>
        <v>1908</v>
      </c>
      <c r="P15" s="69">
        <f>CMA_한투183611[[#This Row],[매매수익]]+CMA_한투183611[[#This Row],[이자배당액]]-CMA_한투183611[[#This Row],[매도비용]]-CMA_한투183611[[#This Row],[매입비용]]</f>
        <v>-99208</v>
      </c>
      <c r="Q15" s="69">
        <v>0</v>
      </c>
      <c r="R15" s="63">
        <f>CMA_한투183611[[#This Row],[입출금]]+CMA_한투183611[[#This Row],[현금수입]]-CMA_한투183611[[#This Row],[현금지출]]</f>
        <v>993332</v>
      </c>
      <c r="S15">
        <f>SUM($R$2:R15)</f>
        <v>2001536</v>
      </c>
    </row>
    <row r="16" spans="1:19" x14ac:dyDescent="0.3">
      <c r="A16" s="3">
        <v>45294</v>
      </c>
      <c r="B16" s="108" t="s">
        <v>279</v>
      </c>
      <c r="C16" s="9" t="str">
        <f>VLOOKUP(CMA_한투183611[[#This Row],[종목코드]],표3[],2,FALSE)</f>
        <v>미국하이일드</v>
      </c>
      <c r="D16" s="33" t="str">
        <f>VLOOKUP(CMA_한투183611[[#This Row],[종목코드]],표3[],4,FALSE)</f>
        <v>ACE 미국하이일드액티브(H)</v>
      </c>
      <c r="E16" s="40">
        <v>0</v>
      </c>
      <c r="F16" s="7">
        <v>0</v>
      </c>
      <c r="G16" s="7">
        <v>0</v>
      </c>
      <c r="H16" s="5">
        <f>CMA_한투183611[[#This Row],[현금지출]]-CMA_한투183611[[#This Row],[매입액]]</f>
        <v>0</v>
      </c>
      <c r="I16" s="35">
        <v>0</v>
      </c>
      <c r="J16" s="7">
        <v>0</v>
      </c>
      <c r="K16">
        <v>0</v>
      </c>
      <c r="L16" s="7">
        <v>15756</v>
      </c>
      <c r="M16">
        <v>13336</v>
      </c>
      <c r="N16">
        <f>CMA_한투183611[[#This Row],[매도액]]-CMA_한투183611[[#This Row],[매도원금]]</f>
        <v>0</v>
      </c>
      <c r="O16" s="5">
        <f>CMA_한투183611[[#This Row],[매도액]]+CMA_한투183611[[#This Row],[이자배당액]]-CMA_한투183611[[#This Row],[현금수입]]</f>
        <v>2420</v>
      </c>
      <c r="P16">
        <f>CMA_한투183611[[#This Row],[매매수익]]+CMA_한투183611[[#This Row],[이자배당액]]-CMA_한투183611[[#This Row],[매도비용]]-CMA_한투183611[[#This Row],[매입비용]]</f>
        <v>13336</v>
      </c>
      <c r="Q16">
        <v>0</v>
      </c>
      <c r="R16" s="5">
        <f>CMA_한투183611[[#This Row],[입출금]]+CMA_한투183611[[#This Row],[현금수입]]-CMA_한투183611[[#This Row],[현금지출]]</f>
        <v>13336</v>
      </c>
      <c r="S16">
        <f>SUM($R$2:R16)</f>
        <v>2014872</v>
      </c>
    </row>
    <row r="17" spans="1:19" x14ac:dyDescent="0.3">
      <c r="A17" s="3">
        <v>45295</v>
      </c>
      <c r="B17" s="31" t="s">
        <v>291</v>
      </c>
      <c r="C17" s="9" t="str">
        <f>VLOOKUP(CMA_한투183611[[#This Row],[종목코드]],표3[],2,FALSE)</f>
        <v>(수시)한투원화발행어음</v>
      </c>
      <c r="D17" s="33" t="str">
        <f>VLOOKUP(CMA_한투183611[[#This Row],[종목코드]],표3[],4,FALSE)</f>
        <v>한국투자증권 직접투자계좌 원화발행어음(수시)</v>
      </c>
      <c r="E17" s="40">
        <v>0</v>
      </c>
      <c r="F17" s="7">
        <v>1019062</v>
      </c>
      <c r="G17" s="7">
        <v>1019062</v>
      </c>
      <c r="H17" s="5">
        <f>CMA_한투183611[[#This Row],[현금지출]]-CMA_한투183611[[#This Row],[매입액]]</f>
        <v>0</v>
      </c>
      <c r="I17" s="35">
        <v>0</v>
      </c>
      <c r="J17" s="50">
        <v>0</v>
      </c>
      <c r="K17">
        <v>0</v>
      </c>
      <c r="L17" s="7">
        <v>0</v>
      </c>
      <c r="M17">
        <v>0</v>
      </c>
      <c r="N17">
        <f>CMA_한투183611[[#This Row],[매도액]]-CMA_한투183611[[#This Row],[매도원금]]</f>
        <v>0</v>
      </c>
      <c r="O17" s="5">
        <f>CMA_한투183611[[#This Row],[매도액]]+CMA_한투183611[[#This Row],[이자배당액]]-CMA_한투183611[[#This Row],[현금수입]]</f>
        <v>0</v>
      </c>
      <c r="P17">
        <f>CMA_한투183611[[#This Row],[매매수익]]+CMA_한투183611[[#This Row],[이자배당액]]-CMA_한투183611[[#This Row],[매도비용]]-CMA_한투183611[[#This Row],[매입비용]]</f>
        <v>0</v>
      </c>
      <c r="Q17">
        <v>0</v>
      </c>
      <c r="R17" s="5">
        <f>CMA_한투183611[[#This Row],[입출금]]+CMA_한투183611[[#This Row],[현금수입]]-CMA_한투183611[[#This Row],[현금지출]]</f>
        <v>-1019062</v>
      </c>
      <c r="S17">
        <f>SUM($R$2:R17)</f>
        <v>995810</v>
      </c>
    </row>
    <row r="18" spans="1:19" x14ac:dyDescent="0.3">
      <c r="A18" s="3">
        <v>45296</v>
      </c>
      <c r="B18" s="31" t="s">
        <v>272</v>
      </c>
      <c r="C18" s="9" t="str">
        <f>VLOOKUP(CMA_한투183611[[#This Row],[종목코드]],표3[],2,FALSE)</f>
        <v>한투예수금</v>
      </c>
      <c r="D18" s="33" t="str">
        <f>VLOOKUP(CMA_한투183611[[#This Row],[종목코드]],표3[],4,FALSE)</f>
        <v>한국투자증권 직접투자 원화예수금</v>
      </c>
      <c r="E18" s="40">
        <v>0</v>
      </c>
      <c r="F18" s="7">
        <v>0</v>
      </c>
      <c r="G18" s="7">
        <v>0</v>
      </c>
      <c r="H18" s="5">
        <f>CMA_한투183611[[#This Row],[현금지출]]-CMA_한투183611[[#This Row],[매입액]]</f>
        <v>0</v>
      </c>
      <c r="I18" s="35">
        <v>0</v>
      </c>
      <c r="J18" s="7">
        <v>0</v>
      </c>
      <c r="K18">
        <v>0</v>
      </c>
      <c r="L18" s="7">
        <v>0</v>
      </c>
      <c r="M18">
        <v>0</v>
      </c>
      <c r="N18">
        <f>CMA_한투183611[[#This Row],[매도액]]-CMA_한투183611[[#This Row],[매도원금]]</f>
        <v>0</v>
      </c>
      <c r="O18" s="5">
        <f>CMA_한투183611[[#This Row],[매도액]]+CMA_한투183611[[#This Row],[이자배당액]]-CMA_한투183611[[#This Row],[현금수입]]</f>
        <v>0</v>
      </c>
      <c r="P18">
        <f>CMA_한투183611[[#This Row],[매매수익]]+CMA_한투183611[[#This Row],[이자배당액]]-CMA_한투183611[[#This Row],[매도비용]]-CMA_한투183611[[#This Row],[매입비용]]</f>
        <v>0</v>
      </c>
      <c r="Q18">
        <v>1000000</v>
      </c>
      <c r="R18" s="5">
        <f>CMA_한투183611[[#This Row],[입출금]]+CMA_한투183611[[#This Row],[현금수입]]-CMA_한투183611[[#This Row],[현금지출]]</f>
        <v>1000000</v>
      </c>
      <c r="S18">
        <f>SUM($R$2:R18)</f>
        <v>1995810</v>
      </c>
    </row>
    <row r="19" spans="1:19" x14ac:dyDescent="0.3">
      <c r="A19" s="1">
        <v>45299</v>
      </c>
      <c r="B19" s="31" t="s">
        <v>277</v>
      </c>
      <c r="C19" s="9" t="str">
        <f>VLOOKUP(CMA_한투183611[[#This Row],[종목코드]],표3[],2,FALSE)</f>
        <v>미국나스닥</v>
      </c>
      <c r="D19" s="33" t="str">
        <f>VLOOKUP(CMA_한투183611[[#This Row],[종목코드]],표3[],4,FALSE)</f>
        <v>TIGER 미국나스닥100TR(H)</v>
      </c>
      <c r="E19" s="40">
        <v>74</v>
      </c>
      <c r="F19" s="7">
        <v>995670</v>
      </c>
      <c r="G19" s="7">
        <v>995810</v>
      </c>
      <c r="H19" s="5">
        <f>CMA_한투183611[[#This Row],[현금지출]]-CMA_한투183611[[#This Row],[매입액]]</f>
        <v>140</v>
      </c>
      <c r="I19" s="35">
        <v>0</v>
      </c>
      <c r="J19" s="7">
        <v>0</v>
      </c>
      <c r="K19">
        <v>0</v>
      </c>
      <c r="L19" s="7">
        <v>0</v>
      </c>
      <c r="M19">
        <v>0</v>
      </c>
      <c r="N19">
        <f>CMA_한투183611[[#This Row],[매도액]]-CMA_한투183611[[#This Row],[매도원금]]</f>
        <v>0</v>
      </c>
      <c r="O19" s="5">
        <f>CMA_한투183611[[#This Row],[매도액]]+CMA_한투183611[[#This Row],[이자배당액]]-CMA_한투183611[[#This Row],[현금수입]]</f>
        <v>0</v>
      </c>
      <c r="P19">
        <f>CMA_한투183611[[#This Row],[매매수익]]+CMA_한투183611[[#This Row],[이자배당액]]-CMA_한투183611[[#This Row],[매도비용]]-CMA_한투183611[[#This Row],[매입비용]]</f>
        <v>-140</v>
      </c>
      <c r="Q19">
        <v>0</v>
      </c>
      <c r="R19" s="5">
        <f>CMA_한투183611[[#This Row],[입출금]]+CMA_한투183611[[#This Row],[현금수입]]-CMA_한투183611[[#This Row],[현금지출]]</f>
        <v>-995810</v>
      </c>
      <c r="S19">
        <f>SUM($R$2:R19)</f>
        <v>1000000</v>
      </c>
    </row>
    <row r="20" spans="1:19" x14ac:dyDescent="0.3">
      <c r="A20" s="3">
        <v>45312</v>
      </c>
      <c r="B20" s="31" t="s">
        <v>272</v>
      </c>
      <c r="C20" s="9" t="str">
        <f>VLOOKUP(CMA_한투183611[[#This Row],[종목코드]],표3[],2,FALSE)</f>
        <v>한투예수금</v>
      </c>
      <c r="D20" s="33" t="str">
        <f>VLOOKUP(CMA_한투183611[[#This Row],[종목코드]],표3[],4,FALSE)</f>
        <v>한국투자증권 직접투자 원화예수금</v>
      </c>
      <c r="E20" s="40">
        <v>0</v>
      </c>
      <c r="F20" s="7">
        <v>0</v>
      </c>
      <c r="G20" s="7">
        <v>0</v>
      </c>
      <c r="H20" s="5">
        <f>CMA_한투183611[[#This Row],[현금지출]]-CMA_한투183611[[#This Row],[매입액]]</f>
        <v>0</v>
      </c>
      <c r="I20" s="35">
        <v>0</v>
      </c>
      <c r="J20" s="7">
        <v>0</v>
      </c>
      <c r="K20">
        <v>0</v>
      </c>
      <c r="L20" s="7">
        <v>0</v>
      </c>
      <c r="M20">
        <v>0</v>
      </c>
      <c r="N20">
        <f>CMA_한투183611[[#This Row],[매도액]]-CMA_한투183611[[#This Row],[매도원금]]</f>
        <v>0</v>
      </c>
      <c r="O20" s="5">
        <f>CMA_한투183611[[#This Row],[매도액]]+CMA_한투183611[[#This Row],[이자배당액]]-CMA_한투183611[[#This Row],[현금수입]]</f>
        <v>0</v>
      </c>
      <c r="P20">
        <f>CMA_한투183611[[#This Row],[매매수익]]+CMA_한투183611[[#This Row],[이자배당액]]-CMA_한투183611[[#This Row],[매도비용]]-CMA_한투183611[[#This Row],[매입비용]]</f>
        <v>0</v>
      </c>
      <c r="Q20">
        <v>2500000</v>
      </c>
      <c r="R20" s="5">
        <f>CMA_한투183611[[#This Row],[입출금]]+CMA_한투183611[[#This Row],[현금수입]]-CMA_한투183611[[#This Row],[현금지출]]</f>
        <v>2500000</v>
      </c>
      <c r="S20">
        <f>SUM($R$2:R20)</f>
        <v>3500000</v>
      </c>
    </row>
    <row r="21" spans="1:19" x14ac:dyDescent="0.3">
      <c r="A21" s="3">
        <v>45313</v>
      </c>
      <c r="B21" s="31" t="s">
        <v>287</v>
      </c>
      <c r="C21" s="9" t="str">
        <f>VLOOKUP(CMA_한투183611[[#This Row],[종목코드]],표3[],2,FALSE)</f>
        <v>(약정)한투원화발행어음</v>
      </c>
      <c r="D21" s="33" t="str">
        <f>VLOOKUP(CMA_한투183611[[#This Row],[종목코드]],표3[],4,FALSE)</f>
        <v>한국투자증권 직접투자계좌 원화발행어음(약정)</v>
      </c>
      <c r="E21" s="40">
        <v>0</v>
      </c>
      <c r="F21" s="7">
        <v>300000</v>
      </c>
      <c r="G21" s="7">
        <v>300000</v>
      </c>
      <c r="H21" s="5">
        <f>CMA_한투183611[[#This Row],[현금지출]]-CMA_한투183611[[#This Row],[매입액]]</f>
        <v>0</v>
      </c>
      <c r="I21" s="35">
        <v>0</v>
      </c>
      <c r="J21" s="7">
        <v>0</v>
      </c>
      <c r="K21">
        <v>0</v>
      </c>
      <c r="L21" s="7">
        <v>0</v>
      </c>
      <c r="M21">
        <v>0</v>
      </c>
      <c r="N21">
        <f>CMA_한투183611[[#This Row],[매도액]]-CMA_한투183611[[#This Row],[매도원금]]</f>
        <v>0</v>
      </c>
      <c r="O21" s="5">
        <f>CMA_한투183611[[#This Row],[매도액]]+CMA_한투183611[[#This Row],[이자배당액]]-CMA_한투183611[[#This Row],[현금수입]]</f>
        <v>0</v>
      </c>
      <c r="P21">
        <f>CMA_한투183611[[#This Row],[매매수익]]+CMA_한투183611[[#This Row],[이자배당액]]-CMA_한투183611[[#This Row],[매도비용]]-CMA_한투183611[[#This Row],[매입비용]]</f>
        <v>0</v>
      </c>
      <c r="Q21">
        <v>0</v>
      </c>
      <c r="R21" s="5">
        <f>CMA_한투183611[[#This Row],[입출금]]+CMA_한투183611[[#This Row],[현금수입]]-CMA_한투183611[[#This Row],[현금지출]]</f>
        <v>-300000</v>
      </c>
      <c r="S21">
        <f>SUM($R$2:R21)</f>
        <v>3200000</v>
      </c>
    </row>
    <row r="22" spans="1:19" x14ac:dyDescent="0.3">
      <c r="A22" s="3">
        <v>45315</v>
      </c>
      <c r="B22" s="31" t="s">
        <v>429</v>
      </c>
      <c r="C22" s="9" t="str">
        <f>VLOOKUP(CMA_한투183611[[#This Row],[종목코드]],표3[],2,FALSE)</f>
        <v>코스피 TR</v>
      </c>
      <c r="D22" s="33" t="str">
        <f>VLOOKUP(CMA_한투183611[[#This Row],[종목코드]],표3[],4,FALSE)</f>
        <v>KODEX 코스피 TR</v>
      </c>
      <c r="E22" s="40">
        <v>261</v>
      </c>
      <c r="F22" s="7">
        <v>3172455</v>
      </c>
      <c r="G22" s="7">
        <v>3172915</v>
      </c>
      <c r="H22" s="5">
        <f>CMA_한투183611[[#This Row],[현금지출]]-CMA_한투183611[[#This Row],[매입액]]</f>
        <v>460</v>
      </c>
      <c r="I22" s="35">
        <v>0</v>
      </c>
      <c r="J22" s="7">
        <v>0</v>
      </c>
      <c r="K22">
        <v>0</v>
      </c>
      <c r="L22" s="7">
        <v>0</v>
      </c>
      <c r="M22">
        <v>0</v>
      </c>
      <c r="N22">
        <f>CMA_한투183611[[#This Row],[매도액]]-CMA_한투183611[[#This Row],[매도원금]]</f>
        <v>0</v>
      </c>
      <c r="O22" s="5">
        <f>CMA_한투183611[[#This Row],[매도액]]+CMA_한투183611[[#This Row],[이자배당액]]-CMA_한투183611[[#This Row],[현금수입]]</f>
        <v>0</v>
      </c>
      <c r="P22">
        <f>CMA_한투183611[[#This Row],[매매수익]]+CMA_한투183611[[#This Row],[이자배당액]]-CMA_한투183611[[#This Row],[매도비용]]-CMA_한투183611[[#This Row],[매입비용]]</f>
        <v>-460</v>
      </c>
      <c r="Q22">
        <v>0</v>
      </c>
      <c r="R22" s="5">
        <f>CMA_한투183611[[#This Row],[입출금]]+CMA_한투183611[[#This Row],[현금수입]]-CMA_한투183611[[#This Row],[현금지출]]</f>
        <v>-3172915</v>
      </c>
      <c r="S22">
        <f>SUM($R$2:R22)</f>
        <v>27085</v>
      </c>
    </row>
    <row r="23" spans="1:19" x14ac:dyDescent="0.3">
      <c r="A23" s="3">
        <v>45324</v>
      </c>
      <c r="B23" s="108" t="s">
        <v>279</v>
      </c>
      <c r="C23" s="9" t="str">
        <f>VLOOKUP(CMA_한투183611[[#This Row],[종목코드]],표3[],2,FALSE)</f>
        <v>미국하이일드</v>
      </c>
      <c r="D23" s="33" t="str">
        <f>VLOOKUP(CMA_한투183611[[#This Row],[종목코드]],표3[],4,FALSE)</f>
        <v>ACE 미국하이일드액티브(H)</v>
      </c>
      <c r="E23" s="40">
        <v>0</v>
      </c>
      <c r="F23" s="7">
        <v>0</v>
      </c>
      <c r="G23" s="7">
        <v>0</v>
      </c>
      <c r="H23" s="5">
        <f>CMA_한투183611[[#This Row],[현금지출]]-CMA_한투183611[[#This Row],[매입액]]</f>
        <v>0</v>
      </c>
      <c r="I23" s="35">
        <v>0</v>
      </c>
      <c r="J23" s="7">
        <v>0</v>
      </c>
      <c r="K23">
        <v>0</v>
      </c>
      <c r="L23" s="7">
        <v>15756</v>
      </c>
      <c r="M23">
        <v>13336</v>
      </c>
      <c r="N23">
        <f>CMA_한투183611[[#This Row],[매도액]]-CMA_한투183611[[#This Row],[매도원금]]</f>
        <v>0</v>
      </c>
      <c r="O23" s="5">
        <f>CMA_한투183611[[#This Row],[매도액]]+CMA_한투183611[[#This Row],[이자배당액]]-CMA_한투183611[[#This Row],[현금수입]]</f>
        <v>2420</v>
      </c>
      <c r="P23">
        <f>CMA_한투183611[[#This Row],[매매수익]]+CMA_한투183611[[#This Row],[이자배당액]]-CMA_한투183611[[#This Row],[매도비용]]-CMA_한투183611[[#This Row],[매입비용]]</f>
        <v>13336</v>
      </c>
      <c r="Q23">
        <v>0</v>
      </c>
      <c r="R23" s="5">
        <f>CMA_한투183611[[#This Row],[입출금]]+CMA_한투183611[[#This Row],[현금수입]]-CMA_한투183611[[#This Row],[현금지출]]</f>
        <v>13336</v>
      </c>
      <c r="S23">
        <f>SUM($R$2:R23)</f>
        <v>40421</v>
      </c>
    </row>
    <row r="24" spans="1:19" x14ac:dyDescent="0.3">
      <c r="A24" s="3">
        <v>45327</v>
      </c>
      <c r="B24" s="31" t="s">
        <v>291</v>
      </c>
      <c r="C24" s="9" t="str">
        <f>VLOOKUP(CMA_한투183611[[#This Row],[종목코드]],표3[],2,FALSE)</f>
        <v>(수시)한투원화발행어음</v>
      </c>
      <c r="D24" s="33" t="str">
        <f>VLOOKUP(CMA_한투183611[[#This Row],[종목코드]],표3[],4,FALSE)</f>
        <v>한국투자증권 직접투자계좌 원화발행어음(수시)</v>
      </c>
      <c r="E24" s="40">
        <v>0</v>
      </c>
      <c r="F24" s="7">
        <v>0</v>
      </c>
      <c r="G24" s="7">
        <v>0</v>
      </c>
      <c r="H24" s="5">
        <f>CMA_한투183611[[#This Row],[현금지출]]-CMA_한투183611[[#This Row],[매입액]]</f>
        <v>0</v>
      </c>
      <c r="I24" s="35">
        <v>0</v>
      </c>
      <c r="J24" s="50">
        <v>1019062</v>
      </c>
      <c r="K24">
        <v>1022188</v>
      </c>
      <c r="L24" s="7">
        <v>0</v>
      </c>
      <c r="M24">
        <v>1021718</v>
      </c>
      <c r="N24">
        <f>CMA_한투183611[[#This Row],[매도액]]-CMA_한투183611[[#This Row],[매도원금]]</f>
        <v>3126</v>
      </c>
      <c r="O24" s="5">
        <f>CMA_한투183611[[#This Row],[매도액]]+CMA_한투183611[[#This Row],[이자배당액]]-CMA_한투183611[[#This Row],[현금수입]]</f>
        <v>470</v>
      </c>
      <c r="P24">
        <f>CMA_한투183611[[#This Row],[매매수익]]+CMA_한투183611[[#This Row],[이자배당액]]-CMA_한투183611[[#This Row],[매도비용]]-CMA_한투183611[[#This Row],[매입비용]]</f>
        <v>2656</v>
      </c>
      <c r="Q24">
        <v>0</v>
      </c>
      <c r="R24" s="5">
        <f>CMA_한투183611[[#This Row],[입출금]]+CMA_한투183611[[#This Row],[현금수입]]-CMA_한투183611[[#This Row],[현금지출]]</f>
        <v>1021718</v>
      </c>
      <c r="S24">
        <f>SUM($R$2:R24)</f>
        <v>1062139</v>
      </c>
    </row>
    <row r="25" spans="1:19" x14ac:dyDescent="0.3">
      <c r="A25" s="3">
        <v>45327</v>
      </c>
      <c r="B25" s="31" t="s">
        <v>272</v>
      </c>
      <c r="C25" s="9" t="str">
        <f>VLOOKUP(CMA_한투183611[[#This Row],[종목코드]],표3[],2,FALSE)</f>
        <v>한투예수금</v>
      </c>
      <c r="D25" s="33" t="str">
        <f>VLOOKUP(CMA_한투183611[[#This Row],[종목코드]],표3[],4,FALSE)</f>
        <v>한국투자증권 직접투자 원화예수금</v>
      </c>
      <c r="E25" s="40">
        <v>0</v>
      </c>
      <c r="F25" s="7">
        <v>0</v>
      </c>
      <c r="G25" s="7">
        <v>0</v>
      </c>
      <c r="H25" s="5">
        <f>CMA_한투183611[[#This Row],[현금지출]]-CMA_한투183611[[#This Row],[매입액]]</f>
        <v>0</v>
      </c>
      <c r="I25" s="35">
        <v>0</v>
      </c>
      <c r="J25" s="7">
        <v>0</v>
      </c>
      <c r="K25">
        <v>0</v>
      </c>
      <c r="L25" s="7">
        <v>0</v>
      </c>
      <c r="M25">
        <v>0</v>
      </c>
      <c r="N25">
        <f>CMA_한투183611[[#This Row],[매도액]]-CMA_한투183611[[#This Row],[매도원금]]</f>
        <v>0</v>
      </c>
      <c r="O25" s="5">
        <f>CMA_한투183611[[#This Row],[매도액]]+CMA_한투183611[[#This Row],[이자배당액]]-CMA_한투183611[[#This Row],[현금수입]]</f>
        <v>0</v>
      </c>
      <c r="P25">
        <f>CMA_한투183611[[#This Row],[매매수익]]+CMA_한투183611[[#This Row],[이자배당액]]-CMA_한투183611[[#This Row],[매도비용]]-CMA_한투183611[[#This Row],[매입비용]]</f>
        <v>0</v>
      </c>
      <c r="Q25">
        <v>-600250</v>
      </c>
      <c r="R25" s="5">
        <f>CMA_한투183611[[#This Row],[입출금]]+CMA_한투183611[[#This Row],[현금수입]]-CMA_한투183611[[#This Row],[현금지출]]</f>
        <v>-600250</v>
      </c>
      <c r="S25">
        <f>SUM($R$2:R25)</f>
        <v>461889</v>
      </c>
    </row>
    <row r="26" spans="1:19" x14ac:dyDescent="0.3">
      <c r="A26" s="3">
        <v>45336</v>
      </c>
      <c r="B26" s="31" t="s">
        <v>272</v>
      </c>
      <c r="C26" s="9" t="str">
        <f>VLOOKUP(CMA_한투183611[[#This Row],[종목코드]],표3[],2,FALSE)</f>
        <v>한투예수금</v>
      </c>
      <c r="D26" s="33" t="str">
        <f>VLOOKUP(CMA_한투183611[[#This Row],[종목코드]],표3[],4,FALSE)</f>
        <v>한국투자증권 직접투자 원화예수금</v>
      </c>
      <c r="E26" s="40">
        <v>0</v>
      </c>
      <c r="F26" s="7">
        <v>0</v>
      </c>
      <c r="G26" s="7">
        <v>0</v>
      </c>
      <c r="H26" s="5">
        <f>CMA_한투183611[[#This Row],[현금지출]]-CMA_한투183611[[#This Row],[매입액]]</f>
        <v>0</v>
      </c>
      <c r="I26" s="35">
        <v>0</v>
      </c>
      <c r="J26" s="7">
        <v>0</v>
      </c>
      <c r="K26">
        <v>0</v>
      </c>
      <c r="L26" s="7">
        <v>0</v>
      </c>
      <c r="M26">
        <v>0</v>
      </c>
      <c r="N26">
        <f>CMA_한투183611[[#This Row],[매도액]]-CMA_한투183611[[#This Row],[매도원금]]</f>
        <v>0</v>
      </c>
      <c r="O26" s="5">
        <f>CMA_한투183611[[#This Row],[매도액]]+CMA_한투183611[[#This Row],[이자배당액]]-CMA_한투183611[[#This Row],[현금수입]]</f>
        <v>0</v>
      </c>
      <c r="P26">
        <f>CMA_한투183611[[#This Row],[매매수익]]+CMA_한투183611[[#This Row],[이자배당액]]-CMA_한투183611[[#This Row],[매도비용]]-CMA_한투183611[[#This Row],[매입비용]]</f>
        <v>0</v>
      </c>
      <c r="Q26">
        <f>-2999992+1000000</f>
        <v>-1999992</v>
      </c>
      <c r="R26" s="5">
        <f>CMA_한투183611[[#This Row],[입출금]]+CMA_한투183611[[#This Row],[현금수입]]-CMA_한투183611[[#This Row],[현금지출]]</f>
        <v>-1999992</v>
      </c>
      <c r="S26">
        <f>SUM($R$2:R26)</f>
        <v>-1538103</v>
      </c>
    </row>
    <row r="27" spans="1:19" x14ac:dyDescent="0.3">
      <c r="A27" s="3">
        <v>45341</v>
      </c>
      <c r="B27" s="31" t="s">
        <v>291</v>
      </c>
      <c r="C27" s="9" t="str">
        <f>VLOOKUP(CMA_한투183611[[#This Row],[종목코드]],표3[],2,FALSE)</f>
        <v>(수시)한투원화발행어음</v>
      </c>
      <c r="D27" s="33" t="str">
        <f>VLOOKUP(CMA_한투183611[[#This Row],[종목코드]],표3[],4,FALSE)</f>
        <v>한국투자증권 직접투자계좌 원화발행어음(수시)</v>
      </c>
      <c r="E27" s="40">
        <v>0</v>
      </c>
      <c r="F27" s="7">
        <v>0</v>
      </c>
      <c r="G27" s="7">
        <v>0</v>
      </c>
      <c r="H27" s="5">
        <f>CMA_한투183611[[#This Row],[현금지출]]-CMA_한투183611[[#This Row],[매입액]]</f>
        <v>0</v>
      </c>
      <c r="I27" s="35">
        <v>0</v>
      </c>
      <c r="J27" s="50">
        <v>10188345</v>
      </c>
      <c r="K27">
        <v>10259593</v>
      </c>
      <c r="L27" s="7">
        <v>0</v>
      </c>
      <c r="M27">
        <v>10248633</v>
      </c>
      <c r="N27">
        <f>CMA_한투183611[[#This Row],[매도액]]-CMA_한투183611[[#This Row],[매도원금]]</f>
        <v>71248</v>
      </c>
      <c r="O27" s="5">
        <f>CMA_한투183611[[#This Row],[매도액]]+CMA_한투183611[[#This Row],[이자배당액]]-CMA_한투183611[[#This Row],[현금수입]]</f>
        <v>10960</v>
      </c>
      <c r="P27">
        <f>CMA_한투183611[[#This Row],[매매수익]]+CMA_한투183611[[#This Row],[이자배당액]]-CMA_한투183611[[#This Row],[매도비용]]-CMA_한투183611[[#This Row],[매입비용]]</f>
        <v>60288</v>
      </c>
      <c r="Q27">
        <v>0</v>
      </c>
      <c r="R27" s="5">
        <f>CMA_한투183611[[#This Row],[입출금]]+CMA_한투183611[[#This Row],[현금수입]]-CMA_한투183611[[#This Row],[현금지출]]</f>
        <v>10248633</v>
      </c>
      <c r="S27">
        <f>SUM($R$2:R27)</f>
        <v>8710530</v>
      </c>
    </row>
    <row r="28" spans="1:19" x14ac:dyDescent="0.3">
      <c r="A28" s="3">
        <v>45342</v>
      </c>
      <c r="B28" s="31" t="s">
        <v>272</v>
      </c>
      <c r="C28" s="9" t="str">
        <f>VLOOKUP(CMA_한투183611[[#This Row],[종목코드]],표3[],2,FALSE)</f>
        <v>한투예수금</v>
      </c>
      <c r="D28" s="33" t="str">
        <f>VLOOKUP(CMA_한투183611[[#This Row],[종목코드]],표3[],4,FALSE)</f>
        <v>한국투자증권 직접투자 원화예수금</v>
      </c>
      <c r="E28" s="111"/>
      <c r="H28" s="5">
        <f>CMA_한투183611[[#This Row],[현금지출]]-CMA_한투183611[[#This Row],[매입액]]</f>
        <v>0</v>
      </c>
      <c r="J28" s="50"/>
      <c r="N28">
        <f>CMA_한투183611[[#This Row],[매도액]]-CMA_한투183611[[#This Row],[매도원금]]</f>
        <v>0</v>
      </c>
      <c r="O28" s="5">
        <f>CMA_한투183611[[#This Row],[매도액]]+CMA_한투183611[[#This Row],[이자배당액]]-CMA_한투183611[[#This Row],[현금수입]]</f>
        <v>0</v>
      </c>
      <c r="P28">
        <f>CMA_한투183611[[#This Row],[매매수익]]+CMA_한투183611[[#This Row],[이자배당액]]-CMA_한투183611[[#This Row],[매도비용]]-CMA_한투183611[[#This Row],[매입비용]]</f>
        <v>0</v>
      </c>
      <c r="Q28">
        <v>-178410</v>
      </c>
      <c r="R28" s="5">
        <f>CMA_한투183611[[#This Row],[입출금]]+CMA_한투183611[[#This Row],[현금수입]]-CMA_한투183611[[#This Row],[현금지출]]</f>
        <v>-178410</v>
      </c>
      <c r="S28">
        <f>SUM($R$2:R28)</f>
        <v>8532120</v>
      </c>
    </row>
    <row r="29" spans="1:19" x14ac:dyDescent="0.3">
      <c r="A29" s="3">
        <v>45343</v>
      </c>
      <c r="B29" s="31" t="s">
        <v>436</v>
      </c>
      <c r="C29" s="9" t="str">
        <f>VLOOKUP(CMA_한투183611[[#This Row],[종목코드]],표3[],2,FALSE)</f>
        <v>미국단기회사채</v>
      </c>
      <c r="D29" s="33" t="str">
        <f>VLOOKUP(CMA_한투183611[[#This Row],[종목코드]],표3[],4,FALSE)</f>
        <v>KBSTAR 미국단기투자등급회사채액티비</v>
      </c>
      <c r="E29" s="40">
        <v>330</v>
      </c>
      <c r="F29" s="7">
        <v>3507900</v>
      </c>
      <c r="G29" s="7">
        <v>3508190</v>
      </c>
      <c r="H29" s="5">
        <f>CMA_한투183611[[#This Row],[현금지출]]-CMA_한투183611[[#This Row],[매입액]]</f>
        <v>290</v>
      </c>
      <c r="I29" s="35">
        <v>0</v>
      </c>
      <c r="J29" s="7">
        <v>0</v>
      </c>
      <c r="K29">
        <v>0</v>
      </c>
      <c r="L29" s="7">
        <v>0</v>
      </c>
      <c r="M29">
        <v>0</v>
      </c>
      <c r="N29">
        <f>CMA_한투183611[[#This Row],[매도액]]-CMA_한투183611[[#This Row],[매도원금]]</f>
        <v>0</v>
      </c>
      <c r="O29" s="5">
        <f>CMA_한투183611[[#This Row],[매도액]]+CMA_한투183611[[#This Row],[이자배당액]]-CMA_한투183611[[#This Row],[현금수입]]</f>
        <v>0</v>
      </c>
      <c r="P29">
        <f>CMA_한투183611[[#This Row],[매매수익]]+CMA_한투183611[[#This Row],[이자배당액]]-CMA_한투183611[[#This Row],[매도비용]]-CMA_한투183611[[#This Row],[매입비용]]</f>
        <v>-290</v>
      </c>
      <c r="Q29">
        <v>0</v>
      </c>
      <c r="R29" s="5">
        <f>CMA_한투183611[[#This Row],[입출금]]+CMA_한투183611[[#This Row],[현금수입]]-CMA_한투183611[[#This Row],[현금지출]]</f>
        <v>-3508190</v>
      </c>
      <c r="S29">
        <f>SUM($R$2:R29)</f>
        <v>5023930</v>
      </c>
    </row>
    <row r="30" spans="1:19" x14ac:dyDescent="0.3">
      <c r="A30" s="3">
        <v>45343</v>
      </c>
      <c r="B30" s="31" t="s">
        <v>437</v>
      </c>
      <c r="C30" s="9" t="str">
        <f>VLOOKUP(CMA_한투183611[[#This Row],[종목코드]],표3[],2,FALSE)</f>
        <v>글로벌AI주식</v>
      </c>
      <c r="D30" s="33" t="str">
        <f>VLOOKUP(CMA_한투183611[[#This Row],[종목코드]],표3[],4,FALSE)</f>
        <v>TIMEFOLIO 글로벌AI인공지능액티브</v>
      </c>
      <c r="E30" s="40">
        <v>116</v>
      </c>
      <c r="F30" s="7">
        <v>2013760</v>
      </c>
      <c r="G30" s="7">
        <v>2014050</v>
      </c>
      <c r="H30" s="5">
        <f>CMA_한투183611[[#This Row],[현금지출]]-CMA_한투183611[[#This Row],[매입액]]</f>
        <v>290</v>
      </c>
      <c r="I30" s="35">
        <v>0</v>
      </c>
      <c r="J30" s="7">
        <v>0</v>
      </c>
      <c r="K30">
        <v>0</v>
      </c>
      <c r="L30" s="7">
        <v>0</v>
      </c>
      <c r="M30">
        <v>0</v>
      </c>
      <c r="N30">
        <f>CMA_한투183611[[#This Row],[매도액]]-CMA_한투183611[[#This Row],[매도원금]]</f>
        <v>0</v>
      </c>
      <c r="O30" s="5">
        <f>CMA_한투183611[[#This Row],[매도액]]+CMA_한투183611[[#This Row],[이자배당액]]-CMA_한투183611[[#This Row],[현금수입]]</f>
        <v>0</v>
      </c>
      <c r="P30">
        <f>CMA_한투183611[[#This Row],[매매수익]]+CMA_한투183611[[#This Row],[이자배당액]]-CMA_한투183611[[#This Row],[매도비용]]-CMA_한투183611[[#This Row],[매입비용]]</f>
        <v>-290</v>
      </c>
      <c r="Q30">
        <v>0</v>
      </c>
      <c r="R30" s="5">
        <f>CMA_한투183611[[#This Row],[입출금]]+CMA_한투183611[[#This Row],[현금수입]]-CMA_한투183611[[#This Row],[현금지출]]</f>
        <v>-2014050</v>
      </c>
      <c r="S30">
        <f>SUM($R$2:R30)</f>
        <v>3009880</v>
      </c>
    </row>
    <row r="31" spans="1:19" x14ac:dyDescent="0.3">
      <c r="A31" s="3">
        <v>45343</v>
      </c>
      <c r="B31" s="31" t="s">
        <v>438</v>
      </c>
      <c r="C31" s="9" t="str">
        <f>VLOOKUP(CMA_한투183611[[#This Row],[종목코드]],표3[],2,FALSE)</f>
        <v>미국배당주</v>
      </c>
      <c r="D31" s="33" t="str">
        <f>VLOOKUP(CMA_한투183611[[#This Row],[종목코드]],표3[],4,FALSE)</f>
        <v>TIGER 미국배당다우존스</v>
      </c>
      <c r="E31" s="40">
        <v>183</v>
      </c>
      <c r="F31" s="7">
        <v>2009340</v>
      </c>
      <c r="G31" s="7">
        <v>2009850</v>
      </c>
      <c r="H31" s="5">
        <f>CMA_한투183611[[#This Row],[현금지출]]-CMA_한투183611[[#This Row],[매입액]]</f>
        <v>510</v>
      </c>
      <c r="I31" s="35">
        <v>0</v>
      </c>
      <c r="J31" s="7">
        <v>0</v>
      </c>
      <c r="K31">
        <v>0</v>
      </c>
      <c r="L31" s="7">
        <v>0</v>
      </c>
      <c r="M31">
        <v>0</v>
      </c>
      <c r="N31">
        <f>CMA_한투183611[[#This Row],[매도액]]-CMA_한투183611[[#This Row],[매도원금]]</f>
        <v>0</v>
      </c>
      <c r="O31" s="5">
        <f>CMA_한투183611[[#This Row],[매도액]]+CMA_한투183611[[#This Row],[이자배당액]]-CMA_한투183611[[#This Row],[현금수입]]</f>
        <v>0</v>
      </c>
      <c r="P31">
        <f>CMA_한투183611[[#This Row],[매매수익]]+CMA_한투183611[[#This Row],[이자배당액]]-CMA_한투183611[[#This Row],[매도비용]]-CMA_한투183611[[#This Row],[매입비용]]</f>
        <v>-510</v>
      </c>
      <c r="Q31">
        <v>0</v>
      </c>
      <c r="R31" s="5">
        <f>CMA_한투183611[[#This Row],[입출금]]+CMA_한투183611[[#This Row],[현금수입]]-CMA_한투183611[[#This Row],[현금지출]]</f>
        <v>-2009850</v>
      </c>
      <c r="S31">
        <f>SUM($R$2:R31)</f>
        <v>1000030</v>
      </c>
    </row>
    <row r="32" spans="1:19" x14ac:dyDescent="0.3">
      <c r="A32" s="3">
        <v>45343</v>
      </c>
      <c r="B32" s="31" t="s">
        <v>272</v>
      </c>
      <c r="C32" s="9" t="str">
        <f>VLOOKUP(CMA_한투183611[[#This Row],[종목코드]],표3[],2,FALSE)</f>
        <v>한투예수금</v>
      </c>
      <c r="D32" s="33" t="str">
        <f>VLOOKUP(CMA_한투183611[[#This Row],[종목코드]],표3[],4,FALSE)</f>
        <v>한국투자증권 직접투자 원화예수금</v>
      </c>
      <c r="E32" s="111"/>
      <c r="H32" s="5">
        <f>CMA_한투183611[[#This Row],[현금지출]]-CMA_한투183611[[#This Row],[매입액]]</f>
        <v>0</v>
      </c>
      <c r="J32" s="50"/>
      <c r="N32">
        <f>CMA_한투183611[[#This Row],[매도액]]-CMA_한투183611[[#This Row],[매도원금]]</f>
        <v>0</v>
      </c>
      <c r="O32" s="5">
        <f>CMA_한투183611[[#This Row],[매도액]]+CMA_한투183611[[#This Row],[이자배당액]]-CMA_한투183611[[#This Row],[현금수입]]</f>
        <v>0</v>
      </c>
      <c r="P32">
        <f>CMA_한투183611[[#This Row],[매매수익]]+CMA_한투183611[[#This Row],[이자배당액]]-CMA_한투183611[[#This Row],[매도비용]]-CMA_한투183611[[#This Row],[매입비용]]</f>
        <v>0</v>
      </c>
      <c r="Q32">
        <v>8000000</v>
      </c>
      <c r="R32" s="5">
        <f>CMA_한투183611[[#This Row],[입출금]]+CMA_한투183611[[#This Row],[현금수입]]-CMA_한투183611[[#This Row],[현금지출]]</f>
        <v>8000000</v>
      </c>
      <c r="S32">
        <f>SUM($R$2:R32)</f>
        <v>9000030</v>
      </c>
    </row>
    <row r="33" spans="1:19" x14ac:dyDescent="0.3">
      <c r="A33" s="3">
        <v>45344</v>
      </c>
      <c r="B33" s="31" t="s">
        <v>287</v>
      </c>
      <c r="C33" s="9" t="str">
        <f>VLOOKUP(CMA_한투183611[[#This Row],[종목코드]],표3[],2,FALSE)</f>
        <v>(약정)한투원화발행어음</v>
      </c>
      <c r="D33" s="33" t="str">
        <f>VLOOKUP(CMA_한투183611[[#This Row],[종목코드]],표3[],4,FALSE)</f>
        <v>한국투자증권 직접투자계좌 원화발행어음(약정)</v>
      </c>
      <c r="E33" s="111"/>
      <c r="F33" s="7">
        <v>300000</v>
      </c>
      <c r="G33" s="7">
        <v>300000</v>
      </c>
      <c r="H33" s="5">
        <f>CMA_한투183611[[#This Row],[현금지출]]-CMA_한투183611[[#This Row],[매입액]]</f>
        <v>0</v>
      </c>
      <c r="N33">
        <f>CMA_한투183611[[#This Row],[매도액]]-CMA_한투183611[[#This Row],[매도원금]]</f>
        <v>0</v>
      </c>
      <c r="O33" s="5">
        <f>CMA_한투183611[[#This Row],[매도액]]+CMA_한투183611[[#This Row],[이자배당액]]-CMA_한투183611[[#This Row],[현금수입]]</f>
        <v>0</v>
      </c>
      <c r="P33">
        <f>CMA_한투183611[[#This Row],[매매수익]]+CMA_한투183611[[#This Row],[이자배당액]]-CMA_한투183611[[#This Row],[매도비용]]-CMA_한투183611[[#This Row],[매입비용]]</f>
        <v>0</v>
      </c>
      <c r="R33" s="5">
        <f>CMA_한투183611[[#This Row],[입출금]]+CMA_한투183611[[#This Row],[현금수입]]-CMA_한투183611[[#This Row],[현금지출]]</f>
        <v>-300000</v>
      </c>
      <c r="S33">
        <f>SUM($R$2:R33)</f>
        <v>8700030</v>
      </c>
    </row>
    <row r="35" spans="1:19" x14ac:dyDescent="0.3">
      <c r="J35"/>
      <c r="L35"/>
      <c r="O35"/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zoomScale="85" zoomScaleNormal="85" workbookViewId="0">
      <selection activeCell="S7" sqref="S7"/>
    </sheetView>
  </sheetViews>
  <sheetFormatPr defaultRowHeight="16.5" x14ac:dyDescent="0.3"/>
  <cols>
    <col min="1" max="1" width="11.125" style="3" bestFit="1" customWidth="1"/>
    <col min="2" max="2" width="11.375" style="1" customWidth="1"/>
    <col min="3" max="3" width="15.75" style="1" customWidth="1"/>
    <col min="4" max="4" width="44.75" style="9" bestFit="1" customWidth="1"/>
    <col min="5" max="5" width="12.375" style="9" customWidth="1"/>
    <col min="6" max="6" width="16.75" style="7" bestFit="1" customWidth="1"/>
    <col min="7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9.25" bestFit="1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s="2" customFormat="1" x14ac:dyDescent="0.3">
      <c r="A2" s="1">
        <v>45292</v>
      </c>
      <c r="B2" s="46" t="s">
        <v>270</v>
      </c>
      <c r="C2" s="9" t="str">
        <f>VLOOKUP(CMA_한투18361112[[#This Row],[종목코드]],표3[],2,FALSE)</f>
        <v>한투ISA예수금</v>
      </c>
      <c r="D2" s="33" t="str">
        <f>VLOOKUP(CMA_한투18361112[[#This Row],[종목코드]],표3[],4,FALSE)</f>
        <v>한국투자증권 ISA 원화예수금</v>
      </c>
      <c r="E2" s="40">
        <v>1</v>
      </c>
      <c r="F2">
        <v>0</v>
      </c>
      <c r="G2">
        <v>0</v>
      </c>
      <c r="H2">
        <f>CMA_한투18361112[[#This Row],[현금지출]]-CMA_한투18361112[[#This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CMA_한투18361112[[#This Row],[매도액]]-CMA_한투18361112[[#This Row],[매도원금]]</f>
        <v>0</v>
      </c>
      <c r="O2">
        <f>CMA_한투18361112[[#This Row],[매도액]]+CMA_한투18361112[[#This Row],[이자배당액]]-CMA_한투18361112[[#This Row],[현금수입]]</f>
        <v>0</v>
      </c>
      <c r="P2">
        <f>CMA_한투18361112[[#This Row],[매매수익]]+CMA_한투18361112[[#This Row],[이자배당액]]-CMA_한투18361112[[#This Row],[매도비용]]-CMA_한투18361112[[#This Row],[매입비용]]</f>
        <v>0</v>
      </c>
      <c r="Q2">
        <v>8994</v>
      </c>
      <c r="R2">
        <f>CMA_한투18361112[[#This Row],[입출금]]+CMA_한투18361112[[#This Row],[현금수입]]-CMA_한투18361112[[#This Row],[현금지출]]</f>
        <v>8994</v>
      </c>
      <c r="S2">
        <f>SUM($R$2:R2)</f>
        <v>8994</v>
      </c>
    </row>
    <row r="3" spans="1:19" s="2" customFormat="1" x14ac:dyDescent="0.3">
      <c r="A3" s="1">
        <v>45292</v>
      </c>
      <c r="B3" s="46" t="s">
        <v>154</v>
      </c>
      <c r="C3" s="9" t="str">
        <f>VLOOKUP(CMA_한투18361112[[#This Row],[종목코드]],표3[],2,FALSE)</f>
        <v>삼척블루파워9</v>
      </c>
      <c r="D3" s="33" t="str">
        <f>VLOOKUP(CMA_한투18361112[[#This Row],[종목코드]],표3[],4,FALSE)</f>
        <v>삼척블루파워9</v>
      </c>
      <c r="E3" s="40">
        <v>1</v>
      </c>
      <c r="F3">
        <v>1484900</v>
      </c>
      <c r="G3">
        <v>1484900</v>
      </c>
      <c r="H3">
        <f>CMA_한투18361112[[#This Row],[현금지출]]-CMA_한투18361112[[#This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CMA_한투18361112[[#This Row],[매도액]]-CMA_한투18361112[[#This Row],[매도원금]]</f>
        <v>0</v>
      </c>
      <c r="O3">
        <f>CMA_한투18361112[[#This Row],[매도액]]+CMA_한투18361112[[#This Row],[이자배당액]]-CMA_한투18361112[[#This Row],[현금수입]]</f>
        <v>0</v>
      </c>
      <c r="P3">
        <f>CMA_한투18361112[[#This Row],[매매수익]]+CMA_한투18361112[[#This Row],[이자배당액]]-CMA_한투18361112[[#This Row],[매도비용]]-CMA_한투18361112[[#This Row],[매입비용]]</f>
        <v>0</v>
      </c>
      <c r="Q3">
        <v>1484900</v>
      </c>
      <c r="R3">
        <f>CMA_한투18361112[[#This Row],[입출금]]+CMA_한투18361112[[#This Row],[현금수입]]-CMA_한투18361112[[#This Row],[현금지출]]</f>
        <v>0</v>
      </c>
      <c r="S3">
        <f>SUM($R$2:R3)</f>
        <v>8994</v>
      </c>
    </row>
    <row r="4" spans="1:19" s="2" customFormat="1" x14ac:dyDescent="0.3">
      <c r="A4" s="1">
        <v>45292</v>
      </c>
      <c r="B4" s="46" t="s">
        <v>274</v>
      </c>
      <c r="C4" s="9" t="str">
        <f>VLOOKUP(CMA_한투18361112[[#This Row],[종목코드]],표3[],2,FALSE)</f>
        <v>메리츠캐피탈235-1</v>
      </c>
      <c r="D4" s="33" t="str">
        <f>VLOOKUP(CMA_한투18361112[[#This Row],[종목코드]],표3[],4,FALSE)</f>
        <v>메리츠캐피탈235-1</v>
      </c>
      <c r="E4" s="40">
        <v>1</v>
      </c>
      <c r="F4">
        <v>1049029</v>
      </c>
      <c r="G4">
        <v>1049029</v>
      </c>
      <c r="H4">
        <f>CMA_한투18361112[[#This Row],[현금지출]]-CMA_한투18361112[[#This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CMA_한투18361112[[#This Row],[매도액]]-CMA_한투18361112[[#This Row],[매도원금]]</f>
        <v>0</v>
      </c>
      <c r="O4">
        <f>CMA_한투18361112[[#This Row],[매도액]]+CMA_한투18361112[[#This Row],[이자배당액]]-CMA_한투18361112[[#This Row],[현금수입]]</f>
        <v>0</v>
      </c>
      <c r="P4">
        <f>CMA_한투18361112[[#This Row],[매매수익]]+CMA_한투18361112[[#This Row],[이자배당액]]-CMA_한투18361112[[#This Row],[매도비용]]-CMA_한투18361112[[#This Row],[매입비용]]</f>
        <v>0</v>
      </c>
      <c r="Q4">
        <v>1049029</v>
      </c>
      <c r="R4">
        <f>CMA_한투18361112[[#This Row],[입출금]]+CMA_한투18361112[[#This Row],[현금수입]]-CMA_한투18361112[[#This Row],[현금지출]]</f>
        <v>0</v>
      </c>
      <c r="S4">
        <f>SUM($R$2:R4)</f>
        <v>8994</v>
      </c>
    </row>
    <row r="5" spans="1:19" x14ac:dyDescent="0.3">
      <c r="A5" s="3">
        <v>45306</v>
      </c>
      <c r="B5" s="46" t="s">
        <v>154</v>
      </c>
      <c r="C5" s="9" t="str">
        <f>VLOOKUP(CMA_한투18361112[[#This Row],[종목코드]],표3[],2,FALSE)</f>
        <v>삼척블루파워9</v>
      </c>
      <c r="D5" s="33" t="str">
        <f>VLOOKUP(CMA_한투18361112[[#This Row],[종목코드]],표3[],4,FALSE)</f>
        <v>삼척블루파워9</v>
      </c>
      <c r="E5" s="40"/>
      <c r="H5" s="5">
        <f>CMA_한투18361112[[#This Row],[현금지출]]-CMA_한투18361112[[#This Row],[매입액]]</f>
        <v>0</v>
      </c>
      <c r="L5" s="7">
        <v>8994</v>
      </c>
      <c r="M5">
        <v>8994</v>
      </c>
      <c r="N5">
        <f>CMA_한투18361112[[#This Row],[매도액]]-CMA_한투18361112[[#This Row],[매도원금]]</f>
        <v>0</v>
      </c>
      <c r="O5" s="5">
        <f>CMA_한투18361112[[#This Row],[매도액]]+CMA_한투18361112[[#This Row],[이자배당액]]-CMA_한투18361112[[#This Row],[현금수입]]</f>
        <v>0</v>
      </c>
      <c r="P5">
        <f>CMA_한투18361112[[#This Row],[매매수익]]+CMA_한투18361112[[#This Row],[이자배당액]]-CMA_한투18361112[[#This Row],[매도비용]]-CMA_한투18361112[[#This Row],[매입비용]]</f>
        <v>8994</v>
      </c>
      <c r="R5" s="5">
        <f>CMA_한투18361112[[#This Row],[입출금]]+CMA_한투18361112[[#This Row],[현금수입]]-CMA_한투18361112[[#This Row],[현금지출]]</f>
        <v>8994</v>
      </c>
      <c r="S5">
        <f>SUM($R$2:R5)</f>
        <v>17988</v>
      </c>
    </row>
    <row r="6" spans="1:19" x14ac:dyDescent="0.3">
      <c r="A6" s="3">
        <v>45337</v>
      </c>
      <c r="B6" s="46" t="s">
        <v>154</v>
      </c>
      <c r="C6" s="9" t="str">
        <f>VLOOKUP(CMA_한투18361112[[#This Row],[종목코드]],표3[],2,FALSE)</f>
        <v>삼척블루파워9</v>
      </c>
      <c r="D6" s="33" t="str">
        <f>VLOOKUP(CMA_한투18361112[[#This Row],[종목코드]],표3[],4,FALSE)</f>
        <v>삼척블루파워9</v>
      </c>
      <c r="E6" s="111"/>
      <c r="H6" s="5">
        <f>CMA_한투18361112[[#This Row],[현금지출]]-CMA_한투18361112[[#This Row],[매입액]]</f>
        <v>0</v>
      </c>
      <c r="L6" s="7">
        <v>8994</v>
      </c>
      <c r="M6">
        <v>8994</v>
      </c>
      <c r="N6">
        <f>CMA_한투18361112[[#This Row],[매도액]]-CMA_한투18361112[[#This Row],[매도원금]]</f>
        <v>0</v>
      </c>
      <c r="O6" s="5">
        <f>CMA_한투18361112[[#This Row],[매도액]]+CMA_한투18361112[[#This Row],[이자배당액]]-CMA_한투18361112[[#This Row],[현금수입]]</f>
        <v>0</v>
      </c>
      <c r="P6">
        <f>CMA_한투18361112[[#This Row],[매매수익]]+CMA_한투18361112[[#This Row],[이자배당액]]-CMA_한투18361112[[#This Row],[매도비용]]-CMA_한투18361112[[#This Row],[매입비용]]</f>
        <v>8994</v>
      </c>
      <c r="R6" s="5">
        <f>CMA_한투18361112[[#This Row],[입출금]]+CMA_한투18361112[[#This Row],[현금수입]]-CMA_한투18361112[[#This Row],[현금지출]]</f>
        <v>8994</v>
      </c>
      <c r="S6">
        <f>SUM($R$2:R6)</f>
        <v>26982</v>
      </c>
    </row>
    <row r="7" spans="1:19" x14ac:dyDescent="0.3">
      <c r="A7" s="1">
        <v>45344</v>
      </c>
      <c r="B7" s="46" t="s">
        <v>274</v>
      </c>
      <c r="C7" s="9" t="str">
        <f>VLOOKUP(CMA_한투18361112[[#This Row],[종목코드]],표3[],2,FALSE)</f>
        <v>메리츠캐피탈235-1</v>
      </c>
      <c r="D7" s="33" t="str">
        <f>VLOOKUP(CMA_한투18361112[[#This Row],[종목코드]],표3[],4,FALSE)</f>
        <v>메리츠캐피탈235-1</v>
      </c>
      <c r="E7" s="111"/>
      <c r="H7" s="5">
        <f>CMA_한투18361112[[#This Row],[현금지출]]-CMA_한투18361112[[#This Row],[매입액]]</f>
        <v>0</v>
      </c>
      <c r="L7" s="7">
        <v>14194</v>
      </c>
      <c r="M7">
        <v>14194</v>
      </c>
      <c r="N7">
        <f>CMA_한투18361112[[#This Row],[매도액]]-CMA_한투18361112[[#This Row],[매도원금]]</f>
        <v>0</v>
      </c>
      <c r="O7" s="5">
        <f>CMA_한투18361112[[#This Row],[매도액]]+CMA_한투18361112[[#This Row],[이자배당액]]-CMA_한투18361112[[#This Row],[현금수입]]</f>
        <v>0</v>
      </c>
      <c r="P7">
        <f>CMA_한투18361112[[#This Row],[매매수익]]+CMA_한투18361112[[#This Row],[이자배당액]]-CMA_한투18361112[[#This Row],[매도비용]]-CMA_한투18361112[[#This Row],[매입비용]]</f>
        <v>14194</v>
      </c>
      <c r="R7" s="5">
        <f>CMA_한투18361112[[#This Row],[입출금]]+CMA_한투18361112[[#This Row],[현금수입]]-CMA_한투18361112[[#This Row],[현금지출]]</f>
        <v>14194</v>
      </c>
      <c r="S7">
        <f>SUM($R$2:R7)</f>
        <v>41176</v>
      </c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A2" sqref="A2:S2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8.375" style="9" customWidth="1"/>
    <col min="5" max="5" width="12.75" style="40" customWidth="1"/>
    <col min="6" max="6" width="9.5" style="7" bestFit="1" customWidth="1"/>
    <col min="7" max="8" width="10.625" style="5" bestFit="1" customWidth="1"/>
    <col min="9" max="9" width="10.625" style="40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3.625" customWidth="1"/>
    <col min="19" max="19" width="9.5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40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G2" s="8"/>
      <c r="H2" s="8"/>
      <c r="I2" s="12"/>
      <c r="K2" s="7"/>
      <c r="M2" s="7"/>
      <c r="N2" s="8"/>
      <c r="O2" s="8"/>
      <c r="P2" s="8"/>
      <c r="Q2" s="8"/>
      <c r="R2" s="8"/>
      <c r="S2" s="8"/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zoomScale="85" zoomScaleNormal="85" workbookViewId="0"/>
  </sheetViews>
  <sheetFormatPr defaultRowHeight="16.5" x14ac:dyDescent="0.3"/>
  <cols>
    <col min="1" max="1" width="11.125" style="3" bestFit="1" customWidth="1"/>
    <col min="2" max="2" width="11.125" style="3" customWidth="1"/>
    <col min="3" max="3" width="11.375" style="1" customWidth="1"/>
    <col min="4" max="4" width="15.75" style="1" customWidth="1"/>
    <col min="5" max="5" width="44.75" style="9" bestFit="1" customWidth="1"/>
    <col min="6" max="6" width="12.375" style="9" customWidth="1"/>
    <col min="7" max="7" width="16.75" style="7" bestFit="1" customWidth="1"/>
    <col min="8" max="9" width="11.875" style="5" customWidth="1"/>
    <col min="10" max="10" width="11.875" style="35" customWidth="1"/>
    <col min="11" max="11" width="14.625" style="7" bestFit="1" customWidth="1"/>
    <col min="12" max="12" width="11.375" customWidth="1"/>
    <col min="13" max="13" width="13.25" style="7" bestFit="1" customWidth="1"/>
    <col min="14" max="14" width="14" customWidth="1"/>
    <col min="16" max="16" width="11.875" style="5" customWidth="1"/>
    <col min="17" max="17" width="9.75" bestFit="1" customWidth="1"/>
    <col min="18" max="18" width="10.875" customWidth="1"/>
    <col min="19" max="19" width="9.25" bestFit="1" customWidth="1"/>
    <col min="20" max="20" width="12.25" customWidth="1"/>
    <col min="22" max="22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B2" s="5"/>
      <c r="C2" s="49"/>
      <c r="D2"/>
      <c r="E2" s="40"/>
      <c r="F2"/>
      <c r="G2"/>
      <c r="H2"/>
      <c r="I2" s="35"/>
      <c r="J2"/>
      <c r="K2"/>
      <c r="M2"/>
      <c r="P2"/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A5" sqref="A5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2.75" style="9" customWidth="1"/>
    <col min="5" max="5" width="12.75" style="34" customWidth="1"/>
    <col min="6" max="6" width="9" style="7" bestFit="1" customWidth="1"/>
    <col min="7" max="8" width="10.625" style="5" bestFit="1" customWidth="1"/>
    <col min="9" max="9" width="10.625" style="5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2.125" customWidth="1"/>
    <col min="19" max="19" width="9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47" t="s">
        <v>132</v>
      </c>
      <c r="F1" s="15" t="s">
        <v>56</v>
      </c>
      <c r="G1" s="15" t="s">
        <v>55</v>
      </c>
      <c r="H1" s="15" t="s">
        <v>27</v>
      </c>
      <c r="I1" s="15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B2" s="46"/>
      <c r="E2" s="40"/>
      <c r="G2" s="8"/>
      <c r="H2" s="8"/>
      <c r="I2" s="8"/>
      <c r="K2" s="7"/>
      <c r="M2" s="7"/>
      <c r="N2" s="8"/>
      <c r="O2" s="8"/>
      <c r="P2" s="8"/>
      <c r="Q2" s="8"/>
      <c r="R2" s="8"/>
      <c r="S2" s="8"/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0"/>
  <sheetViews>
    <sheetView zoomScale="85" zoomScaleNormal="85" workbookViewId="0">
      <selection activeCell="K40" sqref="K40"/>
    </sheetView>
  </sheetViews>
  <sheetFormatPr defaultRowHeight="16.5" x14ac:dyDescent="0.3"/>
  <cols>
    <col min="1" max="1" width="11.125" style="3" bestFit="1" customWidth="1"/>
    <col min="2" max="2" width="17.25" style="3" bestFit="1" customWidth="1"/>
    <col min="3" max="5" width="12.75" style="50" customWidth="1"/>
    <col min="6" max="6" width="12.75" style="52" customWidth="1"/>
    <col min="12" max="13" width="11.875" style="50" bestFit="1" customWidth="1"/>
    <col min="14" max="14" width="13.5" bestFit="1" customWidth="1"/>
    <col min="16" max="16" width="9.5" bestFit="1" customWidth="1"/>
  </cols>
  <sheetData>
    <row r="1" spans="1:6" x14ac:dyDescent="0.3">
      <c r="A1" s="1" t="s">
        <v>0</v>
      </c>
      <c r="B1" s="1" t="s">
        <v>205</v>
      </c>
      <c r="C1" s="4" t="s">
        <v>206</v>
      </c>
      <c r="D1" s="4" t="s">
        <v>228</v>
      </c>
      <c r="E1" s="4" t="s">
        <v>207</v>
      </c>
      <c r="F1" s="51" t="s">
        <v>208</v>
      </c>
    </row>
    <row r="2" spans="1:6" x14ac:dyDescent="0.3">
      <c r="A2" s="3">
        <v>45318</v>
      </c>
      <c r="B2" s="5"/>
      <c r="C2" s="7"/>
      <c r="D2" s="7">
        <f>IF(WEEKDAY(표8[[#This Row],[거래일자]])=4, 2000000,0)</f>
        <v>0</v>
      </c>
      <c r="E2" s="7"/>
      <c r="F2" s="7"/>
    </row>
    <row r="3" spans="1:6" x14ac:dyDescent="0.3">
      <c r="A3" s="3">
        <v>45319</v>
      </c>
      <c r="B3" s="5"/>
      <c r="C3" s="7"/>
      <c r="D3" s="7">
        <f>IF(WEEKDAY(표8[[#This Row],[거래일자]])=4, 2000000,0)</f>
        <v>0</v>
      </c>
      <c r="E3" s="7"/>
      <c r="F3" s="7"/>
    </row>
    <row r="4" spans="1:6" x14ac:dyDescent="0.3">
      <c r="A4" s="3">
        <v>45320</v>
      </c>
      <c r="B4" s="5"/>
      <c r="C4" s="7"/>
      <c r="D4" s="7">
        <f>IF(WEEKDAY(표8[[#This Row],[거래일자]])=4, 2000000,0)</f>
        <v>0</v>
      </c>
      <c r="E4" s="7"/>
      <c r="F4" s="7"/>
    </row>
    <row r="5" spans="1:6" x14ac:dyDescent="0.3">
      <c r="A5" s="3">
        <v>45321</v>
      </c>
      <c r="B5" s="5"/>
      <c r="C5" s="7"/>
      <c r="D5" s="7">
        <f>IF(WEEKDAY(표8[[#This Row],[거래일자]])=4, 2000000,0)</f>
        <v>0</v>
      </c>
      <c r="E5" s="7"/>
      <c r="F5" s="7"/>
    </row>
    <row r="6" spans="1:6" x14ac:dyDescent="0.3">
      <c r="A6" s="3">
        <v>45322</v>
      </c>
      <c r="B6" s="5"/>
      <c r="C6" s="7"/>
      <c r="D6" s="7">
        <f>IF(WEEKDAY(표8[[#This Row],[거래일자]])=4, 2000000,0)</f>
        <v>2000000</v>
      </c>
      <c r="E6" s="7"/>
      <c r="F6" s="7"/>
    </row>
    <row r="7" spans="1:6" x14ac:dyDescent="0.3">
      <c r="A7" s="3">
        <v>45323</v>
      </c>
      <c r="B7" s="5"/>
      <c r="C7" s="7"/>
      <c r="D7" s="7">
        <f>IF(WEEKDAY(표8[[#This Row],[거래일자]])=4, 2000000,0)</f>
        <v>0</v>
      </c>
      <c r="E7" s="7"/>
      <c r="F7" s="7"/>
    </row>
    <row r="8" spans="1:6" x14ac:dyDescent="0.3">
      <c r="A8" s="3">
        <v>45324</v>
      </c>
      <c r="B8" s="5"/>
      <c r="C8" s="7"/>
      <c r="D8" s="7">
        <f>IF(WEEKDAY(표8[[#This Row],[거래일자]])=4, 2000000,0)</f>
        <v>0</v>
      </c>
      <c r="E8" s="7"/>
      <c r="F8" s="7"/>
    </row>
    <row r="9" spans="1:6" x14ac:dyDescent="0.3">
      <c r="A9" s="3">
        <v>45325</v>
      </c>
      <c r="B9" s="5"/>
      <c r="C9" s="7"/>
      <c r="D9" s="7">
        <f>IF(WEEKDAY(표8[[#This Row],[거래일자]])=4, 2000000,0)</f>
        <v>0</v>
      </c>
      <c r="E9" s="7"/>
      <c r="F9" s="7"/>
    </row>
    <row r="10" spans="1:6" x14ac:dyDescent="0.3">
      <c r="A10" s="3">
        <v>45326</v>
      </c>
      <c r="B10" s="5"/>
      <c r="C10" s="7"/>
      <c r="D10" s="7">
        <f>IF(WEEKDAY(표8[[#This Row],[거래일자]])=4, 2000000,0)</f>
        <v>0</v>
      </c>
      <c r="E10" s="7"/>
      <c r="F10" s="7"/>
    </row>
    <row r="11" spans="1:6" x14ac:dyDescent="0.3">
      <c r="A11" s="3">
        <v>45327</v>
      </c>
      <c r="B11" s="5"/>
      <c r="C11" s="7"/>
      <c r="D11" s="7">
        <f>IF(WEEKDAY(표8[[#This Row],[거래일자]])=4, 2000000,0)</f>
        <v>0</v>
      </c>
      <c r="E11" s="7"/>
      <c r="F11" s="7"/>
    </row>
    <row r="12" spans="1:6" x14ac:dyDescent="0.3">
      <c r="A12" s="3">
        <v>45328</v>
      </c>
      <c r="B12" s="5"/>
      <c r="C12" s="7"/>
      <c r="D12" s="7">
        <f>IF(WEEKDAY(표8[[#This Row],[거래일자]])=4, 2000000,0)</f>
        <v>0</v>
      </c>
      <c r="E12" s="7"/>
      <c r="F12" s="7"/>
    </row>
    <row r="13" spans="1:6" x14ac:dyDescent="0.3">
      <c r="A13" s="3">
        <v>45329</v>
      </c>
      <c r="B13" s="5"/>
      <c r="C13" s="7"/>
      <c r="D13" s="7">
        <f>IF(WEEKDAY(표8[[#This Row],[거래일자]])=4, 2000000,0)</f>
        <v>2000000</v>
      </c>
      <c r="E13" s="7"/>
      <c r="F13" s="7"/>
    </row>
    <row r="14" spans="1:6" x14ac:dyDescent="0.3">
      <c r="A14" s="3">
        <v>45330</v>
      </c>
      <c r="B14" s="5"/>
      <c r="C14" s="7"/>
      <c r="D14" s="7">
        <f>IF(WEEKDAY(표8[[#This Row],[거래일자]])=4, 2000000,0)</f>
        <v>0</v>
      </c>
      <c r="E14" s="7"/>
      <c r="F14" s="7"/>
    </row>
    <row r="15" spans="1:6" x14ac:dyDescent="0.3">
      <c r="A15" s="3">
        <v>45331</v>
      </c>
      <c r="B15" s="5"/>
      <c r="C15" s="7"/>
      <c r="D15" s="7">
        <f>IF(WEEKDAY(표8[[#This Row],[거래일자]])=4, 2000000,0)</f>
        <v>0</v>
      </c>
      <c r="E15" s="7"/>
      <c r="F15" s="7"/>
    </row>
    <row r="16" spans="1:6" x14ac:dyDescent="0.3">
      <c r="A16" s="3">
        <v>45332</v>
      </c>
      <c r="B16" s="5"/>
      <c r="C16" s="7"/>
      <c r="D16" s="7">
        <f>IF(WEEKDAY(표8[[#This Row],[거래일자]])=4, 2000000,0)</f>
        <v>0</v>
      </c>
      <c r="E16" s="7"/>
      <c r="F16" s="7"/>
    </row>
    <row r="17" spans="1:6" x14ac:dyDescent="0.3">
      <c r="A17" s="3">
        <v>45333</v>
      </c>
      <c r="B17" s="5"/>
      <c r="C17" s="7"/>
      <c r="D17" s="7">
        <f>IF(WEEKDAY(표8[[#This Row],[거래일자]])=4, 2000000,0)</f>
        <v>0</v>
      </c>
      <c r="E17" s="7"/>
      <c r="F17" s="7"/>
    </row>
    <row r="18" spans="1:6" x14ac:dyDescent="0.3">
      <c r="A18" s="3">
        <v>45334</v>
      </c>
      <c r="B18" s="5"/>
      <c r="C18" s="7"/>
      <c r="D18" s="7">
        <f>IF(WEEKDAY(표8[[#This Row],[거래일자]])=4, 2000000,0)</f>
        <v>0</v>
      </c>
      <c r="E18" s="7"/>
      <c r="F18" s="7"/>
    </row>
    <row r="19" spans="1:6" x14ac:dyDescent="0.3">
      <c r="A19" s="3">
        <v>45335</v>
      </c>
      <c r="B19" s="5"/>
      <c r="C19" s="7"/>
      <c r="D19" s="7">
        <f>IF(WEEKDAY(표8[[#This Row],[거래일자]])=4, 2000000,0)</f>
        <v>0</v>
      </c>
      <c r="E19" s="7"/>
      <c r="F19" s="7"/>
    </row>
    <row r="20" spans="1:6" x14ac:dyDescent="0.3">
      <c r="A20" s="3">
        <v>45336</v>
      </c>
      <c r="B20" s="5"/>
      <c r="C20" s="7"/>
      <c r="D20" s="7">
        <f>IF(WEEKDAY(표8[[#This Row],[거래일자]])=4, 2000000,0)</f>
        <v>2000000</v>
      </c>
      <c r="E20" s="7"/>
      <c r="F20" s="7"/>
    </row>
    <row r="21" spans="1:6" x14ac:dyDescent="0.3">
      <c r="A21" s="3">
        <v>45337</v>
      </c>
      <c r="B21" s="5"/>
      <c r="C21" s="7"/>
      <c r="D21" s="7">
        <f>IF(WEEKDAY(표8[[#This Row],[거래일자]])=4, 2000000,0)</f>
        <v>0</v>
      </c>
      <c r="E21" s="7"/>
      <c r="F21" s="7"/>
    </row>
    <row r="22" spans="1:6" x14ac:dyDescent="0.3">
      <c r="A22" s="3">
        <v>45338</v>
      </c>
      <c r="B22" s="5"/>
      <c r="C22" s="7"/>
      <c r="D22" s="7">
        <f>IF(WEEKDAY(표8[[#This Row],[거래일자]])=4, 2000000,0)</f>
        <v>0</v>
      </c>
      <c r="E22" s="7"/>
      <c r="F22" s="7"/>
    </row>
    <row r="23" spans="1:6" x14ac:dyDescent="0.3">
      <c r="A23" s="3">
        <v>45339</v>
      </c>
      <c r="B23" s="5"/>
      <c r="C23" s="7"/>
      <c r="D23" s="7">
        <f>IF(WEEKDAY(표8[[#This Row],[거래일자]])=4, 2000000,0)</f>
        <v>0</v>
      </c>
      <c r="E23" s="7"/>
      <c r="F23" s="7"/>
    </row>
    <row r="24" spans="1:6" x14ac:dyDescent="0.3">
      <c r="A24" s="3">
        <v>45340</v>
      </c>
      <c r="B24" s="5"/>
      <c r="C24" s="7"/>
      <c r="D24" s="7">
        <f>IF(WEEKDAY(표8[[#This Row],[거래일자]])=4, 2000000,0)</f>
        <v>0</v>
      </c>
      <c r="E24" s="7"/>
      <c r="F24" s="7"/>
    </row>
    <row r="25" spans="1:6" x14ac:dyDescent="0.3">
      <c r="A25" s="3">
        <v>45341</v>
      </c>
      <c r="B25" s="5"/>
      <c r="C25" s="7"/>
      <c r="D25" s="7">
        <f>IF(WEEKDAY(표8[[#This Row],[거래일자]])=4, 2000000,0)</f>
        <v>0</v>
      </c>
      <c r="E25" s="7"/>
      <c r="F25" s="7"/>
    </row>
    <row r="26" spans="1:6" x14ac:dyDescent="0.3">
      <c r="A26" s="3">
        <v>45342</v>
      </c>
      <c r="B26" s="5"/>
      <c r="C26" s="7"/>
      <c r="D26" s="7">
        <f>IF(WEEKDAY(표8[[#This Row],[거래일자]])=4, 2000000,0)</f>
        <v>0</v>
      </c>
      <c r="E26" s="7"/>
      <c r="F26" s="7"/>
    </row>
    <row r="27" spans="1:6" x14ac:dyDescent="0.3">
      <c r="A27" s="3">
        <v>45343</v>
      </c>
      <c r="B27" s="5">
        <v>7147809</v>
      </c>
      <c r="C27" s="7"/>
      <c r="D27" s="7">
        <f>IF(WEEKDAY(표8[[#This Row],[거래일자]])=4, 2000000,0)</f>
        <v>2000000</v>
      </c>
      <c r="E27" s="7"/>
      <c r="F27" s="7"/>
    </row>
    <row r="28" spans="1:6" x14ac:dyDescent="0.3">
      <c r="A28" s="3">
        <v>45344</v>
      </c>
      <c r="B28" s="5"/>
      <c r="C28" s="7"/>
      <c r="D28" s="7">
        <f>IF(WEEKDAY(표8[[#This Row],[거래일자]])=4, 2000000,0)</f>
        <v>0</v>
      </c>
      <c r="E28" s="7"/>
      <c r="F28" s="7"/>
    </row>
    <row r="29" spans="1:6" x14ac:dyDescent="0.3">
      <c r="A29" s="3">
        <v>45345</v>
      </c>
      <c r="B29" s="5"/>
      <c r="C29" s="7"/>
      <c r="D29" s="7">
        <f>IF(WEEKDAY(표8[[#This Row],[거래일자]])=4, 2000000,0)</f>
        <v>0</v>
      </c>
      <c r="E29" s="7"/>
      <c r="F29" s="7"/>
    </row>
    <row r="30" spans="1:6" x14ac:dyDescent="0.3">
      <c r="A30" s="3">
        <v>45346</v>
      </c>
      <c r="B30" s="5"/>
      <c r="C30" s="7"/>
      <c r="D30" s="7">
        <f>IF(WEEKDAY(표8[[#This Row],[거래일자]])=4, 2000000,0)</f>
        <v>0</v>
      </c>
      <c r="E30" s="7"/>
      <c r="F30" s="7"/>
    </row>
    <row r="31" spans="1:6" x14ac:dyDescent="0.3">
      <c r="A31" s="3">
        <v>45347</v>
      </c>
      <c r="B31" s="5"/>
      <c r="C31" s="7"/>
      <c r="D31" s="7">
        <f>IF(WEEKDAY(표8[[#This Row],[거래일자]])=4, 2000000,0)</f>
        <v>0</v>
      </c>
      <c r="E31" s="7"/>
      <c r="F31" s="7"/>
    </row>
    <row r="32" spans="1:6" x14ac:dyDescent="0.3">
      <c r="A32" s="3">
        <v>45348</v>
      </c>
      <c r="B32" s="5"/>
      <c r="C32" s="7"/>
      <c r="D32" s="7">
        <f>IF(WEEKDAY(표8[[#This Row],[거래일자]])=4, 2000000,0)</f>
        <v>0</v>
      </c>
      <c r="E32" s="7"/>
      <c r="F32" s="7"/>
    </row>
    <row r="33" spans="1:6" x14ac:dyDescent="0.3">
      <c r="A33" s="3">
        <v>45349</v>
      </c>
      <c r="B33" s="5"/>
      <c r="C33" s="7"/>
      <c r="D33" s="7">
        <f>IF(WEEKDAY(표8[[#This Row],[거래일자]])=4, 2000000,0)</f>
        <v>0</v>
      </c>
      <c r="E33" s="7"/>
      <c r="F33" s="7"/>
    </row>
    <row r="34" spans="1:6" x14ac:dyDescent="0.3">
      <c r="A34" s="3">
        <v>45350</v>
      </c>
      <c r="B34" s="5"/>
      <c r="C34" s="7"/>
      <c r="D34" s="7">
        <f>IF(WEEKDAY(표8[[#This Row],[거래일자]])=4, 2000000,0)</f>
        <v>2000000</v>
      </c>
      <c r="E34" s="7"/>
      <c r="F34" s="7"/>
    </row>
    <row r="35" spans="1:6" x14ac:dyDescent="0.3">
      <c r="A35" s="3">
        <v>45351</v>
      </c>
      <c r="B35" s="5"/>
      <c r="C35" s="7"/>
      <c r="D35" s="7">
        <f>IF(WEEKDAY(표8[[#This Row],[거래일자]])=4, 2000000,0)</f>
        <v>0</v>
      </c>
      <c r="E35" s="7"/>
      <c r="F35" s="7"/>
    </row>
    <row r="36" spans="1:6" x14ac:dyDescent="0.3">
      <c r="A36" s="3">
        <v>45352</v>
      </c>
      <c r="B36" s="5"/>
      <c r="C36" s="7"/>
      <c r="D36" s="7">
        <f>IF(WEEKDAY(표8[[#This Row],[거래일자]])=4, 2000000,0)</f>
        <v>0</v>
      </c>
      <c r="E36" s="7"/>
      <c r="F36" s="7"/>
    </row>
    <row r="37" spans="1:6" x14ac:dyDescent="0.3">
      <c r="A37" s="3">
        <v>45353</v>
      </c>
      <c r="B37" s="5"/>
      <c r="C37" s="7"/>
      <c r="D37" s="7">
        <f>IF(WEEKDAY(표8[[#This Row],[거래일자]])=4, 2000000,0)</f>
        <v>0</v>
      </c>
      <c r="E37" s="7"/>
      <c r="F37" s="7"/>
    </row>
    <row r="38" spans="1:6" x14ac:dyDescent="0.3">
      <c r="A38" s="3">
        <v>45354</v>
      </c>
      <c r="B38" s="5"/>
      <c r="C38" s="7"/>
      <c r="D38" s="7">
        <f>IF(WEEKDAY(표8[[#This Row],[거래일자]])=4, 2000000,0)</f>
        <v>0</v>
      </c>
      <c r="E38" s="7"/>
      <c r="F38" s="7"/>
    </row>
    <row r="39" spans="1:6" x14ac:dyDescent="0.3">
      <c r="A39" s="3">
        <v>45355</v>
      </c>
      <c r="B39" s="5"/>
      <c r="C39" s="7"/>
      <c r="D39" s="7">
        <f>IF(WEEKDAY(표8[[#This Row],[거래일자]])=4, 2000000,0)</f>
        <v>0</v>
      </c>
      <c r="E39" s="7"/>
      <c r="F39" s="7"/>
    </row>
    <row r="40" spans="1:6" x14ac:dyDescent="0.3">
      <c r="A40" s="3">
        <v>45356</v>
      </c>
      <c r="B40" s="5"/>
      <c r="C40" s="7"/>
      <c r="D40" s="7">
        <f>IF(WEEKDAY(표8[[#This Row],[거래일자]])=4, 2000000,0)</f>
        <v>0</v>
      </c>
      <c r="E40" s="7"/>
      <c r="F40" s="7"/>
    </row>
    <row r="41" spans="1:6" x14ac:dyDescent="0.3">
      <c r="A41" s="3">
        <v>45357</v>
      </c>
      <c r="B41" s="5"/>
      <c r="C41" s="7"/>
      <c r="D41" s="7">
        <f>IF(WEEKDAY(표8[[#This Row],[거래일자]])=4, 2000000,0)</f>
        <v>2000000</v>
      </c>
      <c r="E41" s="7"/>
      <c r="F41" s="7"/>
    </row>
    <row r="42" spans="1:6" x14ac:dyDescent="0.3">
      <c r="A42" s="3">
        <v>45358</v>
      </c>
      <c r="B42" s="5"/>
      <c r="C42" s="7"/>
      <c r="D42" s="7">
        <f>IF(WEEKDAY(표8[[#This Row],[거래일자]])=4, 2000000,0)</f>
        <v>0</v>
      </c>
      <c r="E42" s="7"/>
      <c r="F42" s="7"/>
    </row>
    <row r="43" spans="1:6" x14ac:dyDescent="0.3">
      <c r="A43" s="3">
        <v>45359</v>
      </c>
      <c r="B43" s="5"/>
      <c r="C43" s="7"/>
      <c r="D43" s="7">
        <f>IF(WEEKDAY(표8[[#This Row],[거래일자]])=4, 2000000,0)</f>
        <v>0</v>
      </c>
      <c r="E43" s="7"/>
      <c r="F43" s="7"/>
    </row>
    <row r="44" spans="1:6" x14ac:dyDescent="0.3">
      <c r="A44" s="3">
        <v>45360</v>
      </c>
      <c r="B44" s="5"/>
      <c r="C44" s="7"/>
      <c r="D44" s="7">
        <f>IF(WEEKDAY(표8[[#This Row],[거래일자]])=4, 2000000,0)</f>
        <v>0</v>
      </c>
      <c r="E44" s="7"/>
      <c r="F44" s="7"/>
    </row>
    <row r="45" spans="1:6" x14ac:dyDescent="0.3">
      <c r="A45" s="3">
        <v>45361</v>
      </c>
      <c r="B45" s="5"/>
      <c r="C45" s="7"/>
      <c r="D45" s="7">
        <f>IF(WEEKDAY(표8[[#This Row],[거래일자]])=4, 2000000,0)</f>
        <v>0</v>
      </c>
      <c r="E45" s="7"/>
      <c r="F45" s="7"/>
    </row>
    <row r="46" spans="1:6" x14ac:dyDescent="0.3">
      <c r="A46" s="3">
        <v>45362</v>
      </c>
      <c r="B46" s="5"/>
      <c r="C46" s="7"/>
      <c r="D46" s="7">
        <f>IF(WEEKDAY(표8[[#This Row],[거래일자]])=4, 2000000,0)</f>
        <v>0</v>
      </c>
      <c r="E46" s="7"/>
      <c r="F46" s="7"/>
    </row>
    <row r="47" spans="1:6" x14ac:dyDescent="0.3">
      <c r="A47" s="3">
        <v>45363</v>
      </c>
      <c r="B47" s="5"/>
      <c r="C47" s="7"/>
      <c r="D47" s="7">
        <f>IF(WEEKDAY(표8[[#This Row],[거래일자]])=4, 2000000,0)</f>
        <v>0</v>
      </c>
      <c r="E47" s="7"/>
      <c r="F47" s="7"/>
    </row>
    <row r="48" spans="1:6" x14ac:dyDescent="0.3">
      <c r="A48" s="3">
        <v>45364</v>
      </c>
      <c r="B48" s="5"/>
      <c r="C48" s="7"/>
      <c r="D48" s="7">
        <f>IF(WEEKDAY(표8[[#This Row],[거래일자]])=4, 2000000,0)</f>
        <v>2000000</v>
      </c>
      <c r="E48" s="7"/>
      <c r="F48" s="7"/>
    </row>
    <row r="49" spans="1:6" x14ac:dyDescent="0.3">
      <c r="A49" s="3">
        <v>45365</v>
      </c>
      <c r="B49" s="5"/>
      <c r="C49" s="7"/>
      <c r="D49" s="7">
        <f>IF(WEEKDAY(표8[[#This Row],[거래일자]])=4, 2000000,0)</f>
        <v>0</v>
      </c>
      <c r="E49" s="7"/>
      <c r="F49" s="7"/>
    </row>
    <row r="50" spans="1:6" x14ac:dyDescent="0.3">
      <c r="A50" s="3">
        <v>45366</v>
      </c>
      <c r="B50" s="5"/>
      <c r="C50" s="7"/>
      <c r="D50" s="7">
        <f>IF(WEEKDAY(표8[[#This Row],[거래일자]])=4, 2000000,0)</f>
        <v>0</v>
      </c>
      <c r="E50" s="7"/>
      <c r="F50" s="7"/>
    </row>
    <row r="51" spans="1:6" x14ac:dyDescent="0.3">
      <c r="A51" s="3">
        <v>45367</v>
      </c>
      <c r="B51" s="5"/>
      <c r="C51" s="7"/>
      <c r="D51" s="7">
        <f>IF(WEEKDAY(표8[[#This Row],[거래일자]])=4, 2000000,0)</f>
        <v>0</v>
      </c>
      <c r="E51" s="7"/>
      <c r="F51" s="7"/>
    </row>
    <row r="52" spans="1:6" x14ac:dyDescent="0.3">
      <c r="A52" s="3">
        <v>45368</v>
      </c>
      <c r="B52" s="5"/>
      <c r="C52" s="7"/>
      <c r="D52" s="7">
        <f>IF(WEEKDAY(표8[[#This Row],[거래일자]])=4, 2000000,0)</f>
        <v>0</v>
      </c>
      <c r="E52" s="7"/>
      <c r="F52" s="7"/>
    </row>
    <row r="53" spans="1:6" x14ac:dyDescent="0.3">
      <c r="A53" s="3">
        <v>45369</v>
      </c>
      <c r="B53" s="5"/>
      <c r="C53" s="7"/>
      <c r="D53" s="7">
        <f>IF(WEEKDAY(표8[[#This Row],[거래일자]])=4, 2000000,0)</f>
        <v>0</v>
      </c>
      <c r="E53" s="7"/>
      <c r="F53" s="7"/>
    </row>
    <row r="54" spans="1:6" x14ac:dyDescent="0.3">
      <c r="A54" s="3">
        <v>45370</v>
      </c>
      <c r="B54" s="5"/>
      <c r="C54" s="7"/>
      <c r="D54" s="7">
        <f>IF(WEEKDAY(표8[[#This Row],[거래일자]])=4, 2000000,0)</f>
        <v>0</v>
      </c>
      <c r="E54" s="7"/>
      <c r="F54" s="7"/>
    </row>
    <row r="55" spans="1:6" x14ac:dyDescent="0.3">
      <c r="A55" s="3">
        <v>45371</v>
      </c>
      <c r="B55" s="5"/>
      <c r="C55" s="7"/>
      <c r="D55" s="7">
        <f>IF(WEEKDAY(표8[[#This Row],[거래일자]])=4, 2000000,0)</f>
        <v>2000000</v>
      </c>
      <c r="E55" s="7"/>
      <c r="F55" s="7"/>
    </row>
    <row r="56" spans="1:6" x14ac:dyDescent="0.3">
      <c r="A56" s="3">
        <v>45372</v>
      </c>
      <c r="B56" s="5">
        <v>3314465</v>
      </c>
      <c r="C56" s="7"/>
      <c r="D56" s="7">
        <f>IF(WEEKDAY(표8[[#This Row],[거래일자]])=4, 2000000,0)</f>
        <v>0</v>
      </c>
      <c r="E56" s="7"/>
      <c r="F56" s="7"/>
    </row>
    <row r="57" spans="1:6" x14ac:dyDescent="0.3">
      <c r="A57" s="3">
        <v>45373</v>
      </c>
      <c r="B57" s="5"/>
      <c r="C57" s="7"/>
      <c r="D57" s="7">
        <f>IF(WEEKDAY(표8[[#This Row],[거래일자]])=4, 2000000,0)</f>
        <v>0</v>
      </c>
      <c r="E57" s="7"/>
      <c r="F57" s="7"/>
    </row>
    <row r="58" spans="1:6" x14ac:dyDescent="0.3">
      <c r="A58" s="3">
        <v>45374</v>
      </c>
      <c r="B58" s="5"/>
      <c r="C58" s="7"/>
      <c r="D58" s="7">
        <f>IF(WEEKDAY(표8[[#This Row],[거래일자]])=4, 2000000,0)</f>
        <v>0</v>
      </c>
      <c r="E58" s="7"/>
      <c r="F58" s="7"/>
    </row>
    <row r="59" spans="1:6" x14ac:dyDescent="0.3">
      <c r="A59" s="3">
        <v>45375</v>
      </c>
      <c r="B59" s="5"/>
      <c r="C59" s="7"/>
      <c r="D59" s="7">
        <f>IF(WEEKDAY(표8[[#This Row],[거래일자]])=4, 2000000,0)</f>
        <v>0</v>
      </c>
      <c r="E59" s="7"/>
      <c r="F59" s="7"/>
    </row>
    <row r="60" spans="1:6" x14ac:dyDescent="0.3">
      <c r="A60" s="3">
        <v>45376</v>
      </c>
      <c r="B60" s="5"/>
      <c r="C60" s="7"/>
      <c r="D60" s="7">
        <f>IF(WEEKDAY(표8[[#This Row],[거래일자]])=4, 2000000,0)</f>
        <v>0</v>
      </c>
      <c r="E60" s="7"/>
      <c r="F60" s="7"/>
    </row>
    <row r="61" spans="1:6" x14ac:dyDescent="0.3">
      <c r="A61" s="3">
        <v>45377</v>
      </c>
      <c r="B61" s="5"/>
      <c r="C61" s="7"/>
      <c r="D61" s="7">
        <f>IF(WEEKDAY(표8[[#This Row],[거래일자]])=4, 2000000,0)</f>
        <v>0</v>
      </c>
      <c r="E61" s="7"/>
      <c r="F61" s="7"/>
    </row>
    <row r="62" spans="1:6" x14ac:dyDescent="0.3">
      <c r="A62" s="3">
        <v>45378</v>
      </c>
      <c r="B62" s="5"/>
      <c r="C62" s="7"/>
      <c r="D62" s="7">
        <f>IF(WEEKDAY(표8[[#This Row],[거래일자]])=4, 2000000,0)</f>
        <v>2000000</v>
      </c>
      <c r="E62" s="7"/>
      <c r="F62" s="7"/>
    </row>
    <row r="63" spans="1:6" x14ac:dyDescent="0.3">
      <c r="A63" s="3">
        <v>45379</v>
      </c>
      <c r="B63" s="5"/>
      <c r="C63" s="7"/>
      <c r="D63" s="7">
        <f>IF(WEEKDAY(표8[[#This Row],[거래일자]])=4, 2000000,0)</f>
        <v>0</v>
      </c>
      <c r="E63" s="7"/>
      <c r="F63" s="7"/>
    </row>
    <row r="64" spans="1:6" x14ac:dyDescent="0.3">
      <c r="A64" s="3">
        <v>45380</v>
      </c>
      <c r="B64" s="5"/>
      <c r="C64" s="7"/>
      <c r="D64" s="7">
        <f>IF(WEEKDAY(표8[[#This Row],[거래일자]])=4, 2000000,0)</f>
        <v>0</v>
      </c>
      <c r="E64" s="7"/>
      <c r="F64" s="7"/>
    </row>
    <row r="65" spans="1:6" x14ac:dyDescent="0.3">
      <c r="A65" s="3">
        <v>45381</v>
      </c>
      <c r="B65" s="5"/>
      <c r="C65" s="7"/>
      <c r="D65" s="7">
        <f>IF(WEEKDAY(표8[[#This Row],[거래일자]])=4, 2000000,0)</f>
        <v>0</v>
      </c>
      <c r="E65" s="7"/>
      <c r="F65" s="7"/>
    </row>
    <row r="66" spans="1:6" x14ac:dyDescent="0.3">
      <c r="A66" s="3">
        <v>45382</v>
      </c>
      <c r="B66" s="5"/>
      <c r="C66" s="7"/>
      <c r="D66" s="7">
        <f>IF(WEEKDAY(표8[[#This Row],[거래일자]])=4, 2000000,0)</f>
        <v>0</v>
      </c>
      <c r="E66" s="7"/>
      <c r="F66" s="7"/>
    </row>
    <row r="67" spans="1:6" x14ac:dyDescent="0.3">
      <c r="A67" s="3">
        <v>45383</v>
      </c>
      <c r="B67" s="5"/>
      <c r="C67" s="7"/>
      <c r="D67" s="7">
        <f>IF(WEEKDAY(표8[[#This Row],[거래일자]])=4, 2000000,0)</f>
        <v>0</v>
      </c>
      <c r="E67" s="7"/>
      <c r="F67" s="7"/>
    </row>
    <row r="68" spans="1:6" x14ac:dyDescent="0.3">
      <c r="A68" s="3">
        <v>45384</v>
      </c>
      <c r="B68" s="5"/>
      <c r="C68" s="7"/>
      <c r="D68" s="7">
        <f>IF(WEEKDAY(표8[[#This Row],[거래일자]])=4, 2000000,0)</f>
        <v>0</v>
      </c>
      <c r="E68" s="7"/>
      <c r="F68" s="7"/>
    </row>
    <row r="69" spans="1:6" x14ac:dyDescent="0.3">
      <c r="A69" s="3">
        <v>45385</v>
      </c>
      <c r="B69" s="5"/>
      <c r="C69" s="7"/>
      <c r="D69" s="7">
        <f>IF(WEEKDAY(표8[[#This Row],[거래일자]])=4, 2000000,0)</f>
        <v>2000000</v>
      </c>
      <c r="E69" s="7"/>
      <c r="F69" s="7"/>
    </row>
    <row r="70" spans="1:6" x14ac:dyDescent="0.3">
      <c r="A70" s="3">
        <v>45386</v>
      </c>
      <c r="B70" s="5"/>
      <c r="C70" s="7"/>
      <c r="D70" s="7">
        <f>IF(WEEKDAY(표8[[#This Row],[거래일자]])=4, 2000000,0)</f>
        <v>0</v>
      </c>
      <c r="E70" s="7"/>
      <c r="F70" s="7"/>
    </row>
    <row r="71" spans="1:6" x14ac:dyDescent="0.3">
      <c r="A71" s="3">
        <v>45387</v>
      </c>
      <c r="B71" s="5"/>
      <c r="C71" s="7"/>
      <c r="D71" s="7">
        <f>IF(WEEKDAY(표8[[#This Row],[거래일자]])=4, 2000000,0)</f>
        <v>0</v>
      </c>
      <c r="E71" s="7"/>
      <c r="F71" s="7"/>
    </row>
    <row r="72" spans="1:6" x14ac:dyDescent="0.3">
      <c r="A72" s="3">
        <v>45388</v>
      </c>
      <c r="B72" s="5"/>
      <c r="C72" s="7"/>
      <c r="D72" s="7">
        <f>IF(WEEKDAY(표8[[#This Row],[거래일자]])=4, 2000000,0)</f>
        <v>0</v>
      </c>
      <c r="E72" s="7"/>
      <c r="F72" s="7"/>
    </row>
    <row r="73" spans="1:6" x14ac:dyDescent="0.3">
      <c r="A73" s="3">
        <v>45389</v>
      </c>
      <c r="B73" s="5"/>
      <c r="C73" s="7"/>
      <c r="D73" s="7">
        <f>IF(WEEKDAY(표8[[#This Row],[거래일자]])=4, 2000000,0)</f>
        <v>0</v>
      </c>
      <c r="E73" s="7"/>
      <c r="F73" s="7"/>
    </row>
    <row r="74" spans="1:6" x14ac:dyDescent="0.3">
      <c r="A74" s="3">
        <v>45390</v>
      </c>
      <c r="B74" s="5"/>
      <c r="C74" s="7"/>
      <c r="D74" s="7">
        <f>IF(WEEKDAY(표8[[#This Row],[거래일자]])=4, 2000000,0)</f>
        <v>0</v>
      </c>
      <c r="E74" s="7"/>
      <c r="F74" s="7"/>
    </row>
    <row r="75" spans="1:6" x14ac:dyDescent="0.3">
      <c r="A75" s="3">
        <v>45391</v>
      </c>
      <c r="B75" s="5"/>
      <c r="C75" s="7"/>
      <c r="D75" s="7">
        <f>IF(WEEKDAY(표8[[#This Row],[거래일자]])=4, 2000000,0)</f>
        <v>0</v>
      </c>
      <c r="E75" s="7"/>
      <c r="F75" s="7"/>
    </row>
    <row r="76" spans="1:6" x14ac:dyDescent="0.3">
      <c r="A76" s="3">
        <v>45392</v>
      </c>
      <c r="B76" s="5"/>
      <c r="C76" s="7"/>
      <c r="D76" s="7">
        <f>IF(WEEKDAY(표8[[#This Row],[거래일자]])=4, 2000000,0)</f>
        <v>2000000</v>
      </c>
      <c r="E76" s="7"/>
      <c r="F76" s="7"/>
    </row>
    <row r="77" spans="1:6" x14ac:dyDescent="0.3">
      <c r="A77" s="3">
        <v>45393</v>
      </c>
      <c r="B77" s="5"/>
      <c r="C77" s="7"/>
      <c r="D77" s="7">
        <f>IF(WEEKDAY(표8[[#This Row],[거래일자]])=4, 2000000,0)</f>
        <v>0</v>
      </c>
      <c r="E77" s="7"/>
      <c r="F77" s="7"/>
    </row>
    <row r="78" spans="1:6" x14ac:dyDescent="0.3">
      <c r="A78" s="3">
        <v>45394</v>
      </c>
      <c r="B78" s="5"/>
      <c r="C78" s="7"/>
      <c r="D78" s="7">
        <f>IF(WEEKDAY(표8[[#This Row],[거래일자]])=4, 2000000,0)</f>
        <v>0</v>
      </c>
      <c r="E78" s="7"/>
      <c r="F78" s="7"/>
    </row>
    <row r="79" spans="1:6" x14ac:dyDescent="0.3">
      <c r="A79" s="3">
        <v>45395</v>
      </c>
      <c r="B79" s="5"/>
      <c r="C79" s="7"/>
      <c r="D79" s="7">
        <f>IF(WEEKDAY(표8[[#This Row],[거래일자]])=4, 2000000,0)</f>
        <v>0</v>
      </c>
      <c r="E79" s="7"/>
      <c r="F79" s="7"/>
    </row>
    <row r="80" spans="1:6" x14ac:dyDescent="0.3">
      <c r="A80" s="3">
        <v>45396</v>
      </c>
      <c r="B80" s="5"/>
      <c r="C80" s="7"/>
      <c r="D80" s="7">
        <f>IF(WEEKDAY(표8[[#This Row],[거래일자]])=4, 2000000,0)</f>
        <v>0</v>
      </c>
      <c r="E80" s="7"/>
      <c r="F80" s="7"/>
    </row>
    <row r="81" spans="1:6" x14ac:dyDescent="0.3">
      <c r="A81" s="3">
        <v>45397</v>
      </c>
      <c r="B81" s="5"/>
      <c r="C81" s="7"/>
      <c r="D81" s="7">
        <f>IF(WEEKDAY(표8[[#This Row],[거래일자]])=4, 2000000,0)</f>
        <v>0</v>
      </c>
      <c r="E81" s="7"/>
      <c r="F81" s="7"/>
    </row>
    <row r="82" spans="1:6" x14ac:dyDescent="0.3">
      <c r="A82" s="3">
        <v>45398</v>
      </c>
      <c r="B82" s="5"/>
      <c r="C82" s="7"/>
      <c r="D82" s="7">
        <f>IF(WEEKDAY(표8[[#This Row],[거래일자]])=4, 2000000,0)</f>
        <v>0</v>
      </c>
      <c r="E82" s="7"/>
      <c r="F82" s="7"/>
    </row>
    <row r="83" spans="1:6" x14ac:dyDescent="0.3">
      <c r="A83" s="3">
        <v>45399</v>
      </c>
      <c r="B83" s="5"/>
      <c r="C83" s="7"/>
      <c r="D83" s="7">
        <f>IF(WEEKDAY(표8[[#This Row],[거래일자]])=4, 2000000,0)</f>
        <v>2000000</v>
      </c>
      <c r="E83" s="7"/>
      <c r="F83" s="7"/>
    </row>
    <row r="84" spans="1:6" x14ac:dyDescent="0.3">
      <c r="A84" s="3">
        <v>45400</v>
      </c>
      <c r="B84" s="5"/>
      <c r="C84" s="7"/>
      <c r="D84" s="7">
        <f>IF(WEEKDAY(표8[[#This Row],[거래일자]])=4, 2000000,0)</f>
        <v>0</v>
      </c>
      <c r="E84" s="7"/>
      <c r="F84" s="7"/>
    </row>
    <row r="85" spans="1:6" x14ac:dyDescent="0.3">
      <c r="A85" s="3">
        <v>45401</v>
      </c>
      <c r="B85" s="5"/>
      <c r="C85" s="7"/>
      <c r="D85" s="7">
        <f>IF(WEEKDAY(표8[[#This Row],[거래일자]])=4, 2000000,0)</f>
        <v>0</v>
      </c>
      <c r="E85" s="7"/>
      <c r="F85" s="7"/>
    </row>
    <row r="86" spans="1:6" x14ac:dyDescent="0.3">
      <c r="A86" s="3">
        <v>45402</v>
      </c>
      <c r="B86" s="5"/>
      <c r="C86" s="7"/>
      <c r="D86" s="7">
        <f>IF(WEEKDAY(표8[[#This Row],[거래일자]])=4, 2000000,0)</f>
        <v>0</v>
      </c>
      <c r="E86" s="7"/>
      <c r="F86" s="7"/>
    </row>
    <row r="87" spans="1:6" x14ac:dyDescent="0.3">
      <c r="A87" s="3">
        <v>45403</v>
      </c>
      <c r="B87" s="5">
        <v>2683586</v>
      </c>
      <c r="C87" s="7"/>
      <c r="D87" s="7">
        <f>IF(WEEKDAY(표8[[#This Row],[거래일자]])=4, 2000000,0)</f>
        <v>0</v>
      </c>
      <c r="E87" s="7"/>
      <c r="F87" s="7"/>
    </row>
    <row r="88" spans="1:6" x14ac:dyDescent="0.3">
      <c r="A88" s="3">
        <v>45404</v>
      </c>
      <c r="B88" s="5"/>
      <c r="C88" s="7"/>
      <c r="D88" s="7">
        <f>IF(WEEKDAY(표8[[#This Row],[거래일자]])=4, 2000000,0)</f>
        <v>0</v>
      </c>
      <c r="E88" s="7"/>
      <c r="F88" s="7"/>
    </row>
    <row r="89" spans="1:6" x14ac:dyDescent="0.3">
      <c r="A89" s="3">
        <v>45405</v>
      </c>
      <c r="B89" s="5"/>
      <c r="C89" s="7"/>
      <c r="D89" s="7">
        <f>IF(WEEKDAY(표8[[#This Row],[거래일자]])=4, 2000000,0)</f>
        <v>0</v>
      </c>
      <c r="E89" s="7"/>
      <c r="F89" s="7"/>
    </row>
    <row r="90" spans="1:6" x14ac:dyDescent="0.3">
      <c r="A90" s="3">
        <v>45406</v>
      </c>
      <c r="B90" s="5"/>
      <c r="C90" s="7"/>
      <c r="D90" s="7">
        <f>IF(WEEKDAY(표8[[#This Row],[거래일자]])=4, 2000000,0)</f>
        <v>2000000</v>
      </c>
      <c r="E90" s="7"/>
      <c r="F90" s="7"/>
    </row>
    <row r="91" spans="1:6" x14ac:dyDescent="0.3">
      <c r="A91" s="3">
        <v>45407</v>
      </c>
      <c r="B91" s="5"/>
      <c r="C91" s="7"/>
      <c r="D91" s="7">
        <f>IF(WEEKDAY(표8[[#This Row],[거래일자]])=4, 2000000,0)</f>
        <v>0</v>
      </c>
      <c r="E91" s="7"/>
      <c r="F91" s="7"/>
    </row>
    <row r="92" spans="1:6" x14ac:dyDescent="0.3">
      <c r="A92" s="3">
        <v>45408</v>
      </c>
      <c r="B92" s="5"/>
      <c r="C92" s="7"/>
      <c r="D92" s="7">
        <f>IF(WEEKDAY(표8[[#This Row],[거래일자]])=4, 2000000,0)</f>
        <v>0</v>
      </c>
      <c r="E92" s="7"/>
      <c r="F92" s="7"/>
    </row>
    <row r="93" spans="1:6" x14ac:dyDescent="0.3">
      <c r="A93" s="3">
        <v>45409</v>
      </c>
      <c r="B93" s="5"/>
      <c r="C93" s="7"/>
      <c r="D93" s="7">
        <f>IF(WEEKDAY(표8[[#This Row],[거래일자]])=4, 2000000,0)</f>
        <v>0</v>
      </c>
      <c r="E93" s="7"/>
      <c r="F93" s="7"/>
    </row>
    <row r="94" spans="1:6" x14ac:dyDescent="0.3">
      <c r="A94" s="3">
        <v>45410</v>
      </c>
      <c r="B94" s="5"/>
      <c r="C94" s="7"/>
      <c r="D94" s="7">
        <f>IF(WEEKDAY(표8[[#This Row],[거래일자]])=4, 2000000,0)</f>
        <v>0</v>
      </c>
      <c r="E94" s="7"/>
      <c r="F94" s="7"/>
    </row>
    <row r="95" spans="1:6" x14ac:dyDescent="0.3">
      <c r="A95" s="3">
        <v>45411</v>
      </c>
      <c r="B95" s="5"/>
      <c r="C95" s="7"/>
      <c r="D95" s="7">
        <f>IF(WEEKDAY(표8[[#This Row],[거래일자]])=4, 2000000,0)</f>
        <v>0</v>
      </c>
      <c r="E95" s="7"/>
      <c r="F95" s="7"/>
    </row>
    <row r="96" spans="1:6" x14ac:dyDescent="0.3">
      <c r="A96" s="3">
        <v>45412</v>
      </c>
      <c r="B96" s="5"/>
      <c r="C96" s="7"/>
      <c r="D96" s="7">
        <f>IF(WEEKDAY(표8[[#This Row],[거래일자]])=4, 2000000,0)</f>
        <v>0</v>
      </c>
      <c r="E96" s="7"/>
      <c r="F96" s="7"/>
    </row>
    <row r="97" spans="1:6" x14ac:dyDescent="0.3">
      <c r="A97" s="3">
        <v>45413</v>
      </c>
      <c r="B97" s="5"/>
      <c r="C97" s="7"/>
      <c r="D97" s="7">
        <f>IF(WEEKDAY(표8[[#This Row],[거래일자]])=4, 2000000,0)</f>
        <v>2000000</v>
      </c>
      <c r="E97" s="7"/>
      <c r="F97" s="7"/>
    </row>
    <row r="98" spans="1:6" x14ac:dyDescent="0.3">
      <c r="A98" s="3">
        <v>45414</v>
      </c>
      <c r="B98" s="5"/>
      <c r="C98" s="7"/>
      <c r="D98" s="7">
        <f>IF(WEEKDAY(표8[[#This Row],[거래일자]])=4, 2000000,0)</f>
        <v>0</v>
      </c>
      <c r="E98" s="7"/>
      <c r="F98" s="7"/>
    </row>
    <row r="99" spans="1:6" x14ac:dyDescent="0.3">
      <c r="A99" s="3">
        <v>45415</v>
      </c>
      <c r="B99" s="5"/>
      <c r="C99" s="7"/>
      <c r="D99" s="7">
        <f>IF(WEEKDAY(표8[[#This Row],[거래일자]])=4, 2000000,0)</f>
        <v>0</v>
      </c>
      <c r="E99" s="7"/>
      <c r="F99" s="7"/>
    </row>
    <row r="100" spans="1:6" x14ac:dyDescent="0.3">
      <c r="A100" s="3">
        <v>45416</v>
      </c>
      <c r="B100" s="5"/>
      <c r="C100" s="7"/>
      <c r="D100" s="7">
        <f>IF(WEEKDAY(표8[[#This Row],[거래일자]])=4, 2000000,0)</f>
        <v>0</v>
      </c>
      <c r="E100" s="7"/>
      <c r="F100" s="7"/>
    </row>
    <row r="101" spans="1:6" x14ac:dyDescent="0.3">
      <c r="A101" s="3">
        <v>45417</v>
      </c>
      <c r="B101" s="5"/>
      <c r="C101" s="7"/>
      <c r="D101" s="7">
        <f>IF(WEEKDAY(표8[[#This Row],[거래일자]])=4, 2000000,0)</f>
        <v>0</v>
      </c>
      <c r="E101" s="7"/>
      <c r="F101" s="7"/>
    </row>
    <row r="102" spans="1:6" x14ac:dyDescent="0.3">
      <c r="A102" s="3">
        <v>45418</v>
      </c>
      <c r="B102" s="5"/>
      <c r="C102" s="7"/>
      <c r="D102" s="7">
        <f>IF(WEEKDAY(표8[[#This Row],[거래일자]])=4, 2000000,0)</f>
        <v>0</v>
      </c>
      <c r="E102" s="7"/>
      <c r="F102" s="7"/>
    </row>
    <row r="103" spans="1:6" x14ac:dyDescent="0.3">
      <c r="A103" s="3">
        <v>45419</v>
      </c>
      <c r="B103" s="5"/>
      <c r="C103" s="7"/>
      <c r="D103" s="7">
        <f>IF(WEEKDAY(표8[[#This Row],[거래일자]])=4, 2000000,0)</f>
        <v>0</v>
      </c>
      <c r="E103" s="7"/>
      <c r="F103" s="7"/>
    </row>
    <row r="104" spans="1:6" x14ac:dyDescent="0.3">
      <c r="A104" s="3">
        <v>45420</v>
      </c>
      <c r="B104" s="5"/>
      <c r="C104" s="7"/>
      <c r="D104" s="7">
        <f>IF(WEEKDAY(표8[[#This Row],[거래일자]])=4, 2000000,0)</f>
        <v>2000000</v>
      </c>
      <c r="E104" s="7"/>
      <c r="F104" s="7"/>
    </row>
    <row r="105" spans="1:6" x14ac:dyDescent="0.3">
      <c r="A105" s="3">
        <v>45421</v>
      </c>
      <c r="B105" s="5"/>
      <c r="C105" s="7"/>
      <c r="D105" s="7">
        <f>IF(WEEKDAY(표8[[#This Row],[거래일자]])=4, 2000000,0)</f>
        <v>0</v>
      </c>
      <c r="E105" s="7"/>
      <c r="F105" s="7"/>
    </row>
    <row r="106" spans="1:6" x14ac:dyDescent="0.3">
      <c r="A106" s="3">
        <v>45422</v>
      </c>
      <c r="B106" s="5"/>
      <c r="C106" s="7"/>
      <c r="D106" s="7">
        <f>IF(WEEKDAY(표8[[#This Row],[거래일자]])=4, 2000000,0)</f>
        <v>0</v>
      </c>
      <c r="E106" s="7"/>
      <c r="F106" s="7"/>
    </row>
    <row r="107" spans="1:6" x14ac:dyDescent="0.3">
      <c r="A107" s="3">
        <v>45423</v>
      </c>
      <c r="B107" s="5"/>
      <c r="C107" s="7"/>
      <c r="D107" s="7">
        <f>IF(WEEKDAY(표8[[#This Row],[거래일자]])=4, 2000000,0)</f>
        <v>0</v>
      </c>
      <c r="E107" s="7"/>
      <c r="F107" s="7"/>
    </row>
    <row r="108" spans="1:6" x14ac:dyDescent="0.3">
      <c r="A108" s="3">
        <v>45424</v>
      </c>
      <c r="B108" s="5"/>
      <c r="C108" s="7"/>
      <c r="D108" s="7">
        <f>IF(WEEKDAY(표8[[#This Row],[거래일자]])=4, 2000000,0)</f>
        <v>0</v>
      </c>
      <c r="E108" s="7"/>
      <c r="F108" s="7"/>
    </row>
    <row r="109" spans="1:6" x14ac:dyDescent="0.3">
      <c r="A109" s="3">
        <v>45425</v>
      </c>
      <c r="B109" s="5"/>
      <c r="C109" s="7"/>
      <c r="D109" s="7">
        <f>IF(WEEKDAY(표8[[#This Row],[거래일자]])=4, 2000000,0)</f>
        <v>0</v>
      </c>
      <c r="E109" s="7"/>
      <c r="F109" s="7"/>
    </row>
    <row r="110" spans="1:6" x14ac:dyDescent="0.3">
      <c r="A110" s="3">
        <v>45426</v>
      </c>
      <c r="B110" s="5"/>
      <c r="C110" s="7"/>
      <c r="D110" s="7">
        <f>IF(WEEKDAY(표8[[#This Row],[거래일자]])=4, 2000000,0)</f>
        <v>0</v>
      </c>
      <c r="E110" s="7"/>
      <c r="F110" s="7"/>
    </row>
    <row r="111" spans="1:6" x14ac:dyDescent="0.3">
      <c r="A111" s="3">
        <v>45427</v>
      </c>
      <c r="B111" s="5"/>
      <c r="C111" s="7"/>
      <c r="D111" s="7">
        <f>IF(WEEKDAY(표8[[#This Row],[거래일자]])=4, 2000000,0)</f>
        <v>2000000</v>
      </c>
      <c r="E111" s="7"/>
      <c r="F111" s="7"/>
    </row>
    <row r="112" spans="1:6" x14ac:dyDescent="0.3">
      <c r="A112" s="3">
        <v>45428</v>
      </c>
      <c r="B112" s="5"/>
      <c r="C112" s="7"/>
      <c r="D112" s="7">
        <f>IF(WEEKDAY(표8[[#This Row],[거래일자]])=4, 2000000,0)</f>
        <v>0</v>
      </c>
      <c r="E112" s="7"/>
      <c r="F112" s="7"/>
    </row>
    <row r="113" spans="1:6" x14ac:dyDescent="0.3">
      <c r="A113" s="3">
        <v>45429</v>
      </c>
      <c r="B113" s="5"/>
      <c r="C113" s="7"/>
      <c r="D113" s="7">
        <f>IF(WEEKDAY(표8[[#This Row],[거래일자]])=4, 2000000,0)</f>
        <v>0</v>
      </c>
      <c r="E113" s="7"/>
      <c r="F113" s="7"/>
    </row>
    <row r="114" spans="1:6" x14ac:dyDescent="0.3">
      <c r="A114" s="3">
        <v>45430</v>
      </c>
      <c r="B114" s="5"/>
      <c r="C114" s="7"/>
      <c r="D114" s="7">
        <f>IF(WEEKDAY(표8[[#This Row],[거래일자]])=4, 2000000,0)</f>
        <v>0</v>
      </c>
      <c r="E114" s="7"/>
      <c r="F114" s="7"/>
    </row>
    <row r="115" spans="1:6" x14ac:dyDescent="0.3">
      <c r="A115" s="3">
        <v>45431</v>
      </c>
      <c r="B115" s="5"/>
      <c r="C115" s="7"/>
      <c r="D115" s="7">
        <f>IF(WEEKDAY(표8[[#This Row],[거래일자]])=4, 2000000,0)</f>
        <v>0</v>
      </c>
      <c r="E115" s="7"/>
      <c r="F115" s="7"/>
    </row>
    <row r="116" spans="1:6" x14ac:dyDescent="0.3">
      <c r="A116" s="3">
        <v>45432</v>
      </c>
      <c r="B116" s="5"/>
      <c r="C116" s="7"/>
      <c r="D116" s="7">
        <f>IF(WEEKDAY(표8[[#This Row],[거래일자]])=4, 2000000,0)</f>
        <v>0</v>
      </c>
      <c r="E116" s="7"/>
      <c r="F116" s="7"/>
    </row>
    <row r="117" spans="1:6" x14ac:dyDescent="0.3">
      <c r="A117" s="3">
        <v>45433</v>
      </c>
      <c r="B117" s="5">
        <v>4132261</v>
      </c>
      <c r="C117" s="7"/>
      <c r="D117" s="7">
        <f>IF(WEEKDAY(표8[[#This Row],[거래일자]])=4, 2000000,0)</f>
        <v>0</v>
      </c>
      <c r="E117" s="7"/>
      <c r="F117" s="7"/>
    </row>
    <row r="118" spans="1:6" x14ac:dyDescent="0.3">
      <c r="A118" s="3">
        <v>45434</v>
      </c>
      <c r="B118" s="5"/>
      <c r="C118" s="7"/>
      <c r="D118" s="7">
        <f>IF(WEEKDAY(표8[[#This Row],[거래일자]])=4, 2000000,0)</f>
        <v>2000000</v>
      </c>
      <c r="E118" s="7"/>
      <c r="F118" s="7"/>
    </row>
    <row r="119" spans="1:6" x14ac:dyDescent="0.3">
      <c r="A119" s="3">
        <v>45435</v>
      </c>
      <c r="B119" s="5"/>
      <c r="C119" s="7"/>
      <c r="D119" s="7">
        <f>IF(WEEKDAY(표8[[#This Row],[거래일자]])=4, 2000000,0)</f>
        <v>0</v>
      </c>
      <c r="E119" s="7"/>
      <c r="F119" s="7"/>
    </row>
    <row r="120" spans="1:6" x14ac:dyDescent="0.3">
      <c r="A120" s="3">
        <v>45436</v>
      </c>
      <c r="B120" s="5"/>
      <c r="C120" s="7"/>
      <c r="D120" s="7">
        <f>IF(WEEKDAY(표8[[#This Row],[거래일자]])=4, 2000000,0)</f>
        <v>0</v>
      </c>
      <c r="E120" s="7"/>
      <c r="F120" s="7"/>
    </row>
    <row r="121" spans="1:6" x14ac:dyDescent="0.3">
      <c r="A121" s="3">
        <v>45437</v>
      </c>
      <c r="B121" s="5"/>
      <c r="C121" s="7"/>
      <c r="D121" s="7">
        <f>IF(WEEKDAY(표8[[#This Row],[거래일자]])=4, 2000000,0)</f>
        <v>0</v>
      </c>
      <c r="E121" s="7"/>
      <c r="F121" s="7"/>
    </row>
    <row r="122" spans="1:6" x14ac:dyDescent="0.3">
      <c r="A122" s="3">
        <v>45438</v>
      </c>
      <c r="B122" s="5"/>
      <c r="C122" s="7"/>
      <c r="D122" s="7">
        <f>IF(WEEKDAY(표8[[#This Row],[거래일자]])=4, 2000000,0)</f>
        <v>0</v>
      </c>
      <c r="E122" s="7"/>
      <c r="F122" s="7"/>
    </row>
    <row r="123" spans="1:6" x14ac:dyDescent="0.3">
      <c r="A123" s="3">
        <v>45439</v>
      </c>
      <c r="B123" s="5"/>
      <c r="C123" s="7"/>
      <c r="D123" s="7">
        <f>IF(WEEKDAY(표8[[#This Row],[거래일자]])=4, 2000000,0)</f>
        <v>0</v>
      </c>
      <c r="E123" s="7"/>
      <c r="F123" s="7"/>
    </row>
    <row r="124" spans="1:6" x14ac:dyDescent="0.3">
      <c r="A124" s="3">
        <v>45440</v>
      </c>
      <c r="B124" s="5"/>
      <c r="C124" s="7"/>
      <c r="D124" s="7">
        <f>IF(WEEKDAY(표8[[#This Row],[거래일자]])=4, 2000000,0)</f>
        <v>0</v>
      </c>
      <c r="E124" s="7"/>
      <c r="F124" s="7"/>
    </row>
    <row r="125" spans="1:6" x14ac:dyDescent="0.3">
      <c r="A125" s="3">
        <v>45441</v>
      </c>
      <c r="B125" s="5"/>
      <c r="C125" s="7"/>
      <c r="D125" s="7">
        <f>IF(WEEKDAY(표8[[#This Row],[거래일자]])=4, 2000000,0)</f>
        <v>2000000</v>
      </c>
      <c r="E125" s="7"/>
      <c r="F125" s="7"/>
    </row>
    <row r="126" spans="1:6" x14ac:dyDescent="0.3">
      <c r="A126" s="3">
        <v>45442</v>
      </c>
      <c r="B126" s="5"/>
      <c r="C126" s="7"/>
      <c r="D126" s="7">
        <f>IF(WEEKDAY(표8[[#This Row],[거래일자]])=4, 2000000,0)</f>
        <v>0</v>
      </c>
      <c r="E126" s="7"/>
      <c r="F126" s="7"/>
    </row>
    <row r="127" spans="1:6" x14ac:dyDescent="0.3">
      <c r="A127" s="3">
        <v>45443</v>
      </c>
      <c r="B127" s="5"/>
      <c r="C127" s="7"/>
      <c r="D127" s="7">
        <f>IF(WEEKDAY(표8[[#This Row],[거래일자]])=4, 2000000,0)</f>
        <v>0</v>
      </c>
      <c r="E127" s="7"/>
      <c r="F127" s="7"/>
    </row>
    <row r="128" spans="1:6" x14ac:dyDescent="0.3">
      <c r="A128" s="3">
        <v>45444</v>
      </c>
      <c r="B128" s="5"/>
      <c r="C128" s="7"/>
      <c r="D128" s="7">
        <f>IF(WEEKDAY(표8[[#This Row],[거래일자]])=4, 2000000,0)</f>
        <v>0</v>
      </c>
      <c r="E128" s="7"/>
      <c r="F128" s="7"/>
    </row>
    <row r="129" spans="1:6" x14ac:dyDescent="0.3">
      <c r="A129" s="3">
        <v>45445</v>
      </c>
      <c r="B129" s="5"/>
      <c r="C129" s="7"/>
      <c r="D129" s="7">
        <f>IF(WEEKDAY(표8[[#This Row],[거래일자]])=4, 2000000,0)</f>
        <v>0</v>
      </c>
      <c r="E129" s="7"/>
      <c r="F129" s="7"/>
    </row>
    <row r="130" spans="1:6" x14ac:dyDescent="0.3">
      <c r="A130" s="3">
        <v>45446</v>
      </c>
      <c r="B130" s="5"/>
      <c r="C130" s="7"/>
      <c r="D130" s="7">
        <f>IF(WEEKDAY(표8[[#This Row],[거래일자]])=4, 2000000,0)</f>
        <v>0</v>
      </c>
      <c r="E130" s="7"/>
      <c r="F130" s="7"/>
    </row>
    <row r="131" spans="1:6" x14ac:dyDescent="0.3">
      <c r="A131" s="3">
        <v>45447</v>
      </c>
      <c r="B131" s="5"/>
      <c r="C131" s="7">
        <v>5010238</v>
      </c>
      <c r="D131" s="7">
        <f>IF(WEEKDAY(표8[[#This Row],[거래일자]])=4, 2000000,0)</f>
        <v>0</v>
      </c>
      <c r="E131" s="7"/>
      <c r="F131" s="7"/>
    </row>
    <row r="132" spans="1:6" x14ac:dyDescent="0.3">
      <c r="A132" s="3">
        <v>45448</v>
      </c>
      <c r="B132" s="5"/>
      <c r="C132" s="7"/>
      <c r="D132" s="7">
        <f>IF(WEEKDAY(표8[[#This Row],[거래일자]])=4, 2000000,0)</f>
        <v>2000000</v>
      </c>
      <c r="E132" s="7"/>
      <c r="F132" s="7"/>
    </row>
    <row r="133" spans="1:6" x14ac:dyDescent="0.3">
      <c r="A133" s="3">
        <v>45449</v>
      </c>
      <c r="B133" s="5"/>
      <c r="C133" s="7"/>
      <c r="D133" s="7">
        <f>IF(WEEKDAY(표8[[#This Row],[거래일자]])=4, 2000000,0)</f>
        <v>0</v>
      </c>
      <c r="E133" s="7"/>
      <c r="F133" s="7"/>
    </row>
    <row r="134" spans="1:6" x14ac:dyDescent="0.3">
      <c r="A134" s="3">
        <v>45450</v>
      </c>
      <c r="B134" s="5"/>
      <c r="C134" s="7"/>
      <c r="D134" s="7">
        <f>IF(WEEKDAY(표8[[#This Row],[거래일자]])=4, 2000000,0)</f>
        <v>0</v>
      </c>
      <c r="E134" s="7"/>
      <c r="F134" s="7"/>
    </row>
    <row r="135" spans="1:6" x14ac:dyDescent="0.3">
      <c r="A135" s="3">
        <v>45451</v>
      </c>
      <c r="B135" s="5"/>
      <c r="C135" s="7"/>
      <c r="D135" s="7">
        <f>IF(WEEKDAY(표8[[#This Row],[거래일자]])=4, 2000000,0)</f>
        <v>0</v>
      </c>
      <c r="E135" s="7"/>
      <c r="F135" s="7"/>
    </row>
    <row r="136" spans="1:6" x14ac:dyDescent="0.3">
      <c r="A136" s="3">
        <v>45452</v>
      </c>
      <c r="B136" s="5"/>
      <c r="C136" s="7"/>
      <c r="D136" s="7">
        <f>IF(WEEKDAY(표8[[#This Row],[거래일자]])=4, 2000000,0)</f>
        <v>0</v>
      </c>
      <c r="E136" s="7"/>
      <c r="F136" s="7"/>
    </row>
    <row r="137" spans="1:6" x14ac:dyDescent="0.3">
      <c r="A137" s="3">
        <v>45453</v>
      </c>
      <c r="B137" s="5"/>
      <c r="C137" s="7"/>
      <c r="D137" s="7">
        <f>IF(WEEKDAY(표8[[#This Row],[거래일자]])=4, 2000000,0)</f>
        <v>0</v>
      </c>
      <c r="E137" s="7"/>
      <c r="F137" s="7"/>
    </row>
    <row r="138" spans="1:6" x14ac:dyDescent="0.3">
      <c r="A138" s="3">
        <v>45454</v>
      </c>
      <c r="B138" s="5"/>
      <c r="C138" s="7"/>
      <c r="D138" s="7">
        <f>IF(WEEKDAY(표8[[#This Row],[거래일자]])=4, 2000000,0)</f>
        <v>0</v>
      </c>
      <c r="E138" s="7"/>
      <c r="F138" s="7"/>
    </row>
    <row r="139" spans="1:6" x14ac:dyDescent="0.3">
      <c r="A139" s="3">
        <v>45455</v>
      </c>
      <c r="B139" s="5"/>
      <c r="C139" s="7"/>
      <c r="D139" s="7">
        <f>IF(WEEKDAY(표8[[#This Row],[거래일자]])=4, 2000000,0)</f>
        <v>2000000</v>
      </c>
      <c r="E139" s="7"/>
      <c r="F139" s="7"/>
    </row>
    <row r="140" spans="1:6" x14ac:dyDescent="0.3">
      <c r="A140" s="3">
        <v>45456</v>
      </c>
      <c r="B140" s="5"/>
      <c r="C140" s="7"/>
      <c r="D140" s="7">
        <f>IF(WEEKDAY(표8[[#This Row],[거래일자]])=4, 2000000,0)</f>
        <v>0</v>
      </c>
      <c r="E140" s="7"/>
      <c r="F140" s="7"/>
    </row>
    <row r="141" spans="1:6" x14ac:dyDescent="0.3">
      <c r="A141" s="3">
        <v>45457</v>
      </c>
      <c r="B141" s="5"/>
      <c r="C141" s="7"/>
      <c r="D141" s="7">
        <f>IF(WEEKDAY(표8[[#This Row],[거래일자]])=4, 2000000,0)</f>
        <v>0</v>
      </c>
      <c r="E141" s="7"/>
      <c r="F141" s="7"/>
    </row>
    <row r="142" spans="1:6" x14ac:dyDescent="0.3">
      <c r="A142" s="3">
        <v>45458</v>
      </c>
      <c r="B142" s="5"/>
      <c r="C142" s="7"/>
      <c r="D142" s="7">
        <f>IF(WEEKDAY(표8[[#This Row],[거래일자]])=4, 2000000,0)</f>
        <v>0</v>
      </c>
      <c r="E142" s="7"/>
      <c r="F142" s="7"/>
    </row>
    <row r="143" spans="1:6" x14ac:dyDescent="0.3">
      <c r="A143" s="3">
        <v>45459</v>
      </c>
      <c r="B143" s="5"/>
      <c r="C143" s="7"/>
      <c r="D143" s="7">
        <f>IF(WEEKDAY(표8[[#This Row],[거래일자]])=4, 2000000,0)</f>
        <v>0</v>
      </c>
      <c r="E143" s="7"/>
      <c r="F143" s="7"/>
    </row>
    <row r="144" spans="1:6" x14ac:dyDescent="0.3">
      <c r="A144" s="3">
        <v>45460</v>
      </c>
      <c r="B144" s="5"/>
      <c r="C144" s="7"/>
      <c r="D144" s="7">
        <f>IF(WEEKDAY(표8[[#This Row],[거래일자]])=4, 2000000,0)</f>
        <v>0</v>
      </c>
      <c r="E144" s="7"/>
      <c r="F144" s="7"/>
    </row>
    <row r="145" spans="1:6" x14ac:dyDescent="0.3">
      <c r="A145" s="3">
        <v>45461</v>
      </c>
      <c r="B145" s="5"/>
      <c r="C145" s="7"/>
      <c r="D145" s="7">
        <f>IF(WEEKDAY(표8[[#This Row],[거래일자]])=4, 2000000,0)</f>
        <v>0</v>
      </c>
      <c r="E145" s="7"/>
      <c r="F145" s="7"/>
    </row>
    <row r="146" spans="1:6" x14ac:dyDescent="0.3">
      <c r="A146" s="3">
        <v>45462</v>
      </c>
      <c r="B146" s="5"/>
      <c r="C146" s="7"/>
      <c r="D146" s="7">
        <f>IF(WEEKDAY(표8[[#This Row],[거래일자]])=4, 2000000,0)</f>
        <v>2000000</v>
      </c>
      <c r="E146" s="7"/>
      <c r="F146" s="7"/>
    </row>
    <row r="147" spans="1:6" x14ac:dyDescent="0.3">
      <c r="A147" s="3">
        <v>45463</v>
      </c>
      <c r="B147" s="5"/>
      <c r="C147" s="7"/>
      <c r="D147" s="7">
        <f>IF(WEEKDAY(표8[[#This Row],[거래일자]])=4, 2000000,0)</f>
        <v>0</v>
      </c>
      <c r="E147" s="7"/>
      <c r="F147" s="7"/>
    </row>
    <row r="148" spans="1:6" x14ac:dyDescent="0.3">
      <c r="A148" s="3">
        <v>45464</v>
      </c>
      <c r="B148" s="5">
        <v>3048373</v>
      </c>
      <c r="C148" s="7"/>
      <c r="D148" s="7">
        <f>IF(WEEKDAY(표8[[#This Row],[거래일자]])=4, 2000000,0)</f>
        <v>0</v>
      </c>
      <c r="E148" s="7"/>
      <c r="F148" s="7"/>
    </row>
    <row r="149" spans="1:6" x14ac:dyDescent="0.3">
      <c r="A149" s="3">
        <v>45465</v>
      </c>
      <c r="B149" s="5"/>
      <c r="C149" s="7"/>
      <c r="D149" s="7">
        <f>IF(WEEKDAY(표8[[#This Row],[거래일자]])=4, 2000000,0)</f>
        <v>0</v>
      </c>
      <c r="E149" s="7"/>
      <c r="F149" s="7"/>
    </row>
    <row r="150" spans="1:6" x14ac:dyDescent="0.3">
      <c r="A150" s="3">
        <v>45466</v>
      </c>
      <c r="B150" s="5"/>
      <c r="C150" s="7"/>
      <c r="D150" s="7">
        <f>IF(WEEKDAY(표8[[#This Row],[거래일자]])=4, 2000000,0)</f>
        <v>0</v>
      </c>
      <c r="E150" s="7"/>
      <c r="F150" s="7"/>
    </row>
    <row r="151" spans="1:6" x14ac:dyDescent="0.3">
      <c r="A151" s="3">
        <v>45467</v>
      </c>
      <c r="B151" s="5"/>
      <c r="C151" s="7"/>
      <c r="D151" s="7">
        <f>IF(WEEKDAY(표8[[#This Row],[거래일자]])=4, 2000000,0)</f>
        <v>0</v>
      </c>
      <c r="E151" s="7"/>
      <c r="F151" s="7"/>
    </row>
    <row r="152" spans="1:6" x14ac:dyDescent="0.3">
      <c r="A152" s="3">
        <v>45468</v>
      </c>
      <c r="B152" s="5"/>
      <c r="C152" s="7"/>
      <c r="D152" s="7">
        <f>IF(WEEKDAY(표8[[#This Row],[거래일자]])=4, 2000000,0)</f>
        <v>0</v>
      </c>
      <c r="E152" s="7"/>
      <c r="F152" s="7"/>
    </row>
    <row r="153" spans="1:6" x14ac:dyDescent="0.3">
      <c r="A153" s="3">
        <v>45469</v>
      </c>
      <c r="B153" s="5"/>
      <c r="C153" s="7"/>
      <c r="D153" s="7">
        <f>IF(WEEKDAY(표8[[#This Row],[거래일자]])=4, 2000000,0)</f>
        <v>2000000</v>
      </c>
      <c r="E153" s="7"/>
      <c r="F153" s="7"/>
    </row>
    <row r="154" spans="1:6" x14ac:dyDescent="0.3">
      <c r="A154" s="3">
        <v>45470</v>
      </c>
      <c r="B154" s="5"/>
      <c r="C154" s="7"/>
      <c r="D154" s="7">
        <f>IF(WEEKDAY(표8[[#This Row],[거래일자]])=4, 2000000,0)</f>
        <v>0</v>
      </c>
      <c r="E154" s="7"/>
      <c r="F154" s="7"/>
    </row>
    <row r="155" spans="1:6" x14ac:dyDescent="0.3">
      <c r="A155" s="3">
        <v>45471</v>
      </c>
      <c r="B155" s="5"/>
      <c r="C155" s="7"/>
      <c r="D155" s="7">
        <f>IF(WEEKDAY(표8[[#This Row],[거래일자]])=4, 2000000,0)</f>
        <v>0</v>
      </c>
      <c r="E155" s="7"/>
      <c r="F155" s="7"/>
    </row>
    <row r="156" spans="1:6" x14ac:dyDescent="0.3">
      <c r="A156" s="3">
        <v>45472</v>
      </c>
      <c r="B156" s="5"/>
      <c r="C156" s="7"/>
      <c r="D156" s="7">
        <f>IF(WEEKDAY(표8[[#This Row],[거래일자]])=4, 2000000,0)</f>
        <v>0</v>
      </c>
      <c r="E156" s="7"/>
      <c r="F156" s="7"/>
    </row>
    <row r="157" spans="1:6" x14ac:dyDescent="0.3">
      <c r="A157" s="3">
        <v>45473</v>
      </c>
      <c r="B157" s="5"/>
      <c r="C157" s="7"/>
      <c r="D157" s="7">
        <f>IF(WEEKDAY(표8[[#This Row],[거래일자]])=4, 2000000,0)</f>
        <v>0</v>
      </c>
      <c r="E157" s="7"/>
      <c r="F157" s="7"/>
    </row>
    <row r="158" spans="1:6" x14ac:dyDescent="0.3">
      <c r="A158" s="3">
        <v>45474</v>
      </c>
      <c r="B158" s="5"/>
      <c r="C158" s="7"/>
      <c r="D158" s="7">
        <f>IF(WEEKDAY(표8[[#This Row],[거래일자]])=4, 2000000,0)</f>
        <v>0</v>
      </c>
      <c r="E158" s="7"/>
      <c r="F158" s="7"/>
    </row>
    <row r="159" spans="1:6" x14ac:dyDescent="0.3">
      <c r="A159" s="3">
        <v>45475</v>
      </c>
      <c r="B159" s="5"/>
      <c r="C159" s="7"/>
      <c r="D159" s="7">
        <f>IF(WEEKDAY(표8[[#This Row],[거래일자]])=4, 2000000,0)</f>
        <v>0</v>
      </c>
      <c r="E159" s="7"/>
      <c r="F159" s="7"/>
    </row>
    <row r="160" spans="1:6" x14ac:dyDescent="0.3">
      <c r="A160" s="3">
        <v>45476</v>
      </c>
      <c r="B160" s="5"/>
      <c r="C160" s="7"/>
      <c r="D160" s="7">
        <f>IF(WEEKDAY(표8[[#This Row],[거래일자]])=4, 2000000,0)</f>
        <v>2000000</v>
      </c>
      <c r="E160" s="7"/>
      <c r="F160" s="7"/>
    </row>
    <row r="161" spans="1:6" x14ac:dyDescent="0.3">
      <c r="A161" s="3">
        <v>45477</v>
      </c>
      <c r="B161" s="5"/>
      <c r="C161" s="7"/>
      <c r="D161" s="7">
        <f>IF(WEEKDAY(표8[[#This Row],[거래일자]])=4, 2000000,0)</f>
        <v>0</v>
      </c>
      <c r="E161" s="7"/>
      <c r="F161" s="7"/>
    </row>
    <row r="162" spans="1:6" x14ac:dyDescent="0.3">
      <c r="A162" s="3">
        <v>45478</v>
      </c>
      <c r="B162" s="5"/>
      <c r="C162" s="7"/>
      <c r="D162" s="7">
        <f>IF(WEEKDAY(표8[[#This Row],[거래일자]])=4, 2000000,0)</f>
        <v>0</v>
      </c>
      <c r="E162" s="7"/>
      <c r="F162" s="7"/>
    </row>
    <row r="163" spans="1:6" x14ac:dyDescent="0.3">
      <c r="A163" s="3">
        <v>45479</v>
      </c>
      <c r="B163" s="5"/>
      <c r="C163" s="7"/>
      <c r="D163" s="7">
        <f>IF(WEEKDAY(표8[[#This Row],[거래일자]])=4, 2000000,0)</f>
        <v>0</v>
      </c>
      <c r="E163" s="7"/>
      <c r="F163" s="7"/>
    </row>
    <row r="164" spans="1:6" x14ac:dyDescent="0.3">
      <c r="A164" s="3">
        <v>45480</v>
      </c>
      <c r="B164" s="5"/>
      <c r="C164" s="7"/>
      <c r="D164" s="7">
        <f>IF(WEEKDAY(표8[[#This Row],[거래일자]])=4, 2000000,0)</f>
        <v>0</v>
      </c>
      <c r="E164" s="7"/>
      <c r="F164" s="7"/>
    </row>
    <row r="165" spans="1:6" x14ac:dyDescent="0.3">
      <c r="A165" s="3">
        <v>45481</v>
      </c>
      <c r="B165" s="5"/>
      <c r="C165" s="7"/>
      <c r="D165" s="7">
        <f>IF(WEEKDAY(표8[[#This Row],[거래일자]])=4, 2000000,0)</f>
        <v>0</v>
      </c>
      <c r="E165" s="7"/>
      <c r="F165" s="7"/>
    </row>
    <row r="166" spans="1:6" x14ac:dyDescent="0.3">
      <c r="A166" s="3">
        <v>45482</v>
      </c>
      <c r="B166" s="5"/>
      <c r="C166" s="7"/>
      <c r="D166" s="7">
        <f>IF(WEEKDAY(표8[[#This Row],[거래일자]])=4, 2000000,0)</f>
        <v>0</v>
      </c>
      <c r="E166" s="7"/>
      <c r="F166" s="7"/>
    </row>
    <row r="167" spans="1:6" x14ac:dyDescent="0.3">
      <c r="A167" s="3">
        <v>45483</v>
      </c>
      <c r="B167" s="5"/>
      <c r="C167" s="7"/>
      <c r="D167" s="7">
        <f>IF(WEEKDAY(표8[[#This Row],[거래일자]])=4, 2000000,0)</f>
        <v>2000000</v>
      </c>
      <c r="E167" s="7"/>
      <c r="F167" s="7"/>
    </row>
    <row r="168" spans="1:6" x14ac:dyDescent="0.3">
      <c r="A168" s="3">
        <v>45484</v>
      </c>
      <c r="B168" s="5"/>
      <c r="C168" s="7"/>
      <c r="D168" s="7">
        <f>IF(WEEKDAY(표8[[#This Row],[거래일자]])=4, 2000000,0)</f>
        <v>0</v>
      </c>
      <c r="E168" s="7"/>
      <c r="F168" s="7"/>
    </row>
    <row r="169" spans="1:6" x14ac:dyDescent="0.3">
      <c r="A169" s="3">
        <v>45485</v>
      </c>
      <c r="B169" s="5"/>
      <c r="C169" s="7"/>
      <c r="D169" s="7">
        <f>IF(WEEKDAY(표8[[#This Row],[거래일자]])=4, 2000000,0)</f>
        <v>0</v>
      </c>
      <c r="E169" s="7"/>
      <c r="F169" s="7"/>
    </row>
    <row r="170" spans="1:6" x14ac:dyDescent="0.3">
      <c r="A170" s="3">
        <v>45486</v>
      </c>
      <c r="B170" s="5"/>
      <c r="C170" s="7"/>
      <c r="D170" s="7">
        <f>IF(WEEKDAY(표8[[#This Row],[거래일자]])=4, 2000000,0)</f>
        <v>0</v>
      </c>
      <c r="E170" s="7"/>
      <c r="F170" s="7"/>
    </row>
    <row r="171" spans="1:6" x14ac:dyDescent="0.3">
      <c r="A171" s="3">
        <v>45487</v>
      </c>
      <c r="B171" s="5"/>
      <c r="C171" s="7"/>
      <c r="D171" s="7">
        <f>IF(WEEKDAY(표8[[#This Row],[거래일자]])=4, 2000000,0)</f>
        <v>0</v>
      </c>
      <c r="E171" s="7"/>
      <c r="F171" s="7"/>
    </row>
    <row r="172" spans="1:6" x14ac:dyDescent="0.3">
      <c r="A172" s="3">
        <v>45488</v>
      </c>
      <c r="B172" s="5"/>
      <c r="C172" s="7"/>
      <c r="D172" s="7">
        <f>IF(WEEKDAY(표8[[#This Row],[거래일자]])=4, 2000000,0)</f>
        <v>0</v>
      </c>
      <c r="E172" s="7"/>
      <c r="F172" s="7"/>
    </row>
    <row r="173" spans="1:6" x14ac:dyDescent="0.3">
      <c r="A173" s="3">
        <v>45489</v>
      </c>
      <c r="B173" s="5"/>
      <c r="C173" s="7"/>
      <c r="D173" s="7">
        <f>IF(WEEKDAY(표8[[#This Row],[거래일자]])=4, 2000000,0)</f>
        <v>0</v>
      </c>
      <c r="E173" s="7"/>
      <c r="F173" s="7"/>
    </row>
    <row r="174" spans="1:6" x14ac:dyDescent="0.3">
      <c r="A174" s="3">
        <v>45490</v>
      </c>
      <c r="B174" s="5"/>
      <c r="C174" s="7"/>
      <c r="D174" s="7">
        <f>IF(WEEKDAY(표8[[#This Row],[거래일자]])=4, 2000000,0)</f>
        <v>2000000</v>
      </c>
      <c r="E174" s="7"/>
      <c r="F174" s="7"/>
    </row>
    <row r="175" spans="1:6" x14ac:dyDescent="0.3">
      <c r="A175" s="3">
        <v>45491</v>
      </c>
      <c r="B175" s="5"/>
      <c r="C175" s="7"/>
      <c r="D175" s="7">
        <f>IF(WEEKDAY(표8[[#This Row],[거래일자]])=4, 2000000,0)</f>
        <v>0</v>
      </c>
      <c r="E175" s="7"/>
      <c r="F175" s="7"/>
    </row>
    <row r="176" spans="1:6" x14ac:dyDescent="0.3">
      <c r="A176" s="3">
        <v>45492</v>
      </c>
      <c r="B176" s="5"/>
      <c r="C176" s="7"/>
      <c r="D176" s="7">
        <f>IF(WEEKDAY(표8[[#This Row],[거래일자]])=4, 2000000,0)</f>
        <v>0</v>
      </c>
      <c r="E176" s="7"/>
      <c r="F176" s="7"/>
    </row>
    <row r="177" spans="1:6" x14ac:dyDescent="0.3">
      <c r="A177" s="3">
        <v>45493</v>
      </c>
      <c r="B177" s="5"/>
      <c r="C177" s="7"/>
      <c r="D177" s="7">
        <f>IF(WEEKDAY(표8[[#This Row],[거래일자]])=4, 2000000,0)</f>
        <v>0</v>
      </c>
      <c r="E177" s="7"/>
      <c r="F177" s="7"/>
    </row>
    <row r="178" spans="1:6" x14ac:dyDescent="0.3">
      <c r="A178" s="3">
        <v>45494</v>
      </c>
      <c r="B178" s="5">
        <v>2490355</v>
      </c>
      <c r="C178" s="7"/>
      <c r="D178" s="7">
        <f>IF(WEEKDAY(표8[[#This Row],[거래일자]])=4, 2000000,0)</f>
        <v>0</v>
      </c>
      <c r="E178" s="7"/>
      <c r="F178" s="7"/>
    </row>
    <row r="179" spans="1:6" x14ac:dyDescent="0.3">
      <c r="A179" s="3">
        <v>45495</v>
      </c>
      <c r="B179" s="5"/>
      <c r="C179" s="7"/>
      <c r="D179" s="7">
        <f>IF(WEEKDAY(표8[[#This Row],[거래일자]])=4, 2000000,0)</f>
        <v>0</v>
      </c>
      <c r="E179" s="7"/>
      <c r="F179" s="7"/>
    </row>
    <row r="180" spans="1:6" x14ac:dyDescent="0.3">
      <c r="A180" s="3">
        <v>45496</v>
      </c>
      <c r="B180" s="5"/>
      <c r="C180" s="7"/>
      <c r="D180" s="7">
        <f>IF(WEEKDAY(표8[[#This Row],[거래일자]])=4, 2000000,0)</f>
        <v>0</v>
      </c>
      <c r="E180" s="7"/>
      <c r="F180" s="7"/>
    </row>
    <row r="181" spans="1:6" x14ac:dyDescent="0.3">
      <c r="A181" s="3">
        <v>45497</v>
      </c>
      <c r="B181" s="5"/>
      <c r="C181" s="7"/>
      <c r="D181" s="7">
        <f>IF(WEEKDAY(표8[[#This Row],[거래일자]])=4, 2000000,0)</f>
        <v>2000000</v>
      </c>
      <c r="E181" s="7"/>
      <c r="F181" s="7"/>
    </row>
    <row r="182" spans="1:6" x14ac:dyDescent="0.3">
      <c r="A182" s="3">
        <v>45498</v>
      </c>
      <c r="B182" s="5"/>
      <c r="C182" s="7"/>
      <c r="D182" s="7">
        <f>IF(WEEKDAY(표8[[#This Row],[거래일자]])=4, 2000000,0)</f>
        <v>0</v>
      </c>
      <c r="E182" s="7"/>
      <c r="F182" s="7"/>
    </row>
    <row r="183" spans="1:6" x14ac:dyDescent="0.3">
      <c r="A183" s="3">
        <v>45499</v>
      </c>
      <c r="B183" s="5"/>
      <c r="C183" s="7"/>
      <c r="D183" s="7">
        <f>IF(WEEKDAY(표8[[#This Row],[거래일자]])=4, 2000000,0)</f>
        <v>0</v>
      </c>
      <c r="E183" s="7"/>
      <c r="F183" s="7"/>
    </row>
    <row r="184" spans="1:6" x14ac:dyDescent="0.3">
      <c r="A184" s="3">
        <v>45500</v>
      </c>
      <c r="B184" s="5"/>
      <c r="C184" s="7"/>
      <c r="D184" s="7">
        <f>IF(WEEKDAY(표8[[#This Row],[거래일자]])=4, 2000000,0)</f>
        <v>0</v>
      </c>
      <c r="E184" s="7"/>
      <c r="F184" s="7"/>
    </row>
    <row r="185" spans="1:6" x14ac:dyDescent="0.3">
      <c r="A185" s="3">
        <v>45501</v>
      </c>
      <c r="B185" s="5"/>
      <c r="C185" s="7"/>
      <c r="D185" s="7">
        <f>IF(WEEKDAY(표8[[#This Row],[거래일자]])=4, 2000000,0)</f>
        <v>0</v>
      </c>
      <c r="E185" s="7"/>
      <c r="F185" s="7"/>
    </row>
    <row r="186" spans="1:6" x14ac:dyDescent="0.3">
      <c r="A186" s="3">
        <v>45502</v>
      </c>
      <c r="B186" s="5"/>
      <c r="C186" s="7"/>
      <c r="D186" s="7">
        <f>IF(WEEKDAY(표8[[#This Row],[거래일자]])=4, 2000000,0)</f>
        <v>0</v>
      </c>
      <c r="E186" s="7"/>
      <c r="F186" s="7"/>
    </row>
    <row r="187" spans="1:6" x14ac:dyDescent="0.3">
      <c r="A187" s="3">
        <v>45503</v>
      </c>
      <c r="B187" s="5"/>
      <c r="C187" s="7"/>
      <c r="D187" s="7">
        <f>IF(WEEKDAY(표8[[#This Row],[거래일자]])=4, 2000000,0)</f>
        <v>0</v>
      </c>
      <c r="E187" s="7"/>
      <c r="F187" s="7"/>
    </row>
    <row r="188" spans="1:6" x14ac:dyDescent="0.3">
      <c r="A188" s="3">
        <v>45504</v>
      </c>
      <c r="B188" s="5"/>
      <c r="C188" s="7"/>
      <c r="D188" s="7">
        <f>IF(WEEKDAY(표8[[#This Row],[거래일자]])=4, 2000000,0)</f>
        <v>2000000</v>
      </c>
      <c r="E188" s="7"/>
      <c r="F188" s="7"/>
    </row>
    <row r="189" spans="1:6" x14ac:dyDescent="0.3">
      <c r="A189" s="3">
        <v>45505</v>
      </c>
      <c r="B189" s="5"/>
      <c r="C189" s="7"/>
      <c r="D189" s="7">
        <f>IF(WEEKDAY(표8[[#This Row],[거래일자]])=4, 2000000,0)</f>
        <v>0</v>
      </c>
      <c r="E189" s="7"/>
      <c r="F189" s="7"/>
    </row>
    <row r="190" spans="1:6" x14ac:dyDescent="0.3">
      <c r="A190" s="3">
        <v>45506</v>
      </c>
      <c r="B190" s="5"/>
      <c r="C190" s="7"/>
      <c r="D190" s="7">
        <f>IF(WEEKDAY(표8[[#This Row],[거래일자]])=4, 2000000,0)</f>
        <v>0</v>
      </c>
      <c r="E190" s="7"/>
      <c r="F190" s="7"/>
    </row>
    <row r="191" spans="1:6" x14ac:dyDescent="0.3">
      <c r="A191" s="3">
        <v>45507</v>
      </c>
      <c r="B191" s="5"/>
      <c r="C191" s="7"/>
      <c r="D191" s="7">
        <f>IF(WEEKDAY(표8[[#This Row],[거래일자]])=4, 2000000,0)</f>
        <v>0</v>
      </c>
      <c r="E191" s="7"/>
      <c r="F191" s="7"/>
    </row>
    <row r="192" spans="1:6" x14ac:dyDescent="0.3">
      <c r="A192" s="3">
        <v>45508</v>
      </c>
      <c r="B192" s="5"/>
      <c r="C192" s="7"/>
      <c r="D192" s="7">
        <f>IF(WEEKDAY(표8[[#This Row],[거래일자]])=4, 2000000,0)</f>
        <v>0</v>
      </c>
      <c r="E192" s="7"/>
      <c r="F192" s="7"/>
    </row>
    <row r="193" spans="1:6" x14ac:dyDescent="0.3">
      <c r="A193" s="3">
        <v>45509</v>
      </c>
      <c r="B193" s="5"/>
      <c r="C193" s="7"/>
      <c r="D193" s="7">
        <f>IF(WEEKDAY(표8[[#This Row],[거래일자]])=4, 2000000,0)</f>
        <v>0</v>
      </c>
      <c r="E193" s="7"/>
      <c r="F193" s="7"/>
    </row>
    <row r="194" spans="1:6" x14ac:dyDescent="0.3">
      <c r="A194" s="3">
        <v>45510</v>
      </c>
      <c r="B194" s="5"/>
      <c r="C194" s="7"/>
      <c r="D194" s="7">
        <f>IF(WEEKDAY(표8[[#This Row],[거래일자]])=4, 2000000,0)</f>
        <v>0</v>
      </c>
      <c r="E194" s="7"/>
      <c r="F194" s="7"/>
    </row>
    <row r="195" spans="1:6" x14ac:dyDescent="0.3">
      <c r="A195" s="3">
        <v>45511</v>
      </c>
      <c r="B195" s="5"/>
      <c r="C195" s="7"/>
      <c r="D195" s="7">
        <f>IF(WEEKDAY(표8[[#This Row],[거래일자]])=4, 2000000,0)</f>
        <v>2000000</v>
      </c>
      <c r="E195" s="7"/>
      <c r="F195" s="7"/>
    </row>
    <row r="196" spans="1:6" x14ac:dyDescent="0.3">
      <c r="A196" s="3">
        <v>45512</v>
      </c>
      <c r="B196" s="5"/>
      <c r="C196" s="7"/>
      <c r="D196" s="7">
        <f>IF(WEEKDAY(표8[[#This Row],[거래일자]])=4, 2000000,0)</f>
        <v>0</v>
      </c>
      <c r="E196" s="7"/>
      <c r="F196" s="7"/>
    </row>
    <row r="197" spans="1:6" x14ac:dyDescent="0.3">
      <c r="A197" s="3">
        <v>45513</v>
      </c>
      <c r="B197" s="5"/>
      <c r="C197" s="7"/>
      <c r="D197" s="7">
        <f>IF(WEEKDAY(표8[[#This Row],[거래일자]])=4, 2000000,0)</f>
        <v>0</v>
      </c>
      <c r="E197" s="7"/>
      <c r="F197" s="7"/>
    </row>
    <row r="198" spans="1:6" x14ac:dyDescent="0.3">
      <c r="A198" s="3">
        <v>45514</v>
      </c>
      <c r="B198" s="5"/>
      <c r="C198" s="7"/>
      <c r="D198" s="7">
        <f>IF(WEEKDAY(표8[[#This Row],[거래일자]])=4, 2000000,0)</f>
        <v>0</v>
      </c>
      <c r="E198" s="7"/>
      <c r="F198" s="7"/>
    </row>
    <row r="199" spans="1:6" x14ac:dyDescent="0.3">
      <c r="A199" s="3">
        <v>45515</v>
      </c>
      <c r="B199" s="5"/>
      <c r="C199" s="7"/>
      <c r="D199" s="7">
        <f>IF(WEEKDAY(표8[[#This Row],[거래일자]])=4, 2000000,0)</f>
        <v>0</v>
      </c>
      <c r="E199" s="7"/>
      <c r="F199" s="7"/>
    </row>
    <row r="200" spans="1:6" x14ac:dyDescent="0.3">
      <c r="A200" s="3">
        <v>45516</v>
      </c>
      <c r="B200" s="5"/>
      <c r="C200" s="7"/>
      <c r="D200" s="7">
        <f>IF(WEEKDAY(표8[[#This Row],[거래일자]])=4, 2000000,0)</f>
        <v>0</v>
      </c>
      <c r="E200" s="7"/>
      <c r="F200" s="7"/>
    </row>
    <row r="201" spans="1:6" x14ac:dyDescent="0.3">
      <c r="A201" s="3">
        <v>45517</v>
      </c>
      <c r="B201" s="5"/>
      <c r="C201" s="7"/>
      <c r="D201" s="7">
        <f>IF(WEEKDAY(표8[[#This Row],[거래일자]])=4, 2000000,0)</f>
        <v>0</v>
      </c>
      <c r="E201" s="7"/>
      <c r="F201" s="7"/>
    </row>
    <row r="202" spans="1:6" x14ac:dyDescent="0.3">
      <c r="A202" s="3">
        <v>45518</v>
      </c>
      <c r="B202" s="5"/>
      <c r="C202" s="7"/>
      <c r="D202" s="7">
        <f>IF(WEEKDAY(표8[[#This Row],[거래일자]])=4, 2000000,0)</f>
        <v>2000000</v>
      </c>
      <c r="E202" s="7"/>
      <c r="F202" s="7"/>
    </row>
    <row r="203" spans="1:6" x14ac:dyDescent="0.3">
      <c r="A203" s="3">
        <v>45519</v>
      </c>
      <c r="B203" s="5"/>
      <c r="C203" s="7"/>
      <c r="D203" s="7">
        <f>IF(WEEKDAY(표8[[#This Row],[거래일자]])=4, 2000000,0)</f>
        <v>0</v>
      </c>
      <c r="E203" s="7"/>
      <c r="F203" s="7"/>
    </row>
    <row r="204" spans="1:6" x14ac:dyDescent="0.3">
      <c r="A204" s="3">
        <v>45520</v>
      </c>
      <c r="B204" s="5"/>
      <c r="C204" s="7"/>
      <c r="D204" s="7">
        <f>IF(WEEKDAY(표8[[#This Row],[거래일자]])=4, 2000000,0)</f>
        <v>0</v>
      </c>
      <c r="E204" s="7"/>
      <c r="F204" s="7"/>
    </row>
    <row r="205" spans="1:6" x14ac:dyDescent="0.3">
      <c r="A205" s="3">
        <v>45521</v>
      </c>
      <c r="B205" s="5"/>
      <c r="C205" s="7"/>
      <c r="D205" s="7">
        <f>IF(WEEKDAY(표8[[#This Row],[거래일자]])=4, 2000000,0)</f>
        <v>0</v>
      </c>
      <c r="E205" s="7"/>
      <c r="F205" s="7"/>
    </row>
    <row r="206" spans="1:6" x14ac:dyDescent="0.3">
      <c r="A206" s="3">
        <v>45522</v>
      </c>
      <c r="B206" s="5"/>
      <c r="C206" s="7"/>
      <c r="D206" s="7">
        <f>IF(WEEKDAY(표8[[#This Row],[거래일자]])=4, 2000000,0)</f>
        <v>0</v>
      </c>
      <c r="E206" s="7"/>
      <c r="F206" s="7"/>
    </row>
    <row r="207" spans="1:6" x14ac:dyDescent="0.3">
      <c r="A207" s="3">
        <v>45523</v>
      </c>
      <c r="B207" s="5"/>
      <c r="C207" s="7"/>
      <c r="D207" s="7">
        <f>IF(WEEKDAY(표8[[#This Row],[거래일자]])=4, 2000000,0)</f>
        <v>0</v>
      </c>
      <c r="E207" s="7"/>
      <c r="F207" s="7"/>
    </row>
    <row r="208" spans="1:6" x14ac:dyDescent="0.3">
      <c r="A208" s="3">
        <v>45524</v>
      </c>
      <c r="B208" s="5"/>
      <c r="C208" s="7"/>
      <c r="D208" s="7">
        <f>IF(WEEKDAY(표8[[#This Row],[거래일자]])=4, 2000000,0)</f>
        <v>0</v>
      </c>
      <c r="E208" s="7"/>
      <c r="F208" s="7"/>
    </row>
    <row r="209" spans="1:6" x14ac:dyDescent="0.3">
      <c r="A209" s="3">
        <v>45525</v>
      </c>
      <c r="B209" s="5">
        <v>6292866</v>
      </c>
      <c r="C209" s="7"/>
      <c r="D209" s="7">
        <f>IF(WEEKDAY(표8[[#This Row],[거래일자]])=4, 2000000,0)</f>
        <v>2000000</v>
      </c>
      <c r="E209" s="7"/>
      <c r="F209" s="7"/>
    </row>
    <row r="210" spans="1:6" x14ac:dyDescent="0.3">
      <c r="A210" s="3">
        <v>45526</v>
      </c>
      <c r="B210" s="5"/>
      <c r="C210" s="7"/>
      <c r="D210" s="7">
        <f>IF(WEEKDAY(표8[[#This Row],[거래일자]])=4, 2000000,0)</f>
        <v>0</v>
      </c>
      <c r="E210" s="7"/>
      <c r="F210" s="7"/>
    </row>
    <row r="211" spans="1:6" x14ac:dyDescent="0.3">
      <c r="A211" s="3">
        <v>45527</v>
      </c>
      <c r="B211" s="5"/>
      <c r="C211" s="7"/>
      <c r="D211" s="7">
        <f>IF(WEEKDAY(표8[[#This Row],[거래일자]])=4, 2000000,0)</f>
        <v>0</v>
      </c>
      <c r="E211" s="7"/>
      <c r="F211" s="7"/>
    </row>
    <row r="212" spans="1:6" x14ac:dyDescent="0.3">
      <c r="A212" s="3">
        <v>45528</v>
      </c>
      <c r="B212" s="5"/>
      <c r="C212" s="7"/>
      <c r="D212" s="7">
        <f>IF(WEEKDAY(표8[[#This Row],[거래일자]])=4, 2000000,0)</f>
        <v>0</v>
      </c>
      <c r="E212" s="7"/>
      <c r="F212" s="7"/>
    </row>
    <row r="213" spans="1:6" x14ac:dyDescent="0.3">
      <c r="A213" s="3">
        <v>45529</v>
      </c>
      <c r="B213" s="5"/>
      <c r="C213" s="7"/>
      <c r="D213" s="7">
        <f>IF(WEEKDAY(표8[[#This Row],[거래일자]])=4, 2000000,0)</f>
        <v>0</v>
      </c>
      <c r="E213" s="7"/>
      <c r="F213" s="7"/>
    </row>
    <row r="214" spans="1:6" x14ac:dyDescent="0.3">
      <c r="A214" s="3">
        <v>45530</v>
      </c>
      <c r="B214" s="5"/>
      <c r="C214" s="7"/>
      <c r="D214" s="7">
        <f>IF(WEEKDAY(표8[[#This Row],[거래일자]])=4, 2000000,0)</f>
        <v>0</v>
      </c>
      <c r="E214" s="7"/>
      <c r="F214" s="7"/>
    </row>
    <row r="215" spans="1:6" x14ac:dyDescent="0.3">
      <c r="A215" s="3">
        <v>45531</v>
      </c>
      <c r="B215" s="5"/>
      <c r="C215" s="7"/>
      <c r="D215" s="7">
        <f>IF(WEEKDAY(표8[[#This Row],[거래일자]])=4, 2000000,0)</f>
        <v>0</v>
      </c>
      <c r="E215" s="7"/>
      <c r="F215" s="7"/>
    </row>
    <row r="216" spans="1:6" x14ac:dyDescent="0.3">
      <c r="A216" s="3">
        <v>45532</v>
      </c>
      <c r="B216" s="5"/>
      <c r="C216" s="7"/>
      <c r="D216" s="7">
        <f>IF(WEEKDAY(표8[[#This Row],[거래일자]])=4, 2000000,0)</f>
        <v>2000000</v>
      </c>
      <c r="E216" s="7"/>
      <c r="F216" s="7"/>
    </row>
    <row r="217" spans="1:6" x14ac:dyDescent="0.3">
      <c r="A217" s="3">
        <v>45533</v>
      </c>
      <c r="B217" s="5"/>
      <c r="C217" s="7"/>
      <c r="D217" s="7">
        <f>IF(WEEKDAY(표8[[#This Row],[거래일자]])=4, 2000000,0)</f>
        <v>0</v>
      </c>
      <c r="E217" s="7"/>
      <c r="F217" s="7"/>
    </row>
    <row r="218" spans="1:6" x14ac:dyDescent="0.3">
      <c r="A218" s="3">
        <v>45534</v>
      </c>
      <c r="B218" s="5"/>
      <c r="C218" s="7"/>
      <c r="D218" s="7">
        <f>IF(WEEKDAY(표8[[#This Row],[거래일자]])=4, 2000000,0)</f>
        <v>0</v>
      </c>
      <c r="E218" s="7"/>
      <c r="F218" s="7"/>
    </row>
    <row r="219" spans="1:6" x14ac:dyDescent="0.3">
      <c r="A219" s="3">
        <v>45535</v>
      </c>
      <c r="B219" s="5"/>
      <c r="C219" s="7"/>
      <c r="D219" s="7">
        <f>IF(WEEKDAY(표8[[#This Row],[거래일자]])=4, 2000000,0)</f>
        <v>0</v>
      </c>
      <c r="E219" s="7"/>
      <c r="F219" s="7"/>
    </row>
    <row r="220" spans="1:6" x14ac:dyDescent="0.3">
      <c r="A220" s="3">
        <v>45536</v>
      </c>
      <c r="B220" s="5"/>
      <c r="C220" s="7"/>
      <c r="D220" s="7">
        <f>IF(WEEKDAY(표8[[#This Row],[거래일자]])=4, 2000000,0)</f>
        <v>0</v>
      </c>
      <c r="E220" s="7"/>
      <c r="F220" s="7"/>
    </row>
    <row r="221" spans="1:6" x14ac:dyDescent="0.3">
      <c r="A221" s="3">
        <v>45537</v>
      </c>
      <c r="B221" s="5"/>
      <c r="C221" s="7"/>
      <c r="D221" s="7">
        <f>IF(WEEKDAY(표8[[#This Row],[거래일자]])=4, 2000000,0)</f>
        <v>0</v>
      </c>
      <c r="E221" s="7"/>
      <c r="F221" s="7"/>
    </row>
    <row r="222" spans="1:6" x14ac:dyDescent="0.3">
      <c r="A222" s="3">
        <v>45538</v>
      </c>
      <c r="B222" s="5"/>
      <c r="C222" s="7"/>
      <c r="D222" s="7">
        <f>IF(WEEKDAY(표8[[#This Row],[거래일자]])=4, 2000000,0)</f>
        <v>0</v>
      </c>
      <c r="E222" s="7"/>
      <c r="F222" s="7"/>
    </row>
    <row r="223" spans="1:6" x14ac:dyDescent="0.3">
      <c r="A223" s="3">
        <v>45539</v>
      </c>
      <c r="B223" s="5"/>
      <c r="C223" s="7"/>
      <c r="D223" s="7">
        <f>IF(WEEKDAY(표8[[#This Row],[거래일자]])=4, 2000000,0)</f>
        <v>2000000</v>
      </c>
      <c r="E223" s="7"/>
      <c r="F223" s="7"/>
    </row>
    <row r="224" spans="1:6" x14ac:dyDescent="0.3">
      <c r="A224" s="3">
        <v>45540</v>
      </c>
      <c r="B224" s="5"/>
      <c r="C224" s="7"/>
      <c r="D224" s="7">
        <f>IF(WEEKDAY(표8[[#This Row],[거래일자]])=4, 2000000,0)</f>
        <v>0</v>
      </c>
      <c r="E224" s="7"/>
      <c r="F224" s="7"/>
    </row>
    <row r="225" spans="1:6" x14ac:dyDescent="0.3">
      <c r="A225" s="3">
        <v>45541</v>
      </c>
      <c r="B225" s="5"/>
      <c r="C225" s="7"/>
      <c r="D225" s="7">
        <f>IF(WEEKDAY(표8[[#This Row],[거래일자]])=4, 2000000,0)</f>
        <v>0</v>
      </c>
      <c r="E225" s="7"/>
      <c r="F225" s="7"/>
    </row>
    <row r="226" spans="1:6" x14ac:dyDescent="0.3">
      <c r="A226" s="3">
        <v>45542</v>
      </c>
      <c r="B226" s="5"/>
      <c r="C226" s="7"/>
      <c r="D226" s="7">
        <f>IF(WEEKDAY(표8[[#This Row],[거래일자]])=4, 2000000,0)</f>
        <v>0</v>
      </c>
      <c r="E226" s="7"/>
      <c r="F226" s="7"/>
    </row>
    <row r="227" spans="1:6" x14ac:dyDescent="0.3">
      <c r="A227" s="3">
        <v>45543</v>
      </c>
      <c r="B227" s="5"/>
      <c r="C227" s="7"/>
      <c r="D227" s="7">
        <f>IF(WEEKDAY(표8[[#This Row],[거래일자]])=4, 2000000,0)</f>
        <v>0</v>
      </c>
      <c r="E227" s="7"/>
      <c r="F227" s="7"/>
    </row>
    <row r="228" spans="1:6" x14ac:dyDescent="0.3">
      <c r="A228" s="3">
        <v>45544</v>
      </c>
      <c r="B228" s="5"/>
      <c r="C228" s="7"/>
      <c r="D228" s="7">
        <f>IF(WEEKDAY(표8[[#This Row],[거래일자]])=4, 2000000,0)</f>
        <v>0</v>
      </c>
      <c r="E228" s="7"/>
      <c r="F228" s="7"/>
    </row>
    <row r="229" spans="1:6" x14ac:dyDescent="0.3">
      <c r="A229" s="3">
        <v>45545</v>
      </c>
      <c r="B229" s="5"/>
      <c r="C229" s="7"/>
      <c r="D229" s="7">
        <f>IF(WEEKDAY(표8[[#This Row],[거래일자]])=4, 2000000,0)</f>
        <v>0</v>
      </c>
      <c r="E229" s="7"/>
      <c r="F229" s="7"/>
    </row>
    <row r="230" spans="1:6" x14ac:dyDescent="0.3">
      <c r="A230" s="3">
        <v>45546</v>
      </c>
      <c r="B230" s="5"/>
      <c r="C230" s="7"/>
      <c r="D230" s="7">
        <f>IF(WEEKDAY(표8[[#This Row],[거래일자]])=4, 2000000,0)</f>
        <v>2000000</v>
      </c>
      <c r="E230" s="7"/>
      <c r="F230" s="7"/>
    </row>
    <row r="231" spans="1:6" x14ac:dyDescent="0.3">
      <c r="A231" s="3">
        <v>45547</v>
      </c>
      <c r="B231" s="5"/>
      <c r="C231" s="7"/>
      <c r="D231" s="7">
        <f>IF(WEEKDAY(표8[[#This Row],[거래일자]])=4, 2000000,0)</f>
        <v>0</v>
      </c>
      <c r="E231" s="7"/>
      <c r="F231" s="7"/>
    </row>
    <row r="232" spans="1:6" x14ac:dyDescent="0.3">
      <c r="A232" s="3">
        <v>45548</v>
      </c>
      <c r="B232" s="5"/>
      <c r="C232" s="7"/>
      <c r="D232" s="7">
        <f>IF(WEEKDAY(표8[[#This Row],[거래일자]])=4, 2000000,0)</f>
        <v>0</v>
      </c>
      <c r="E232" s="7"/>
      <c r="F232" s="7"/>
    </row>
    <row r="233" spans="1:6" x14ac:dyDescent="0.3">
      <c r="A233" s="3">
        <v>45549</v>
      </c>
      <c r="B233" s="5"/>
      <c r="C233" s="7"/>
      <c r="D233" s="7">
        <f>IF(WEEKDAY(표8[[#This Row],[거래일자]])=4, 2000000,0)</f>
        <v>0</v>
      </c>
      <c r="E233" s="7"/>
      <c r="F233" s="7"/>
    </row>
    <row r="234" spans="1:6" x14ac:dyDescent="0.3">
      <c r="A234" s="3">
        <v>45550</v>
      </c>
      <c r="B234" s="5"/>
      <c r="C234" s="7"/>
      <c r="D234" s="7">
        <f>IF(WEEKDAY(표8[[#This Row],[거래일자]])=4, 2000000,0)</f>
        <v>0</v>
      </c>
      <c r="E234" s="7"/>
      <c r="F234" s="7"/>
    </row>
    <row r="235" spans="1:6" x14ac:dyDescent="0.3">
      <c r="A235" s="3">
        <v>45551</v>
      </c>
      <c r="B235" s="5"/>
      <c r="C235" s="7"/>
      <c r="D235" s="7">
        <f>IF(WEEKDAY(표8[[#This Row],[거래일자]])=4, 2000000,0)</f>
        <v>0</v>
      </c>
      <c r="E235" s="7"/>
      <c r="F235" s="7"/>
    </row>
    <row r="236" spans="1:6" x14ac:dyDescent="0.3">
      <c r="A236" s="3">
        <v>45552</v>
      </c>
      <c r="B236" s="5"/>
      <c r="C236" s="7"/>
      <c r="D236" s="7">
        <f>IF(WEEKDAY(표8[[#This Row],[거래일자]])=4, 2000000,0)</f>
        <v>0</v>
      </c>
      <c r="E236" s="7"/>
      <c r="F236" s="7"/>
    </row>
    <row r="237" spans="1:6" x14ac:dyDescent="0.3">
      <c r="A237" s="3">
        <v>45553</v>
      </c>
      <c r="B237" s="5"/>
      <c r="C237" s="7"/>
      <c r="D237" s="7">
        <f>IF(WEEKDAY(표8[[#This Row],[거래일자]])=4, 2000000,0)</f>
        <v>2000000</v>
      </c>
      <c r="E237" s="7"/>
      <c r="F237" s="7"/>
    </row>
    <row r="238" spans="1:6" x14ac:dyDescent="0.3">
      <c r="A238" s="3">
        <v>45554</v>
      </c>
      <c r="B238" s="5"/>
      <c r="C238" s="7"/>
      <c r="D238" s="7">
        <f>IF(WEEKDAY(표8[[#This Row],[거래일자]])=4, 2000000,0)</f>
        <v>0</v>
      </c>
      <c r="E238" s="7"/>
      <c r="F238" s="7"/>
    </row>
    <row r="239" spans="1:6" x14ac:dyDescent="0.3">
      <c r="A239" s="3">
        <v>45555</v>
      </c>
      <c r="B239" s="5"/>
      <c r="C239" s="7"/>
      <c r="D239" s="7">
        <f>IF(WEEKDAY(표8[[#This Row],[거래일자]])=4, 2000000,0)</f>
        <v>0</v>
      </c>
      <c r="E239" s="7"/>
      <c r="F239" s="7"/>
    </row>
    <row r="240" spans="1:6" x14ac:dyDescent="0.3">
      <c r="A240" s="3">
        <v>45556</v>
      </c>
      <c r="B240" s="5">
        <v>3501776</v>
      </c>
      <c r="C240" s="7"/>
      <c r="D240" s="7">
        <f>IF(WEEKDAY(표8[[#This Row],[거래일자]])=4, 2000000,0)</f>
        <v>0</v>
      </c>
      <c r="E240" s="7"/>
      <c r="F240" s="7"/>
    </row>
    <row r="241" spans="1:6" x14ac:dyDescent="0.3">
      <c r="A241" s="3">
        <v>45557</v>
      </c>
      <c r="B241" s="5"/>
      <c r="C241" s="7"/>
      <c r="D241" s="7">
        <f>IF(WEEKDAY(표8[[#This Row],[거래일자]])=4, 2000000,0)</f>
        <v>0</v>
      </c>
      <c r="E241" s="7"/>
      <c r="F241" s="7"/>
    </row>
    <row r="242" spans="1:6" x14ac:dyDescent="0.3">
      <c r="A242" s="3">
        <v>45558</v>
      </c>
      <c r="B242" s="5"/>
      <c r="C242" s="7"/>
      <c r="D242" s="7">
        <f>IF(WEEKDAY(표8[[#This Row],[거래일자]])=4, 2000000,0)</f>
        <v>0</v>
      </c>
      <c r="E242" s="7"/>
      <c r="F242" s="7"/>
    </row>
    <row r="243" spans="1:6" x14ac:dyDescent="0.3">
      <c r="A243" s="3">
        <v>45559</v>
      </c>
      <c r="B243" s="5"/>
      <c r="C243" s="7"/>
      <c r="D243" s="7">
        <f>IF(WEEKDAY(표8[[#This Row],[거래일자]])=4, 2000000,0)</f>
        <v>0</v>
      </c>
      <c r="E243" s="7"/>
      <c r="F243" s="7"/>
    </row>
    <row r="244" spans="1:6" x14ac:dyDescent="0.3">
      <c r="A244" s="3">
        <v>45560</v>
      </c>
      <c r="B244" s="5"/>
      <c r="C244" s="7"/>
      <c r="D244" s="7">
        <f>IF(WEEKDAY(표8[[#This Row],[거래일자]])=4, 2000000,0)</f>
        <v>2000000</v>
      </c>
      <c r="E244" s="7"/>
      <c r="F244" s="7"/>
    </row>
    <row r="245" spans="1:6" x14ac:dyDescent="0.3">
      <c r="A245" s="3">
        <v>45561</v>
      </c>
      <c r="B245" s="5"/>
      <c r="C245" s="7"/>
      <c r="D245" s="7">
        <f>IF(WEEKDAY(표8[[#This Row],[거래일자]])=4, 2000000,0)</f>
        <v>0</v>
      </c>
      <c r="E245" s="7"/>
      <c r="F245" s="7"/>
    </row>
    <row r="246" spans="1:6" x14ac:dyDescent="0.3">
      <c r="A246" s="3">
        <v>45562</v>
      </c>
      <c r="B246" s="5"/>
      <c r="C246" s="7"/>
      <c r="D246" s="7">
        <f>IF(WEEKDAY(표8[[#This Row],[거래일자]])=4, 2000000,0)</f>
        <v>0</v>
      </c>
      <c r="E246" s="7"/>
      <c r="F246" s="7"/>
    </row>
    <row r="247" spans="1:6" x14ac:dyDescent="0.3">
      <c r="A247" s="3">
        <v>45563</v>
      </c>
      <c r="B247" s="5"/>
      <c r="C247" s="7"/>
      <c r="D247" s="7">
        <f>IF(WEEKDAY(표8[[#This Row],[거래일자]])=4, 2000000,0)</f>
        <v>0</v>
      </c>
      <c r="E247" s="7"/>
      <c r="F247" s="7"/>
    </row>
    <row r="248" spans="1:6" x14ac:dyDescent="0.3">
      <c r="A248" s="3">
        <v>45564</v>
      </c>
      <c r="B248" s="5"/>
      <c r="C248" s="7"/>
      <c r="D248" s="7">
        <f>IF(WEEKDAY(표8[[#This Row],[거래일자]])=4, 2000000,0)</f>
        <v>0</v>
      </c>
      <c r="E248" s="7"/>
      <c r="F248" s="7"/>
    </row>
    <row r="249" spans="1:6" x14ac:dyDescent="0.3">
      <c r="A249" s="3">
        <v>45565</v>
      </c>
      <c r="B249" s="5"/>
      <c r="C249" s="7"/>
      <c r="D249" s="7">
        <f>IF(WEEKDAY(표8[[#This Row],[거래일자]])=4, 2000000,0)</f>
        <v>0</v>
      </c>
      <c r="E249" s="7"/>
      <c r="F249" s="7"/>
    </row>
    <row r="250" spans="1:6" x14ac:dyDescent="0.3">
      <c r="A250" s="3">
        <v>45566</v>
      </c>
      <c r="B250" s="5"/>
      <c r="C250" s="7"/>
      <c r="D250" s="7">
        <f>IF(WEEKDAY(표8[[#This Row],[거래일자]])=4, 2000000,0)</f>
        <v>0</v>
      </c>
      <c r="E250" s="7"/>
      <c r="F250" s="7"/>
    </row>
    <row r="251" spans="1:6" x14ac:dyDescent="0.3">
      <c r="A251" s="3">
        <v>45567</v>
      </c>
      <c r="B251" s="5"/>
      <c r="C251" s="7"/>
      <c r="D251" s="7">
        <f>IF(WEEKDAY(표8[[#This Row],[거래일자]])=4, 2000000,0)</f>
        <v>2000000</v>
      </c>
      <c r="E251" s="7"/>
      <c r="F251" s="7"/>
    </row>
    <row r="252" spans="1:6" x14ac:dyDescent="0.3">
      <c r="A252" s="3">
        <v>45568</v>
      </c>
      <c r="B252" s="5"/>
      <c r="C252" s="7"/>
      <c r="D252" s="7">
        <f>IF(WEEKDAY(표8[[#This Row],[거래일자]])=4, 2000000,0)</f>
        <v>0</v>
      </c>
      <c r="E252" s="7"/>
      <c r="F252" s="7"/>
    </row>
    <row r="253" spans="1:6" x14ac:dyDescent="0.3">
      <c r="A253" s="3">
        <v>45569</v>
      </c>
      <c r="B253" s="5"/>
      <c r="C253" s="7"/>
      <c r="D253" s="7">
        <f>IF(WEEKDAY(표8[[#This Row],[거래일자]])=4, 2000000,0)</f>
        <v>0</v>
      </c>
      <c r="E253" s="7"/>
      <c r="F253" s="7"/>
    </row>
    <row r="254" spans="1:6" x14ac:dyDescent="0.3">
      <c r="A254" s="3">
        <v>45570</v>
      </c>
      <c r="B254" s="5"/>
      <c r="C254" s="7"/>
      <c r="D254" s="7">
        <f>IF(WEEKDAY(표8[[#This Row],[거래일자]])=4, 2000000,0)</f>
        <v>0</v>
      </c>
      <c r="E254" s="7"/>
      <c r="F254" s="7"/>
    </row>
    <row r="255" spans="1:6" x14ac:dyDescent="0.3">
      <c r="A255" s="3">
        <v>45571</v>
      </c>
      <c r="B255" s="5"/>
      <c r="C255" s="7"/>
      <c r="D255" s="7">
        <f>IF(WEEKDAY(표8[[#This Row],[거래일자]])=4, 2000000,0)</f>
        <v>0</v>
      </c>
      <c r="E255" s="7"/>
      <c r="F255" s="7"/>
    </row>
    <row r="256" spans="1:6" x14ac:dyDescent="0.3">
      <c r="A256" s="3">
        <v>45572</v>
      </c>
      <c r="B256" s="5"/>
      <c r="C256" s="7"/>
      <c r="D256" s="7">
        <f>IF(WEEKDAY(표8[[#This Row],[거래일자]])=4, 2000000,0)</f>
        <v>0</v>
      </c>
      <c r="E256" s="7"/>
      <c r="F256" s="7"/>
    </row>
    <row r="257" spans="1:6" x14ac:dyDescent="0.3">
      <c r="A257" s="3">
        <v>45573</v>
      </c>
      <c r="B257" s="5"/>
      <c r="C257" s="7"/>
      <c r="D257" s="7">
        <f>IF(WEEKDAY(표8[[#This Row],[거래일자]])=4, 2000000,0)</f>
        <v>0</v>
      </c>
      <c r="E257" s="7"/>
      <c r="F257" s="7"/>
    </row>
    <row r="258" spans="1:6" x14ac:dyDescent="0.3">
      <c r="A258" s="3">
        <v>45574</v>
      </c>
      <c r="B258" s="5"/>
      <c r="C258" s="7"/>
      <c r="D258" s="7">
        <f>IF(WEEKDAY(표8[[#This Row],[거래일자]])=4, 2000000,0)</f>
        <v>2000000</v>
      </c>
      <c r="E258" s="7"/>
      <c r="F258" s="7"/>
    </row>
    <row r="259" spans="1:6" x14ac:dyDescent="0.3">
      <c r="A259" s="3">
        <v>45575</v>
      </c>
      <c r="B259" s="5"/>
      <c r="C259" s="7"/>
      <c r="D259" s="7">
        <f>IF(WEEKDAY(표8[[#This Row],[거래일자]])=4, 2000000,0)</f>
        <v>0</v>
      </c>
      <c r="E259" s="7"/>
      <c r="F259" s="7"/>
    </row>
    <row r="260" spans="1:6" x14ac:dyDescent="0.3">
      <c r="A260" s="3">
        <v>45576</v>
      </c>
      <c r="B260" s="5"/>
      <c r="C260" s="7"/>
      <c r="D260" s="7">
        <f>IF(WEEKDAY(표8[[#This Row],[거래일자]])=4, 2000000,0)</f>
        <v>0</v>
      </c>
      <c r="E260" s="7"/>
      <c r="F260" s="7"/>
    </row>
    <row r="261" spans="1:6" x14ac:dyDescent="0.3">
      <c r="A261" s="3">
        <v>45577</v>
      </c>
      <c r="B261" s="5"/>
      <c r="C261" s="7"/>
      <c r="D261" s="7">
        <f>IF(WEEKDAY(표8[[#This Row],[거래일자]])=4, 2000000,0)</f>
        <v>0</v>
      </c>
      <c r="E261" s="7"/>
      <c r="F261" s="7"/>
    </row>
    <row r="262" spans="1:6" x14ac:dyDescent="0.3">
      <c r="A262" s="3">
        <v>45578</v>
      </c>
      <c r="B262" s="5"/>
      <c r="C262" s="7"/>
      <c r="D262" s="7">
        <f>IF(WEEKDAY(표8[[#This Row],[거래일자]])=4, 2000000,0)</f>
        <v>0</v>
      </c>
      <c r="E262" s="7"/>
      <c r="F262" s="7"/>
    </row>
    <row r="263" spans="1:6" x14ac:dyDescent="0.3">
      <c r="A263" s="3">
        <v>45579</v>
      </c>
      <c r="B263" s="5"/>
      <c r="C263" s="7"/>
      <c r="D263" s="7">
        <f>IF(WEEKDAY(표8[[#This Row],[거래일자]])=4, 2000000,0)</f>
        <v>0</v>
      </c>
      <c r="E263" s="7"/>
      <c r="F263" s="7"/>
    </row>
    <row r="264" spans="1:6" x14ac:dyDescent="0.3">
      <c r="A264" s="3">
        <v>45580</v>
      </c>
      <c r="B264" s="5"/>
      <c r="C264" s="7"/>
      <c r="D264" s="7">
        <f>IF(WEEKDAY(표8[[#This Row],[거래일자]])=4, 2000000,0)</f>
        <v>0</v>
      </c>
      <c r="E264" s="7"/>
      <c r="F264" s="7"/>
    </row>
    <row r="265" spans="1:6" x14ac:dyDescent="0.3">
      <c r="A265" s="3">
        <v>45581</v>
      </c>
      <c r="B265" s="5"/>
      <c r="C265" s="7"/>
      <c r="D265" s="7">
        <f>IF(WEEKDAY(표8[[#This Row],[거래일자]])=4, 2000000,0)</f>
        <v>2000000</v>
      </c>
      <c r="E265" s="7"/>
      <c r="F265" s="7"/>
    </row>
    <row r="266" spans="1:6" x14ac:dyDescent="0.3">
      <c r="A266" s="3">
        <v>45582</v>
      </c>
      <c r="B266" s="5"/>
      <c r="C266" s="7"/>
      <c r="D266" s="7">
        <f>IF(WEEKDAY(표8[[#This Row],[거래일자]])=4, 2000000,0)</f>
        <v>0</v>
      </c>
      <c r="E266" s="7"/>
      <c r="F266" s="7"/>
    </row>
    <row r="267" spans="1:6" x14ac:dyDescent="0.3">
      <c r="A267" s="3">
        <v>45583</v>
      </c>
      <c r="B267" s="5"/>
      <c r="C267" s="7"/>
      <c r="D267" s="7">
        <f>IF(WEEKDAY(표8[[#This Row],[거래일자]])=4, 2000000,0)</f>
        <v>0</v>
      </c>
      <c r="E267" s="7"/>
      <c r="F267" s="7"/>
    </row>
    <row r="268" spans="1:6" x14ac:dyDescent="0.3">
      <c r="A268" s="3">
        <v>45584</v>
      </c>
      <c r="B268" s="5"/>
      <c r="C268" s="7"/>
      <c r="D268" s="7">
        <f>IF(WEEKDAY(표8[[#This Row],[거래일자]])=4, 2000000,0)</f>
        <v>0</v>
      </c>
      <c r="E268" s="7"/>
      <c r="F268" s="7"/>
    </row>
    <row r="269" spans="1:6" x14ac:dyDescent="0.3">
      <c r="A269" s="3">
        <v>45585</v>
      </c>
      <c r="B269" s="5"/>
      <c r="C269" s="7"/>
      <c r="D269" s="7">
        <f>IF(WEEKDAY(표8[[#This Row],[거래일자]])=4, 2000000,0)</f>
        <v>0</v>
      </c>
      <c r="E269" s="7"/>
      <c r="F269" s="7"/>
    </row>
    <row r="270" spans="1:6" x14ac:dyDescent="0.3">
      <c r="A270" s="3">
        <v>45586</v>
      </c>
      <c r="B270" s="5">
        <v>3171188</v>
      </c>
      <c r="C270" s="7"/>
      <c r="D270" s="7">
        <f>IF(WEEKDAY(표8[[#This Row],[거래일자]])=4, 2000000,0)</f>
        <v>0</v>
      </c>
      <c r="E270" s="7"/>
      <c r="F270" s="7"/>
    </row>
    <row r="271" spans="1:6" x14ac:dyDescent="0.3">
      <c r="A271" s="3">
        <v>45587</v>
      </c>
      <c r="B271" s="5"/>
      <c r="C271" s="7"/>
      <c r="D271" s="7">
        <f>IF(WEEKDAY(표8[[#This Row],[거래일자]])=4, 2000000,0)</f>
        <v>0</v>
      </c>
      <c r="E271" s="7"/>
      <c r="F271" s="7"/>
    </row>
    <row r="272" spans="1:6" x14ac:dyDescent="0.3">
      <c r="A272" s="3">
        <v>45588</v>
      </c>
      <c r="B272" s="5"/>
      <c r="C272" s="7"/>
      <c r="D272" s="7">
        <f>IF(WEEKDAY(표8[[#This Row],[거래일자]])=4, 2000000,0)</f>
        <v>2000000</v>
      </c>
      <c r="E272" s="7"/>
      <c r="F272" s="7"/>
    </row>
    <row r="273" spans="1:6" x14ac:dyDescent="0.3">
      <c r="A273" s="3">
        <v>45589</v>
      </c>
      <c r="B273" s="5"/>
      <c r="C273" s="7"/>
      <c r="D273" s="7">
        <f>IF(WEEKDAY(표8[[#This Row],[거래일자]])=4, 2000000,0)</f>
        <v>0</v>
      </c>
      <c r="E273" s="7"/>
      <c r="F273" s="7"/>
    </row>
    <row r="274" spans="1:6" x14ac:dyDescent="0.3">
      <c r="A274" s="3">
        <v>45590</v>
      </c>
      <c r="B274" s="5"/>
      <c r="C274" s="7"/>
      <c r="D274" s="7">
        <f>IF(WEEKDAY(표8[[#This Row],[거래일자]])=4, 2000000,0)</f>
        <v>0</v>
      </c>
      <c r="E274" s="7"/>
      <c r="F274" s="7"/>
    </row>
    <row r="275" spans="1:6" x14ac:dyDescent="0.3">
      <c r="A275" s="3">
        <v>45591</v>
      </c>
      <c r="B275" s="5"/>
      <c r="C275" s="7"/>
      <c r="D275" s="7">
        <f>IF(WEEKDAY(표8[[#This Row],[거래일자]])=4, 2000000,0)</f>
        <v>0</v>
      </c>
      <c r="E275" s="7"/>
      <c r="F275" s="7"/>
    </row>
    <row r="276" spans="1:6" x14ac:dyDescent="0.3">
      <c r="A276" s="3">
        <v>45592</v>
      </c>
      <c r="B276" s="5"/>
      <c r="C276" s="7"/>
      <c r="D276" s="7">
        <f>IF(WEEKDAY(표8[[#This Row],[거래일자]])=4, 2000000,0)</f>
        <v>0</v>
      </c>
      <c r="E276" s="7"/>
      <c r="F276" s="7"/>
    </row>
    <row r="277" spans="1:6" x14ac:dyDescent="0.3">
      <c r="A277" s="3">
        <v>45593</v>
      </c>
      <c r="B277" s="5"/>
      <c r="C277" s="7"/>
      <c r="D277" s="7">
        <f>IF(WEEKDAY(표8[[#This Row],[거래일자]])=4, 2000000,0)</f>
        <v>0</v>
      </c>
      <c r="E277" s="7"/>
      <c r="F277" s="7"/>
    </row>
    <row r="278" spans="1:6" x14ac:dyDescent="0.3">
      <c r="A278" s="3">
        <v>45594</v>
      </c>
      <c r="B278" s="5"/>
      <c r="C278" s="7"/>
      <c r="D278" s="7">
        <f>IF(WEEKDAY(표8[[#This Row],[거래일자]])=4, 2000000,0)</f>
        <v>0</v>
      </c>
      <c r="E278" s="7"/>
      <c r="F278" s="7"/>
    </row>
    <row r="279" spans="1:6" x14ac:dyDescent="0.3">
      <c r="A279" s="3">
        <v>45595</v>
      </c>
      <c r="B279" s="5"/>
      <c r="C279" s="7"/>
      <c r="D279" s="7">
        <f>IF(WEEKDAY(표8[[#This Row],[거래일자]])=4, 2000000,0)</f>
        <v>2000000</v>
      </c>
      <c r="E279" s="7"/>
      <c r="F279" s="7"/>
    </row>
    <row r="280" spans="1:6" x14ac:dyDescent="0.3">
      <c r="A280" s="3">
        <v>45596</v>
      </c>
      <c r="B280" s="5"/>
      <c r="C280" s="7"/>
      <c r="D280" s="7">
        <f>IF(WEEKDAY(표8[[#This Row],[거래일자]])=4, 2000000,0)</f>
        <v>0</v>
      </c>
      <c r="E280" s="7"/>
      <c r="F280" s="7"/>
    </row>
    <row r="281" spans="1:6" x14ac:dyDescent="0.3">
      <c r="A281" s="3">
        <v>45597</v>
      </c>
      <c r="B281" s="5"/>
      <c r="C281" s="7"/>
      <c r="D281" s="7">
        <f>IF(WEEKDAY(표8[[#This Row],[거래일자]])=4, 2000000,0)</f>
        <v>0</v>
      </c>
      <c r="E281" s="7"/>
      <c r="F281" s="7"/>
    </row>
    <row r="282" spans="1:6" x14ac:dyDescent="0.3">
      <c r="A282" s="3">
        <v>45598</v>
      </c>
      <c r="B282" s="5"/>
      <c r="C282" s="7"/>
      <c r="D282" s="7">
        <f>IF(WEEKDAY(표8[[#This Row],[거래일자]])=4, 2000000,0)</f>
        <v>0</v>
      </c>
      <c r="E282" s="7"/>
      <c r="F282" s="7"/>
    </row>
    <row r="283" spans="1:6" x14ac:dyDescent="0.3">
      <c r="A283" s="3">
        <v>45599</v>
      </c>
      <c r="B283" s="5"/>
      <c r="C283" s="7"/>
      <c r="D283" s="7">
        <f>IF(WEEKDAY(표8[[#This Row],[거래일자]])=4, 2000000,0)</f>
        <v>0</v>
      </c>
      <c r="E283" s="7"/>
      <c r="F283" s="7"/>
    </row>
    <row r="284" spans="1:6" x14ac:dyDescent="0.3">
      <c r="A284" s="3">
        <v>45600</v>
      </c>
      <c r="B284" s="5"/>
      <c r="C284" s="7"/>
      <c r="D284" s="7">
        <f>IF(WEEKDAY(표8[[#This Row],[거래일자]])=4, 2000000,0)</f>
        <v>0</v>
      </c>
      <c r="E284" s="7"/>
      <c r="F284" s="7"/>
    </row>
    <row r="285" spans="1:6" x14ac:dyDescent="0.3">
      <c r="A285" s="3">
        <v>45601</v>
      </c>
      <c r="B285" s="5"/>
      <c r="C285" s="7"/>
      <c r="D285" s="7">
        <f>IF(WEEKDAY(표8[[#This Row],[거래일자]])=4, 2000000,0)</f>
        <v>0</v>
      </c>
      <c r="E285" s="7"/>
      <c r="F285" s="7"/>
    </row>
    <row r="286" spans="1:6" x14ac:dyDescent="0.3">
      <c r="A286" s="3">
        <v>45602</v>
      </c>
      <c r="B286" s="5"/>
      <c r="C286" s="7"/>
      <c r="D286" s="7">
        <f>IF(WEEKDAY(표8[[#This Row],[거래일자]])=4, 2000000,0)</f>
        <v>2000000</v>
      </c>
      <c r="E286" s="7"/>
      <c r="F286" s="7"/>
    </row>
    <row r="287" spans="1:6" x14ac:dyDescent="0.3">
      <c r="A287" s="3">
        <v>45603</v>
      </c>
      <c r="B287" s="5"/>
      <c r="C287" s="7"/>
      <c r="D287" s="7">
        <f>IF(WEEKDAY(표8[[#This Row],[거래일자]])=4, 2000000,0)</f>
        <v>0</v>
      </c>
      <c r="E287" s="7"/>
      <c r="F287" s="7"/>
    </row>
    <row r="288" spans="1:6" x14ac:dyDescent="0.3">
      <c r="A288" s="3">
        <v>45604</v>
      </c>
      <c r="B288" s="5"/>
      <c r="C288" s="7"/>
      <c r="D288" s="7">
        <f>IF(WEEKDAY(표8[[#This Row],[거래일자]])=4, 2000000,0)</f>
        <v>0</v>
      </c>
      <c r="E288" s="7"/>
      <c r="F288" s="7"/>
    </row>
    <row r="289" spans="1:6" x14ac:dyDescent="0.3">
      <c r="A289" s="3">
        <v>45605</v>
      </c>
      <c r="B289" s="5"/>
      <c r="C289" s="7"/>
      <c r="D289" s="7">
        <f>IF(WEEKDAY(표8[[#This Row],[거래일자]])=4, 2000000,0)</f>
        <v>0</v>
      </c>
      <c r="E289" s="7"/>
      <c r="F289" s="7"/>
    </row>
    <row r="290" spans="1:6" x14ac:dyDescent="0.3">
      <c r="A290" s="3">
        <v>45606</v>
      </c>
      <c r="B290" s="5"/>
      <c r="C290" s="7"/>
      <c r="D290" s="7">
        <f>IF(WEEKDAY(표8[[#This Row],[거래일자]])=4, 2000000,0)</f>
        <v>0</v>
      </c>
      <c r="E290" s="7"/>
      <c r="F290" s="7"/>
    </row>
    <row r="291" spans="1:6" x14ac:dyDescent="0.3">
      <c r="A291" s="3">
        <v>45607</v>
      </c>
      <c r="B291" s="5"/>
      <c r="C291" s="7"/>
      <c r="D291" s="7">
        <f>IF(WEEKDAY(표8[[#This Row],[거래일자]])=4, 2000000,0)</f>
        <v>0</v>
      </c>
      <c r="E291" s="7"/>
      <c r="F291" s="7"/>
    </row>
    <row r="292" spans="1:6" x14ac:dyDescent="0.3">
      <c r="A292" s="3">
        <v>45608</v>
      </c>
      <c r="B292" s="5"/>
      <c r="C292" s="7"/>
      <c r="D292" s="7">
        <f>IF(WEEKDAY(표8[[#This Row],[거래일자]])=4, 2000000,0)</f>
        <v>0</v>
      </c>
      <c r="E292" s="7"/>
      <c r="F292" s="7"/>
    </row>
    <row r="293" spans="1:6" x14ac:dyDescent="0.3">
      <c r="A293" s="3">
        <v>45609</v>
      </c>
      <c r="B293" s="5"/>
      <c r="C293" s="7"/>
      <c r="D293" s="7">
        <f>IF(WEEKDAY(표8[[#This Row],[거래일자]])=4, 2000000,0)</f>
        <v>2000000</v>
      </c>
      <c r="E293" s="7"/>
      <c r="F293" s="7"/>
    </row>
    <row r="294" spans="1:6" x14ac:dyDescent="0.3">
      <c r="A294" s="3">
        <v>45610</v>
      </c>
      <c r="B294" s="5"/>
      <c r="C294" s="7"/>
      <c r="D294" s="7">
        <f>IF(WEEKDAY(표8[[#This Row],[거래일자]])=4, 2000000,0)</f>
        <v>0</v>
      </c>
      <c r="E294" s="7"/>
      <c r="F294" s="7"/>
    </row>
    <row r="295" spans="1:6" x14ac:dyDescent="0.3">
      <c r="A295" s="3">
        <v>45611</v>
      </c>
      <c r="B295" s="5"/>
      <c r="C295" s="7"/>
      <c r="D295" s="7">
        <f>IF(WEEKDAY(표8[[#This Row],[거래일자]])=4, 2000000,0)</f>
        <v>0</v>
      </c>
      <c r="E295" s="7"/>
      <c r="F295" s="7"/>
    </row>
    <row r="296" spans="1:6" x14ac:dyDescent="0.3">
      <c r="A296" s="3">
        <v>45612</v>
      </c>
      <c r="B296" s="5"/>
      <c r="C296" s="7"/>
      <c r="D296" s="7">
        <f>IF(WEEKDAY(표8[[#This Row],[거래일자]])=4, 2000000,0)</f>
        <v>0</v>
      </c>
      <c r="E296" s="7"/>
      <c r="F296" s="7"/>
    </row>
    <row r="297" spans="1:6" x14ac:dyDescent="0.3">
      <c r="A297" s="3">
        <v>45613</v>
      </c>
      <c r="B297" s="5"/>
      <c r="C297" s="7"/>
      <c r="D297" s="7">
        <f>IF(WEEKDAY(표8[[#This Row],[거래일자]])=4, 2000000,0)</f>
        <v>0</v>
      </c>
      <c r="E297" s="7"/>
      <c r="F297" s="7"/>
    </row>
    <row r="298" spans="1:6" x14ac:dyDescent="0.3">
      <c r="A298" s="3">
        <v>45614</v>
      </c>
      <c r="B298" s="5"/>
      <c r="C298" s="7"/>
      <c r="D298" s="7">
        <f>IF(WEEKDAY(표8[[#This Row],[거래일자]])=4, 2000000,0)</f>
        <v>0</v>
      </c>
      <c r="E298" s="7"/>
      <c r="F298" s="7"/>
    </row>
    <row r="299" spans="1:6" x14ac:dyDescent="0.3">
      <c r="A299" s="3">
        <v>45615</v>
      </c>
      <c r="B299" s="5"/>
      <c r="C299" s="7"/>
      <c r="D299" s="7">
        <f>IF(WEEKDAY(표8[[#This Row],[거래일자]])=4, 2000000,0)</f>
        <v>0</v>
      </c>
      <c r="E299" s="7"/>
      <c r="F299" s="7"/>
    </row>
    <row r="300" spans="1:6" x14ac:dyDescent="0.3">
      <c r="A300" s="3">
        <v>45616</v>
      </c>
      <c r="B300" s="5"/>
      <c r="C300" s="7"/>
      <c r="D300" s="7">
        <f>IF(WEEKDAY(표8[[#This Row],[거래일자]])=4, 2000000,0)</f>
        <v>2000000</v>
      </c>
      <c r="E300" s="7"/>
      <c r="F300" s="7"/>
    </row>
    <row r="301" spans="1:6" x14ac:dyDescent="0.3">
      <c r="A301" s="3">
        <v>45617</v>
      </c>
      <c r="B301" s="5">
        <v>3475413</v>
      </c>
      <c r="C301" s="7"/>
      <c r="D301" s="7">
        <f>IF(WEEKDAY(표8[[#This Row],[거래일자]])=4, 2000000,0)</f>
        <v>0</v>
      </c>
      <c r="E301" s="7"/>
      <c r="F301" s="7"/>
    </row>
    <row r="302" spans="1:6" x14ac:dyDescent="0.3">
      <c r="A302" s="3">
        <v>45618</v>
      </c>
      <c r="B302" s="5"/>
      <c r="C302" s="7">
        <v>1049029</v>
      </c>
      <c r="D302" s="7">
        <f>IF(WEEKDAY(표8[[#This Row],[거래일자]])=4, 2000000,0)</f>
        <v>0</v>
      </c>
      <c r="E302" s="7"/>
      <c r="F302" s="7"/>
    </row>
    <row r="303" spans="1:6" x14ac:dyDescent="0.3">
      <c r="A303" s="3">
        <v>45619</v>
      </c>
      <c r="B303" s="5"/>
      <c r="C303" s="7"/>
      <c r="D303" s="7">
        <f>IF(WEEKDAY(표8[[#This Row],[거래일자]])=4, 2000000,0)</f>
        <v>0</v>
      </c>
      <c r="E303" s="7"/>
      <c r="F303" s="7"/>
    </row>
    <row r="304" spans="1:6" x14ac:dyDescent="0.3">
      <c r="A304" s="3">
        <v>45620</v>
      </c>
      <c r="B304" s="5"/>
      <c r="C304" s="7"/>
      <c r="D304" s="7">
        <f>IF(WEEKDAY(표8[[#This Row],[거래일자]])=4, 2000000,0)</f>
        <v>0</v>
      </c>
      <c r="E304" s="7"/>
      <c r="F304" s="7"/>
    </row>
    <row r="305" spans="1:6" x14ac:dyDescent="0.3">
      <c r="A305" s="3">
        <v>45621</v>
      </c>
      <c r="B305" s="5"/>
      <c r="C305" s="7"/>
      <c r="D305" s="7">
        <f>IF(WEEKDAY(표8[[#This Row],[거래일자]])=4, 2000000,0)</f>
        <v>0</v>
      </c>
      <c r="E305" s="7"/>
      <c r="F305" s="7"/>
    </row>
    <row r="306" spans="1:6" x14ac:dyDescent="0.3">
      <c r="A306" s="3">
        <v>45622</v>
      </c>
      <c r="B306" s="5"/>
      <c r="C306" s="7"/>
      <c r="D306" s="7">
        <f>IF(WEEKDAY(표8[[#This Row],[거래일자]])=4, 2000000,0)</f>
        <v>0</v>
      </c>
      <c r="E306" s="7"/>
      <c r="F306" s="7"/>
    </row>
    <row r="307" spans="1:6" x14ac:dyDescent="0.3">
      <c r="A307" s="3">
        <v>45623</v>
      </c>
      <c r="B307" s="5"/>
      <c r="C307" s="7"/>
      <c r="D307" s="7">
        <f>IF(WEEKDAY(표8[[#This Row],[거래일자]])=4, 2000000,0)</f>
        <v>2000000</v>
      </c>
      <c r="E307" s="7"/>
      <c r="F307" s="7"/>
    </row>
    <row r="308" spans="1:6" x14ac:dyDescent="0.3">
      <c r="A308" s="3">
        <v>45624</v>
      </c>
      <c r="B308" s="5"/>
      <c r="C308" s="7"/>
      <c r="D308" s="7">
        <f>IF(WEEKDAY(표8[[#This Row],[거래일자]])=4, 2000000,0)</f>
        <v>0</v>
      </c>
      <c r="E308" s="7"/>
      <c r="F308" s="7"/>
    </row>
    <row r="309" spans="1:6" x14ac:dyDescent="0.3">
      <c r="A309" s="3">
        <v>45625</v>
      </c>
      <c r="B309" s="5"/>
      <c r="C309" s="7"/>
      <c r="D309" s="7">
        <f>IF(WEEKDAY(표8[[#This Row],[거래일자]])=4, 2000000,0)</f>
        <v>0</v>
      </c>
      <c r="E309" s="7"/>
      <c r="F309" s="7"/>
    </row>
    <row r="310" spans="1:6" x14ac:dyDescent="0.3">
      <c r="A310" s="3">
        <v>45626</v>
      </c>
      <c r="B310" s="5"/>
      <c r="C310" s="7"/>
      <c r="D310" s="7">
        <f>IF(WEEKDAY(표8[[#This Row],[거래일자]])=4, 2000000,0)</f>
        <v>0</v>
      </c>
      <c r="E310" s="7"/>
      <c r="F310" s="7"/>
    </row>
    <row r="311" spans="1:6" x14ac:dyDescent="0.3">
      <c r="A311" s="3">
        <v>45627</v>
      </c>
      <c r="B311" s="5"/>
      <c r="C311" s="7"/>
      <c r="D311" s="7">
        <f>IF(WEEKDAY(표8[[#This Row],[거래일자]])=4, 2000000,0)</f>
        <v>0</v>
      </c>
      <c r="E311" s="7"/>
      <c r="F311" s="7"/>
    </row>
    <row r="312" spans="1:6" x14ac:dyDescent="0.3">
      <c r="A312" s="3">
        <v>45628</v>
      </c>
      <c r="B312" s="5"/>
      <c r="C312" s="7"/>
      <c r="D312" s="7">
        <f>IF(WEEKDAY(표8[[#This Row],[거래일자]])=4, 2000000,0)</f>
        <v>0</v>
      </c>
      <c r="E312" s="7"/>
      <c r="F312" s="7"/>
    </row>
    <row r="313" spans="1:6" x14ac:dyDescent="0.3">
      <c r="A313" s="3">
        <v>45629</v>
      </c>
      <c r="B313" s="5"/>
      <c r="C313" s="7"/>
      <c r="D313" s="7">
        <f>IF(WEEKDAY(표8[[#This Row],[거래일자]])=4, 2000000,0)</f>
        <v>0</v>
      </c>
      <c r="E313" s="7"/>
      <c r="F313" s="7"/>
    </row>
    <row r="314" spans="1:6" x14ac:dyDescent="0.3">
      <c r="A314" s="3">
        <v>45630</v>
      </c>
      <c r="B314" s="5"/>
      <c r="C314" s="7"/>
      <c r="D314" s="7">
        <f>IF(WEEKDAY(표8[[#This Row],[거래일자]])=4, 2000000,0)</f>
        <v>2000000</v>
      </c>
      <c r="E314" s="7"/>
      <c r="F314" s="7"/>
    </row>
    <row r="315" spans="1:6" x14ac:dyDescent="0.3">
      <c r="A315" s="3">
        <v>45631</v>
      </c>
      <c r="B315" s="5"/>
      <c r="C315" s="7"/>
      <c r="D315" s="7">
        <f>IF(WEEKDAY(표8[[#This Row],[거래일자]])=4, 2000000,0)</f>
        <v>0</v>
      </c>
      <c r="E315" s="7"/>
      <c r="F315" s="7"/>
    </row>
    <row r="316" spans="1:6" x14ac:dyDescent="0.3">
      <c r="A316" s="3">
        <v>45632</v>
      </c>
      <c r="B316" s="5"/>
      <c r="C316" s="7"/>
      <c r="D316" s="7">
        <f>IF(WEEKDAY(표8[[#This Row],[거래일자]])=4, 2000000,0)</f>
        <v>0</v>
      </c>
      <c r="E316" s="7"/>
      <c r="F316" s="7"/>
    </row>
    <row r="317" spans="1:6" x14ac:dyDescent="0.3">
      <c r="A317" s="3">
        <v>45633</v>
      </c>
      <c r="B317" s="5"/>
      <c r="C317" s="7"/>
      <c r="D317" s="7">
        <f>IF(WEEKDAY(표8[[#This Row],[거래일자]])=4, 2000000,0)</f>
        <v>0</v>
      </c>
      <c r="E317" s="7"/>
      <c r="F317" s="7"/>
    </row>
    <row r="318" spans="1:6" x14ac:dyDescent="0.3">
      <c r="A318" s="3">
        <v>45634</v>
      </c>
      <c r="B318" s="5"/>
      <c r="C318" s="7"/>
      <c r="D318" s="7">
        <f>IF(WEEKDAY(표8[[#This Row],[거래일자]])=4, 2000000,0)</f>
        <v>0</v>
      </c>
      <c r="E318" s="7"/>
      <c r="F318" s="7"/>
    </row>
    <row r="319" spans="1:6" x14ac:dyDescent="0.3">
      <c r="A319" s="3">
        <v>45635</v>
      </c>
      <c r="B319" s="5"/>
      <c r="C319" s="7"/>
      <c r="D319" s="7">
        <f>IF(WEEKDAY(표8[[#This Row],[거래일자]])=4, 2000000,0)</f>
        <v>0</v>
      </c>
      <c r="E319" s="7"/>
      <c r="F319" s="7"/>
    </row>
    <row r="320" spans="1:6" x14ac:dyDescent="0.3">
      <c r="A320" s="3">
        <v>45636</v>
      </c>
      <c r="B320" s="5"/>
      <c r="C320" s="7"/>
      <c r="D320" s="7">
        <f>IF(WEEKDAY(표8[[#This Row],[거래일자]])=4, 2000000,0)</f>
        <v>0</v>
      </c>
      <c r="E320" s="7"/>
      <c r="F320" s="7"/>
    </row>
    <row r="321" spans="1:6" x14ac:dyDescent="0.3">
      <c r="A321" s="3">
        <v>45637</v>
      </c>
      <c r="B321" s="5"/>
      <c r="C321" s="7"/>
      <c r="D321" s="7">
        <f>IF(WEEKDAY(표8[[#This Row],[거래일자]])=4, 2000000,0)</f>
        <v>2000000</v>
      </c>
      <c r="E321" s="7"/>
      <c r="F321" s="7"/>
    </row>
    <row r="322" spans="1:6" x14ac:dyDescent="0.3">
      <c r="A322" s="3">
        <v>45638</v>
      </c>
      <c r="B322" s="5"/>
      <c r="C322" s="7"/>
      <c r="D322" s="7">
        <f>IF(WEEKDAY(표8[[#This Row],[거래일자]])=4, 2000000,0)</f>
        <v>0</v>
      </c>
      <c r="E322" s="7"/>
      <c r="F322" s="7"/>
    </row>
    <row r="323" spans="1:6" x14ac:dyDescent="0.3">
      <c r="A323" s="3">
        <v>45639</v>
      </c>
      <c r="B323" s="5"/>
      <c r="C323" s="7"/>
      <c r="D323" s="7">
        <f>IF(WEEKDAY(표8[[#This Row],[거래일자]])=4, 2000000,0)</f>
        <v>0</v>
      </c>
      <c r="E323" s="7"/>
      <c r="F323" s="7"/>
    </row>
    <row r="324" spans="1:6" x14ac:dyDescent="0.3">
      <c r="A324" s="3">
        <v>45640</v>
      </c>
      <c r="B324" s="5"/>
      <c r="C324" s="7"/>
      <c r="D324" s="7">
        <f>IF(WEEKDAY(표8[[#This Row],[거래일자]])=4, 2000000,0)</f>
        <v>0</v>
      </c>
      <c r="E324" s="7"/>
      <c r="F324" s="7"/>
    </row>
    <row r="325" spans="1:6" x14ac:dyDescent="0.3">
      <c r="A325" s="3">
        <v>45641</v>
      </c>
      <c r="B325" s="5"/>
      <c r="C325" s="7"/>
      <c r="D325" s="7">
        <f>IF(WEEKDAY(표8[[#This Row],[거래일자]])=4, 2000000,0)</f>
        <v>0</v>
      </c>
      <c r="E325" s="7"/>
      <c r="F325" s="7"/>
    </row>
    <row r="326" spans="1:6" x14ac:dyDescent="0.3">
      <c r="A326" s="3">
        <v>45642</v>
      </c>
      <c r="B326" s="5"/>
      <c r="C326" s="7"/>
      <c r="D326" s="7">
        <f>IF(WEEKDAY(표8[[#This Row],[거래일자]])=4, 2000000,0)</f>
        <v>0</v>
      </c>
      <c r="E326" s="7"/>
      <c r="F326" s="7"/>
    </row>
    <row r="327" spans="1:6" x14ac:dyDescent="0.3">
      <c r="A327" s="3">
        <v>45643</v>
      </c>
      <c r="B327" s="5"/>
      <c r="C327" s="7"/>
      <c r="D327" s="7">
        <f>IF(WEEKDAY(표8[[#This Row],[거래일자]])=4, 2000000,0)</f>
        <v>0</v>
      </c>
      <c r="E327" s="7"/>
      <c r="F327" s="7"/>
    </row>
    <row r="328" spans="1:6" x14ac:dyDescent="0.3">
      <c r="A328" s="3">
        <v>45644</v>
      </c>
      <c r="B328" s="5"/>
      <c r="C328" s="7"/>
      <c r="D328" s="7">
        <f>IF(WEEKDAY(표8[[#This Row],[거래일자]])=4, 2000000,0)</f>
        <v>2000000</v>
      </c>
      <c r="E328" s="7"/>
      <c r="F328" s="7"/>
    </row>
    <row r="329" spans="1:6" x14ac:dyDescent="0.3">
      <c r="A329" s="3">
        <v>45645</v>
      </c>
      <c r="B329" s="5"/>
      <c r="C329" s="7"/>
      <c r="D329" s="7">
        <f>IF(WEEKDAY(표8[[#This Row],[거래일자]])=4, 2000000,0)</f>
        <v>0</v>
      </c>
      <c r="E329" s="7"/>
      <c r="F329" s="7"/>
    </row>
    <row r="330" spans="1:6" x14ac:dyDescent="0.3">
      <c r="A330" s="3">
        <v>45646</v>
      </c>
      <c r="B330" s="5"/>
      <c r="C330" s="7"/>
      <c r="D330" s="7">
        <f>IF(WEEKDAY(표8[[#This Row],[거래일자]])=4, 2000000,0)</f>
        <v>0</v>
      </c>
      <c r="E330" s="7"/>
      <c r="F330" s="7"/>
    </row>
    <row r="331" spans="1:6" x14ac:dyDescent="0.3">
      <c r="A331" s="3">
        <v>45647</v>
      </c>
      <c r="B331" s="5"/>
      <c r="C331" s="7"/>
      <c r="D331" s="7">
        <f>IF(WEEKDAY(표8[[#This Row],[거래일자]])=4, 2000000,0)</f>
        <v>0</v>
      </c>
      <c r="E331" s="7"/>
      <c r="F331" s="7"/>
    </row>
    <row r="332" spans="1:6" x14ac:dyDescent="0.3">
      <c r="A332" s="3">
        <v>45648</v>
      </c>
      <c r="B332" s="5"/>
      <c r="C332" s="7"/>
      <c r="D332" s="7">
        <f>IF(WEEKDAY(표8[[#This Row],[거래일자]])=4, 2000000,0)</f>
        <v>0</v>
      </c>
      <c r="E332" s="7"/>
      <c r="F332" s="7"/>
    </row>
    <row r="333" spans="1:6" x14ac:dyDescent="0.3">
      <c r="A333" s="3">
        <v>45649</v>
      </c>
      <c r="B333" s="5"/>
      <c r="C333" s="7"/>
      <c r="D333" s="7">
        <f>IF(WEEKDAY(표8[[#This Row],[거래일자]])=4, 2000000,0)</f>
        <v>0</v>
      </c>
      <c r="E333" s="7"/>
      <c r="F333" s="7"/>
    </row>
    <row r="334" spans="1:6" x14ac:dyDescent="0.3">
      <c r="A334" s="3">
        <v>45650</v>
      </c>
      <c r="B334" s="5"/>
      <c r="C334" s="7"/>
      <c r="D334" s="7">
        <f>IF(WEEKDAY(표8[[#This Row],[거래일자]])=4, 2000000,0)</f>
        <v>0</v>
      </c>
      <c r="E334" s="7"/>
      <c r="F334" s="7"/>
    </row>
    <row r="335" spans="1:6" x14ac:dyDescent="0.3">
      <c r="A335" s="3">
        <v>45651</v>
      </c>
      <c r="B335" s="5"/>
      <c r="C335" s="7"/>
      <c r="D335" s="7">
        <f>IF(WEEKDAY(표8[[#This Row],[거래일자]])=4, 2000000,0)</f>
        <v>2000000</v>
      </c>
      <c r="E335" s="7"/>
      <c r="F335" s="7"/>
    </row>
    <row r="336" spans="1:6" x14ac:dyDescent="0.3">
      <c r="A336" s="3">
        <v>45652</v>
      </c>
      <c r="B336" s="5"/>
      <c r="C336" s="7"/>
      <c r="D336" s="7">
        <f>IF(WEEKDAY(표8[[#This Row],[거래일자]])=4, 2000000,0)</f>
        <v>0</v>
      </c>
      <c r="E336" s="7"/>
      <c r="F336" s="7"/>
    </row>
    <row r="337" spans="1:6" x14ac:dyDescent="0.3">
      <c r="A337" s="3">
        <v>45653</v>
      </c>
      <c r="B337" s="5"/>
      <c r="C337" s="7"/>
      <c r="D337" s="7">
        <f>IF(WEEKDAY(표8[[#This Row],[거래일자]])=4, 2000000,0)</f>
        <v>0</v>
      </c>
      <c r="E337" s="7"/>
      <c r="F337" s="7"/>
    </row>
    <row r="338" spans="1:6" x14ac:dyDescent="0.3">
      <c r="A338" s="3">
        <v>45654</v>
      </c>
      <c r="B338" s="5"/>
      <c r="C338" s="7"/>
      <c r="D338" s="7">
        <f>IF(WEEKDAY(표8[[#This Row],[거래일자]])=4, 2000000,0)</f>
        <v>0</v>
      </c>
      <c r="E338" s="7"/>
      <c r="F338" s="7"/>
    </row>
    <row r="339" spans="1:6" x14ac:dyDescent="0.3">
      <c r="A339" s="3">
        <v>45655</v>
      </c>
      <c r="B339" s="5"/>
      <c r="C339" s="7"/>
      <c r="D339" s="7">
        <f>IF(WEEKDAY(표8[[#This Row],[거래일자]])=4, 2000000,0)</f>
        <v>0</v>
      </c>
      <c r="E339" s="7"/>
      <c r="F339" s="7"/>
    </row>
    <row r="340" spans="1:6" x14ac:dyDescent="0.3">
      <c r="A340" s="3">
        <v>45656</v>
      </c>
      <c r="B340" s="5"/>
      <c r="C340" s="7"/>
      <c r="D340" s="7">
        <f>IF(WEEKDAY(표8[[#This Row],[거래일자]])=4, 2000000,0)</f>
        <v>0</v>
      </c>
      <c r="E340" s="7"/>
      <c r="F340" s="7"/>
    </row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D11" sqref="D11"/>
    </sheetView>
  </sheetViews>
  <sheetFormatPr defaultRowHeight="16.5" x14ac:dyDescent="0.3"/>
  <cols>
    <col min="2" max="4" width="12" bestFit="1" customWidth="1"/>
    <col min="7" max="7" width="11" bestFit="1" customWidth="1"/>
  </cols>
  <sheetData>
    <row r="1" spans="1:7" x14ac:dyDescent="0.3">
      <c r="B1" t="s">
        <v>221</v>
      </c>
      <c r="C1" t="s">
        <v>222</v>
      </c>
      <c r="D1" t="s">
        <v>223</v>
      </c>
      <c r="F1" t="s">
        <v>225</v>
      </c>
      <c r="G1" t="s">
        <v>226</v>
      </c>
    </row>
    <row r="2" spans="1:7" x14ac:dyDescent="0.3">
      <c r="A2" t="s">
        <v>220</v>
      </c>
      <c r="B2" s="50">
        <v>10443431</v>
      </c>
      <c r="C2" s="50">
        <v>6807555</v>
      </c>
      <c r="D2" s="55">
        <f t="shared" ref="D2:D13" si="0">B2-C2</f>
        <v>3635876</v>
      </c>
      <c r="F2">
        <f t="shared" ref="F2:F13" si="1">$B2/$B$14</f>
        <v>0.12180896542303092</v>
      </c>
      <c r="G2">
        <f t="shared" ref="G2:G13" si="2">ROUND(F2*$F$14,0)</f>
        <v>5846830</v>
      </c>
    </row>
    <row r="3" spans="1:7" x14ac:dyDescent="0.3">
      <c r="A3" t="s">
        <v>209</v>
      </c>
      <c r="B3" s="50">
        <v>5171099</v>
      </c>
      <c r="C3" s="50">
        <v>2887524</v>
      </c>
      <c r="D3" s="55">
        <f t="shared" si="0"/>
        <v>2283575</v>
      </c>
      <c r="F3">
        <f t="shared" si="1"/>
        <v>6.0314107431750141E-2</v>
      </c>
      <c r="G3">
        <f t="shared" si="2"/>
        <v>2895077</v>
      </c>
    </row>
    <row r="4" spans="1:7" x14ac:dyDescent="0.3">
      <c r="A4" t="s">
        <v>210</v>
      </c>
      <c r="B4" s="50">
        <v>12767200</v>
      </c>
      <c r="C4" s="50">
        <v>4622625</v>
      </c>
      <c r="D4" s="55">
        <f t="shared" si="0"/>
        <v>8144575</v>
      </c>
      <c r="F4">
        <f t="shared" si="1"/>
        <v>0.14891269194471821</v>
      </c>
      <c r="G4">
        <f t="shared" si="2"/>
        <v>7147809</v>
      </c>
    </row>
    <row r="5" spans="1:7" x14ac:dyDescent="0.3">
      <c r="A5" t="s">
        <v>211</v>
      </c>
      <c r="B5" s="50">
        <v>5920196</v>
      </c>
      <c r="C5" s="50">
        <v>5754350</v>
      </c>
      <c r="D5" s="55">
        <f t="shared" si="0"/>
        <v>165846</v>
      </c>
      <c r="F5">
        <f t="shared" si="1"/>
        <v>6.9051344319847177E-2</v>
      </c>
      <c r="G5">
        <f t="shared" si="2"/>
        <v>3314465</v>
      </c>
    </row>
    <row r="6" spans="1:7" x14ac:dyDescent="0.3">
      <c r="A6" t="s">
        <v>212</v>
      </c>
      <c r="B6" s="50">
        <v>4793340</v>
      </c>
      <c r="C6" s="50">
        <v>1829193</v>
      </c>
      <c r="D6" s="55">
        <f t="shared" si="0"/>
        <v>2964147</v>
      </c>
      <c r="F6">
        <f t="shared" si="1"/>
        <v>5.5908042703669995E-2</v>
      </c>
      <c r="G6">
        <f t="shared" si="2"/>
        <v>2683586</v>
      </c>
    </row>
    <row r="7" spans="1:7" x14ac:dyDescent="0.3">
      <c r="A7" t="s">
        <v>213</v>
      </c>
      <c r="B7" s="50">
        <v>7380920</v>
      </c>
      <c r="C7" s="50">
        <v>2236670</v>
      </c>
      <c r="D7" s="55">
        <f t="shared" si="0"/>
        <v>5144250</v>
      </c>
      <c r="F7">
        <f t="shared" si="1"/>
        <v>8.6088779546698538E-2</v>
      </c>
      <c r="G7">
        <f t="shared" si="2"/>
        <v>4132261</v>
      </c>
    </row>
    <row r="8" spans="1:7" x14ac:dyDescent="0.3">
      <c r="A8" t="s">
        <v>214</v>
      </c>
      <c r="B8" s="50">
        <v>5444912</v>
      </c>
      <c r="C8" s="50">
        <v>3595160</v>
      </c>
      <c r="D8" s="55">
        <f t="shared" si="0"/>
        <v>1849752</v>
      </c>
      <c r="F8">
        <f t="shared" si="1"/>
        <v>6.3507778003172158E-2</v>
      </c>
      <c r="G8">
        <f t="shared" si="2"/>
        <v>3048373</v>
      </c>
    </row>
    <row r="9" spans="1:7" x14ac:dyDescent="0.3">
      <c r="A9" t="s">
        <v>215</v>
      </c>
      <c r="B9" s="50">
        <v>4448197</v>
      </c>
      <c r="C9" s="50">
        <v>5077573</v>
      </c>
      <c r="D9" s="55">
        <f t="shared" si="0"/>
        <v>-629376</v>
      </c>
      <c r="F9">
        <f t="shared" si="1"/>
        <v>5.1882400962655846E-2</v>
      </c>
      <c r="G9">
        <f t="shared" si="2"/>
        <v>2490355</v>
      </c>
    </row>
    <row r="10" spans="1:7" x14ac:dyDescent="0.3">
      <c r="A10" t="s">
        <v>216</v>
      </c>
      <c r="B10" s="50">
        <v>11240126</v>
      </c>
      <c r="C10" s="50">
        <v>1935450</v>
      </c>
      <c r="D10" s="55">
        <f t="shared" si="0"/>
        <v>9304676</v>
      </c>
      <c r="F10">
        <f t="shared" si="1"/>
        <v>0.13110137073577743</v>
      </c>
      <c r="G10">
        <f t="shared" si="2"/>
        <v>6292866</v>
      </c>
    </row>
    <row r="11" spans="1:7" x14ac:dyDescent="0.3">
      <c r="A11" t="s">
        <v>217</v>
      </c>
      <c r="B11" s="50">
        <v>6254766</v>
      </c>
      <c r="C11" s="50">
        <v>4187759</v>
      </c>
      <c r="D11" s="55">
        <f t="shared" si="0"/>
        <v>2067007</v>
      </c>
      <c r="F11">
        <f t="shared" si="1"/>
        <v>7.2953665842494617E-2</v>
      </c>
      <c r="G11">
        <f t="shared" si="2"/>
        <v>3501776</v>
      </c>
    </row>
    <row r="12" spans="1:7" x14ac:dyDescent="0.3">
      <c r="A12" t="s">
        <v>218</v>
      </c>
      <c r="B12" s="50">
        <v>5664279</v>
      </c>
      <c r="C12" s="50">
        <v>1892555</v>
      </c>
      <c r="D12" s="55">
        <f t="shared" si="0"/>
        <v>3771724</v>
      </c>
      <c r="F12">
        <f t="shared" si="1"/>
        <v>6.6066407185282325E-2</v>
      </c>
      <c r="G12">
        <f t="shared" si="2"/>
        <v>3171188</v>
      </c>
    </row>
    <row r="13" spans="1:7" x14ac:dyDescent="0.3">
      <c r="A13" t="s">
        <v>219</v>
      </c>
      <c r="B13" s="50">
        <v>6207678</v>
      </c>
      <c r="C13" s="50">
        <v>3414199</v>
      </c>
      <c r="D13" s="55">
        <f t="shared" si="0"/>
        <v>2793479</v>
      </c>
      <c r="F13">
        <f t="shared" si="1"/>
        <v>7.2404445900902656E-2</v>
      </c>
      <c r="G13">
        <f t="shared" si="2"/>
        <v>3475413</v>
      </c>
    </row>
    <row r="14" spans="1:7" x14ac:dyDescent="0.3">
      <c r="A14" t="s">
        <v>224</v>
      </c>
      <c r="B14" s="55">
        <f>SUM(B2:B13)</f>
        <v>85736144</v>
      </c>
      <c r="C14" s="55">
        <f>SUM(C2:C13)</f>
        <v>44240613</v>
      </c>
      <c r="D14" s="55">
        <f>SUM(D2:D13)</f>
        <v>41495531</v>
      </c>
      <c r="F14">
        <v>48000000</v>
      </c>
    </row>
    <row r="15" spans="1:7" x14ac:dyDescent="0.3">
      <c r="B15" s="50"/>
      <c r="C15" s="50"/>
      <c r="D15" s="55"/>
    </row>
  </sheetData>
  <phoneticPr fontId="7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zoomScaleNormal="80" zoomScaleSheetLayoutView="100" workbookViewId="0">
      <selection activeCell="C3" sqref="C3"/>
    </sheetView>
  </sheetViews>
  <sheetFormatPr defaultRowHeight="16.5" x14ac:dyDescent="0.3"/>
  <cols>
    <col min="1" max="1" width="12.25" customWidth="1"/>
    <col min="2" max="2" width="11.5" bestFit="1" customWidth="1"/>
  </cols>
  <sheetData>
    <row r="1" spans="1:2" x14ac:dyDescent="0.3">
      <c r="A1" t="s">
        <v>158</v>
      </c>
      <c r="B1">
        <f>SUM(외화자산평가!$F:$F)/-SUMIF(외화자산평가!$T:$T,"&lt;0",외화자산평가!$T:$T)</f>
        <v>85.565839325755817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D9" sqref="D9"/>
    </sheetView>
  </sheetViews>
  <sheetFormatPr defaultRowHeight="16.5" x14ac:dyDescent="0.3"/>
  <cols>
    <col min="1" max="1" width="11.125" style="31" bestFit="1" customWidth="1"/>
    <col min="2" max="2" width="21.375" bestFit="1" customWidth="1"/>
    <col min="3" max="3" width="11.5" style="50" customWidth="1"/>
    <col min="4" max="4" width="46.625" customWidth="1"/>
    <col min="7" max="7" width="11.875" bestFit="1" customWidth="1"/>
    <col min="10" max="10" width="13.75" customWidth="1"/>
    <col min="12" max="12" width="10.25" customWidth="1"/>
  </cols>
  <sheetData>
    <row r="1" spans="1:10" x14ac:dyDescent="0.3">
      <c r="A1" s="31" t="s">
        <v>318</v>
      </c>
      <c r="B1" t="s">
        <v>319</v>
      </c>
      <c r="C1" s="50" t="s">
        <v>337</v>
      </c>
      <c r="D1" t="s">
        <v>320</v>
      </c>
      <c r="E1" t="s">
        <v>321</v>
      </c>
      <c r="F1" t="s">
        <v>415</v>
      </c>
      <c r="G1" t="s">
        <v>322</v>
      </c>
      <c r="H1" t="s">
        <v>323</v>
      </c>
      <c r="I1" t="s">
        <v>420</v>
      </c>
      <c r="J1" t="s">
        <v>419</v>
      </c>
    </row>
    <row r="2" spans="1:10" x14ac:dyDescent="0.3">
      <c r="A2" s="31" t="s">
        <v>324</v>
      </c>
      <c r="B2" t="s">
        <v>384</v>
      </c>
      <c r="D2" t="s">
        <v>325</v>
      </c>
      <c r="E2" t="s">
        <v>326</v>
      </c>
      <c r="F2" t="s">
        <v>416</v>
      </c>
      <c r="G2" t="s">
        <v>21</v>
      </c>
      <c r="H2" t="s">
        <v>327</v>
      </c>
      <c r="J2" s="50">
        <v>0</v>
      </c>
    </row>
    <row r="3" spans="1:10" x14ac:dyDescent="0.3">
      <c r="A3" s="31" t="s">
        <v>332</v>
      </c>
      <c r="B3" t="s">
        <v>330</v>
      </c>
      <c r="D3" t="s">
        <v>330</v>
      </c>
      <c r="E3" t="s">
        <v>326</v>
      </c>
      <c r="F3" t="s">
        <v>416</v>
      </c>
      <c r="G3" t="s">
        <v>328</v>
      </c>
      <c r="H3" t="s">
        <v>329</v>
      </c>
      <c r="J3" s="50">
        <v>0</v>
      </c>
    </row>
    <row r="4" spans="1:10" x14ac:dyDescent="0.3">
      <c r="A4" s="31" t="s">
        <v>333</v>
      </c>
      <c r="B4" t="s">
        <v>331</v>
      </c>
      <c r="D4" t="s">
        <v>331</v>
      </c>
      <c r="E4" t="s">
        <v>326</v>
      </c>
      <c r="F4" t="s">
        <v>416</v>
      </c>
      <c r="G4" t="s">
        <v>328</v>
      </c>
      <c r="H4" t="s">
        <v>329</v>
      </c>
      <c r="J4" s="50">
        <v>0</v>
      </c>
    </row>
    <row r="5" spans="1:10" x14ac:dyDescent="0.3">
      <c r="A5" s="31">
        <v>226490</v>
      </c>
      <c r="B5" t="s">
        <v>334</v>
      </c>
      <c r="C5" s="50">
        <v>3648855</v>
      </c>
      <c r="D5" t="s">
        <v>515</v>
      </c>
      <c r="E5" t="s">
        <v>326</v>
      </c>
      <c r="F5" t="s">
        <v>416</v>
      </c>
      <c r="G5" t="s">
        <v>335</v>
      </c>
      <c r="H5" t="s">
        <v>336</v>
      </c>
      <c r="J5" s="50">
        <v>0</v>
      </c>
    </row>
    <row r="6" spans="1:10" x14ac:dyDescent="0.3">
      <c r="A6" s="31" t="s">
        <v>370</v>
      </c>
      <c r="B6" t="s">
        <v>374</v>
      </c>
      <c r="C6" s="50">
        <v>15156281</v>
      </c>
      <c r="D6" t="s">
        <v>338</v>
      </c>
      <c r="E6" t="s">
        <v>347</v>
      </c>
      <c r="F6" t="s">
        <v>417</v>
      </c>
      <c r="G6" t="s">
        <v>328</v>
      </c>
      <c r="H6" t="s">
        <v>329</v>
      </c>
      <c r="J6" s="50">
        <v>0</v>
      </c>
    </row>
    <row r="7" spans="1:10" x14ac:dyDescent="0.3">
      <c r="A7" s="31" t="s">
        <v>372</v>
      </c>
      <c r="B7" t="s">
        <v>373</v>
      </c>
      <c r="C7" s="50">
        <v>9950017</v>
      </c>
      <c r="D7" t="s">
        <v>339</v>
      </c>
      <c r="E7" t="s">
        <v>347</v>
      </c>
      <c r="F7" t="s">
        <v>418</v>
      </c>
      <c r="G7" t="s">
        <v>328</v>
      </c>
      <c r="H7" t="s">
        <v>329</v>
      </c>
      <c r="J7" s="50">
        <v>0</v>
      </c>
    </row>
    <row r="8" spans="1:10" x14ac:dyDescent="0.3">
      <c r="A8" s="31" t="s">
        <v>357</v>
      </c>
      <c r="B8" t="s">
        <v>375</v>
      </c>
      <c r="C8" s="50">
        <v>4252948</v>
      </c>
      <c r="D8" t="s">
        <v>349</v>
      </c>
      <c r="E8" t="s">
        <v>347</v>
      </c>
      <c r="F8" t="s">
        <v>416</v>
      </c>
      <c r="G8" t="s">
        <v>350</v>
      </c>
      <c r="H8" t="s">
        <v>351</v>
      </c>
      <c r="J8" s="50">
        <v>0</v>
      </c>
    </row>
    <row r="9" spans="1:10" x14ac:dyDescent="0.3">
      <c r="A9" s="31" t="s">
        <v>359</v>
      </c>
      <c r="B9" t="s">
        <v>376</v>
      </c>
      <c r="C9" s="50">
        <v>4200467</v>
      </c>
      <c r="D9" t="s">
        <v>340</v>
      </c>
      <c r="E9" t="s">
        <v>347</v>
      </c>
      <c r="F9" t="s">
        <v>416</v>
      </c>
      <c r="G9" t="s">
        <v>328</v>
      </c>
      <c r="H9" t="s">
        <v>329</v>
      </c>
      <c r="J9" s="50">
        <v>0</v>
      </c>
    </row>
    <row r="10" spans="1:10" x14ac:dyDescent="0.3">
      <c r="A10" s="31" t="s">
        <v>361</v>
      </c>
      <c r="B10" t="s">
        <v>377</v>
      </c>
      <c r="C10" s="50">
        <v>2109942</v>
      </c>
      <c r="D10" t="s">
        <v>341</v>
      </c>
      <c r="E10" t="s">
        <v>347</v>
      </c>
      <c r="F10" t="s">
        <v>416</v>
      </c>
      <c r="G10" t="s">
        <v>328</v>
      </c>
      <c r="H10" t="s">
        <v>329</v>
      </c>
      <c r="J10" s="50">
        <v>0</v>
      </c>
    </row>
    <row r="11" spans="1:10" x14ac:dyDescent="0.3">
      <c r="A11" s="31" t="s">
        <v>362</v>
      </c>
      <c r="B11" t="s">
        <v>378</v>
      </c>
      <c r="C11" s="50">
        <v>2107970</v>
      </c>
      <c r="D11" t="s">
        <v>342</v>
      </c>
      <c r="E11" t="s">
        <v>347</v>
      </c>
      <c r="F11" t="s">
        <v>417</v>
      </c>
      <c r="G11" t="s">
        <v>328</v>
      </c>
      <c r="H11" t="s">
        <v>329</v>
      </c>
      <c r="J11" s="50">
        <v>0</v>
      </c>
    </row>
    <row r="12" spans="1:10" x14ac:dyDescent="0.3">
      <c r="A12" s="31" t="s">
        <v>363</v>
      </c>
      <c r="B12" t="s">
        <v>379</v>
      </c>
      <c r="C12" s="50">
        <v>4245573</v>
      </c>
      <c r="D12" t="s">
        <v>343</v>
      </c>
      <c r="E12" t="s">
        <v>347</v>
      </c>
      <c r="F12" t="s">
        <v>416</v>
      </c>
      <c r="G12" t="s">
        <v>350</v>
      </c>
      <c r="H12" t="s">
        <v>351</v>
      </c>
      <c r="J12" s="50">
        <v>0</v>
      </c>
    </row>
    <row r="13" spans="1:10" x14ac:dyDescent="0.3">
      <c r="A13" s="31" t="s">
        <v>364</v>
      </c>
      <c r="B13" t="s">
        <v>380</v>
      </c>
      <c r="C13" s="50">
        <v>6843270</v>
      </c>
      <c r="D13" t="s">
        <v>344</v>
      </c>
      <c r="E13" t="s">
        <v>347</v>
      </c>
      <c r="F13" t="s">
        <v>416</v>
      </c>
      <c r="G13" t="s">
        <v>352</v>
      </c>
      <c r="H13" t="s">
        <v>353</v>
      </c>
      <c r="J13" s="50">
        <v>0</v>
      </c>
    </row>
    <row r="14" spans="1:10" x14ac:dyDescent="0.3">
      <c r="A14" s="31" t="s">
        <v>365</v>
      </c>
      <c r="B14" t="s">
        <v>381</v>
      </c>
      <c r="C14" s="50">
        <v>2056309</v>
      </c>
      <c r="D14" t="s">
        <v>345</v>
      </c>
      <c r="E14" t="s">
        <v>347</v>
      </c>
      <c r="F14" t="s">
        <v>416</v>
      </c>
      <c r="G14" t="s">
        <v>354</v>
      </c>
      <c r="H14" t="s">
        <v>355</v>
      </c>
      <c r="J14" s="50">
        <v>0</v>
      </c>
    </row>
    <row r="15" spans="1:10" x14ac:dyDescent="0.3">
      <c r="A15" s="31" t="s">
        <v>366</v>
      </c>
      <c r="B15" t="s">
        <v>382</v>
      </c>
      <c r="C15" s="50">
        <v>2065314</v>
      </c>
      <c r="D15" t="s">
        <v>346</v>
      </c>
      <c r="E15" t="s">
        <v>347</v>
      </c>
      <c r="F15" t="s">
        <v>416</v>
      </c>
      <c r="G15" t="s">
        <v>354</v>
      </c>
      <c r="H15" t="s">
        <v>355</v>
      </c>
      <c r="J15" s="50">
        <v>0</v>
      </c>
    </row>
    <row r="16" spans="1:10" x14ac:dyDescent="0.3">
      <c r="A16" s="31" t="s">
        <v>368</v>
      </c>
      <c r="B16" t="s">
        <v>383</v>
      </c>
      <c r="D16" t="s">
        <v>348</v>
      </c>
      <c r="E16" t="s">
        <v>347</v>
      </c>
      <c r="F16" t="s">
        <v>416</v>
      </c>
      <c r="G16" t="s">
        <v>21</v>
      </c>
      <c r="H16" t="s">
        <v>17</v>
      </c>
      <c r="J16" s="50">
        <v>0</v>
      </c>
    </row>
    <row r="17" spans="1:10" x14ac:dyDescent="0.3">
      <c r="A17" s="31" t="s">
        <v>412</v>
      </c>
      <c r="B17" t="s">
        <v>413</v>
      </c>
      <c r="D17" t="s">
        <v>414</v>
      </c>
      <c r="E17" t="s">
        <v>409</v>
      </c>
      <c r="F17" t="s">
        <v>416</v>
      </c>
      <c r="G17" t="s">
        <v>410</v>
      </c>
      <c r="H17" t="s">
        <v>411</v>
      </c>
      <c r="J17" s="50">
        <v>0</v>
      </c>
    </row>
    <row r="18" spans="1:10" x14ac:dyDescent="0.3">
      <c r="A18" s="31" t="s">
        <v>507</v>
      </c>
      <c r="B18" t="s">
        <v>485</v>
      </c>
      <c r="C18" s="50">
        <v>652300</v>
      </c>
      <c r="D18" t="s">
        <v>460</v>
      </c>
      <c r="E18" t="s">
        <v>409</v>
      </c>
      <c r="F18" t="s">
        <v>17</v>
      </c>
      <c r="G18" t="s">
        <v>492</v>
      </c>
      <c r="H18" t="s">
        <v>500</v>
      </c>
      <c r="J18" s="50">
        <v>0</v>
      </c>
    </row>
    <row r="19" spans="1:10" x14ac:dyDescent="0.3">
      <c r="A19" s="31" t="s">
        <v>461</v>
      </c>
      <c r="B19" t="s">
        <v>486</v>
      </c>
      <c r="C19" s="50">
        <v>1196745</v>
      </c>
      <c r="D19" t="s">
        <v>471</v>
      </c>
      <c r="E19" t="s">
        <v>409</v>
      </c>
      <c r="F19" t="s">
        <v>17</v>
      </c>
      <c r="G19" t="s">
        <v>493</v>
      </c>
      <c r="H19" t="s">
        <v>500</v>
      </c>
      <c r="J19" s="50">
        <v>0</v>
      </c>
    </row>
    <row r="20" spans="1:10" x14ac:dyDescent="0.3">
      <c r="A20" s="31" t="s">
        <v>462</v>
      </c>
      <c r="B20" t="s">
        <v>487</v>
      </c>
      <c r="C20" s="50">
        <v>1283815</v>
      </c>
      <c r="D20" t="s">
        <v>472</v>
      </c>
      <c r="E20" t="s">
        <v>409</v>
      </c>
      <c r="F20" t="s">
        <v>17</v>
      </c>
      <c r="G20" t="s">
        <v>494</v>
      </c>
      <c r="H20" t="s">
        <v>501</v>
      </c>
      <c r="J20" s="50">
        <v>0</v>
      </c>
    </row>
    <row r="21" spans="1:10" x14ac:dyDescent="0.3">
      <c r="A21" s="31" t="s">
        <v>463</v>
      </c>
      <c r="B21" t="s">
        <v>481</v>
      </c>
      <c r="C21" s="50">
        <v>1278230</v>
      </c>
      <c r="D21" t="s">
        <v>473</v>
      </c>
      <c r="E21" t="s">
        <v>409</v>
      </c>
      <c r="F21" t="s">
        <v>17</v>
      </c>
      <c r="G21" t="s">
        <v>495</v>
      </c>
      <c r="H21" t="s">
        <v>505</v>
      </c>
      <c r="J21" s="50">
        <v>0</v>
      </c>
    </row>
    <row r="22" spans="1:10" x14ac:dyDescent="0.3">
      <c r="A22" s="31" t="s">
        <v>464</v>
      </c>
      <c r="B22" t="s">
        <v>482</v>
      </c>
      <c r="C22" s="50">
        <v>1274550</v>
      </c>
      <c r="D22" t="s">
        <v>474</v>
      </c>
      <c r="E22" t="s">
        <v>409</v>
      </c>
      <c r="F22" t="s">
        <v>17</v>
      </c>
      <c r="G22" t="s">
        <v>495</v>
      </c>
      <c r="H22" t="s">
        <v>504</v>
      </c>
      <c r="J22" s="50">
        <v>0</v>
      </c>
    </row>
    <row r="23" spans="1:10" x14ac:dyDescent="0.3">
      <c r="A23" s="31" t="s">
        <v>465</v>
      </c>
      <c r="B23" t="s">
        <v>484</v>
      </c>
      <c r="C23" s="50">
        <v>1267560</v>
      </c>
      <c r="D23" t="s">
        <v>480</v>
      </c>
      <c r="E23" t="s">
        <v>409</v>
      </c>
      <c r="F23" t="s">
        <v>17</v>
      </c>
      <c r="G23" t="s">
        <v>496</v>
      </c>
      <c r="H23" t="s">
        <v>502</v>
      </c>
      <c r="J23" s="50">
        <v>0</v>
      </c>
    </row>
    <row r="24" spans="1:10" x14ac:dyDescent="0.3">
      <c r="A24" s="31" t="s">
        <v>466</v>
      </c>
      <c r="B24" t="s">
        <v>483</v>
      </c>
      <c r="C24" s="50">
        <v>642490</v>
      </c>
      <c r="D24" t="s">
        <v>475</v>
      </c>
      <c r="E24" t="s">
        <v>409</v>
      </c>
      <c r="F24" t="s">
        <v>17</v>
      </c>
      <c r="G24" t="s">
        <v>497</v>
      </c>
      <c r="H24" t="s">
        <v>502</v>
      </c>
      <c r="J24" s="50">
        <v>0</v>
      </c>
    </row>
    <row r="25" spans="1:10" x14ac:dyDescent="0.3">
      <c r="A25" s="31" t="s">
        <v>467</v>
      </c>
      <c r="B25" t="s">
        <v>488</v>
      </c>
      <c r="C25" s="50">
        <v>1274400</v>
      </c>
      <c r="D25" t="s">
        <v>476</v>
      </c>
      <c r="E25" t="s">
        <v>409</v>
      </c>
      <c r="F25" t="s">
        <v>17</v>
      </c>
      <c r="G25" t="s">
        <v>492</v>
      </c>
      <c r="H25" t="s">
        <v>501</v>
      </c>
      <c r="J25" s="50">
        <v>0</v>
      </c>
    </row>
    <row r="26" spans="1:10" x14ac:dyDescent="0.3">
      <c r="A26" s="31" t="s">
        <v>468</v>
      </c>
      <c r="B26" t="s">
        <v>489</v>
      </c>
      <c r="C26" s="50">
        <v>1283580</v>
      </c>
      <c r="D26" t="s">
        <v>477</v>
      </c>
      <c r="E26" t="s">
        <v>409</v>
      </c>
      <c r="F26" t="s">
        <v>17</v>
      </c>
      <c r="G26" t="s">
        <v>497</v>
      </c>
      <c r="H26" t="s">
        <v>503</v>
      </c>
      <c r="J26" s="50">
        <v>0</v>
      </c>
    </row>
    <row r="27" spans="1:10" x14ac:dyDescent="0.3">
      <c r="A27" s="31" t="s">
        <v>469</v>
      </c>
      <c r="B27" t="s">
        <v>490</v>
      </c>
      <c r="C27" s="50">
        <v>1277865</v>
      </c>
      <c r="D27" t="s">
        <v>478</v>
      </c>
      <c r="E27" t="s">
        <v>409</v>
      </c>
      <c r="F27" t="s">
        <v>17</v>
      </c>
      <c r="G27" t="s">
        <v>498</v>
      </c>
      <c r="H27" t="s">
        <v>503</v>
      </c>
      <c r="J27" s="50">
        <v>0</v>
      </c>
    </row>
    <row r="28" spans="1:10" x14ac:dyDescent="0.3">
      <c r="A28" s="31" t="s">
        <v>470</v>
      </c>
      <c r="B28" t="s">
        <v>491</v>
      </c>
      <c r="C28" s="50">
        <v>1265000</v>
      </c>
      <c r="D28" t="s">
        <v>479</v>
      </c>
      <c r="E28" t="s">
        <v>409</v>
      </c>
      <c r="F28" t="s">
        <v>17</v>
      </c>
      <c r="G28" t="s">
        <v>499</v>
      </c>
      <c r="H28" t="s">
        <v>503</v>
      </c>
      <c r="J28" s="50"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selection activeCell="E24" sqref="E24"/>
    </sheetView>
  </sheetViews>
  <sheetFormatPr defaultRowHeight="16.5" x14ac:dyDescent="0.3"/>
  <cols>
    <col min="1" max="1" width="19" style="56" bestFit="1" customWidth="1"/>
    <col min="2" max="2" width="19.25" style="56" bestFit="1" customWidth="1"/>
    <col min="3" max="3" width="22.75" style="56" bestFit="1" customWidth="1"/>
    <col min="4" max="5" width="9" style="56"/>
    <col min="6" max="7" width="10.25" style="56" customWidth="1"/>
    <col min="8" max="10" width="9" style="56"/>
    <col min="11" max="11" width="10.25" style="56" customWidth="1"/>
    <col min="12" max="12" width="12.125" style="56" customWidth="1"/>
    <col min="13" max="13" width="9" style="56"/>
    <col min="14" max="14" width="12.125" style="56" customWidth="1"/>
    <col min="15" max="15" width="13.25" style="56" customWidth="1"/>
    <col min="16" max="17" width="10.25" style="56" customWidth="1"/>
    <col min="18" max="18" width="12.125" style="56" customWidth="1"/>
    <col min="19" max="19" width="9" style="56"/>
    <col min="20" max="20" width="12.125" style="56" customWidth="1"/>
    <col min="21" max="16384" width="9" style="56"/>
  </cols>
  <sheetData>
    <row r="1" spans="1:20" x14ac:dyDescent="0.3">
      <c r="A1" s="59" t="s">
        <v>77</v>
      </c>
      <c r="B1" s="58" t="s">
        <v>309</v>
      </c>
      <c r="C1" s="58" t="s">
        <v>78</v>
      </c>
      <c r="D1" s="58" t="s">
        <v>308</v>
      </c>
      <c r="E1" s="58" t="s">
        <v>307</v>
      </c>
      <c r="F1" s="58" t="s">
        <v>306</v>
      </c>
      <c r="G1" s="58" t="s">
        <v>248</v>
      </c>
      <c r="H1" s="58" t="s">
        <v>305</v>
      </c>
      <c r="I1" s="58" t="s">
        <v>304</v>
      </c>
      <c r="J1" s="58" t="s">
        <v>303</v>
      </c>
      <c r="K1" s="58" t="s">
        <v>302</v>
      </c>
      <c r="L1" s="58" t="s">
        <v>301</v>
      </c>
      <c r="M1" s="58" t="s">
        <v>300</v>
      </c>
      <c r="N1" s="58" t="s">
        <v>299</v>
      </c>
      <c r="O1" s="58" t="s">
        <v>298</v>
      </c>
      <c r="P1" s="58" t="s">
        <v>297</v>
      </c>
      <c r="Q1" s="58" t="s">
        <v>296</v>
      </c>
      <c r="R1" s="58" t="s">
        <v>295</v>
      </c>
      <c r="S1" s="58" t="s">
        <v>294</v>
      </c>
      <c r="T1" s="58" t="s">
        <v>293</v>
      </c>
    </row>
    <row r="2" spans="1:20" x14ac:dyDescent="0.3">
      <c r="A2" s="60" t="s">
        <v>82</v>
      </c>
      <c r="B2" s="57">
        <v>45291</v>
      </c>
      <c r="C2" s="56" t="s">
        <v>292</v>
      </c>
      <c r="D2" s="56" t="s">
        <v>70</v>
      </c>
      <c r="E2" s="56" t="s">
        <v>201</v>
      </c>
      <c r="F2" s="56">
        <v>1</v>
      </c>
      <c r="G2" s="56">
        <v>22572209</v>
      </c>
      <c r="H2" s="56">
        <v>8159761.6082191784</v>
      </c>
      <c r="I2" s="56">
        <v>60499</v>
      </c>
      <c r="J2" s="56">
        <v>0</v>
      </c>
      <c r="K2" s="56">
        <v>60499</v>
      </c>
      <c r="L2" s="56">
        <v>0.7414309743934242</v>
      </c>
      <c r="M2" s="56" t="s">
        <v>282</v>
      </c>
      <c r="N2" s="56" t="s">
        <v>281</v>
      </c>
      <c r="P2" s="56">
        <v>22972101</v>
      </c>
      <c r="Q2" s="56">
        <v>399892</v>
      </c>
      <c r="R2" s="56">
        <v>4.9007804296291706</v>
      </c>
      <c r="S2" s="56">
        <v>460391</v>
      </c>
      <c r="T2" s="56">
        <v>5.6422114040225946</v>
      </c>
    </row>
    <row r="3" spans="1:20" x14ac:dyDescent="0.3">
      <c r="A3" s="60" t="s">
        <v>291</v>
      </c>
      <c r="B3" s="57">
        <v>45291</v>
      </c>
      <c r="C3" s="56" t="s">
        <v>290</v>
      </c>
      <c r="D3" s="56" t="s">
        <v>70</v>
      </c>
      <c r="E3" s="56" t="s">
        <v>201</v>
      </c>
      <c r="F3" s="56">
        <v>1</v>
      </c>
      <c r="G3" s="56">
        <v>17176678</v>
      </c>
      <c r="H3" s="56">
        <v>3598372.416438356</v>
      </c>
      <c r="I3" s="56">
        <v>85756</v>
      </c>
      <c r="J3" s="56">
        <v>13110</v>
      </c>
      <c r="K3" s="56">
        <v>72646</v>
      </c>
      <c r="L3" s="56">
        <v>2.0188571829900952</v>
      </c>
      <c r="M3" s="56" t="s">
        <v>252</v>
      </c>
      <c r="N3" s="56" t="s">
        <v>70</v>
      </c>
      <c r="O3" s="56" t="s">
        <v>253</v>
      </c>
      <c r="P3" s="56">
        <v>17176678</v>
      </c>
      <c r="Q3" s="56">
        <v>0</v>
      </c>
      <c r="R3" s="56">
        <v>0</v>
      </c>
      <c r="S3" s="56">
        <v>72646</v>
      </c>
      <c r="T3" s="56">
        <v>2.0188571829900952</v>
      </c>
    </row>
    <row r="4" spans="1:20" x14ac:dyDescent="0.3">
      <c r="A4" s="60" t="s">
        <v>79</v>
      </c>
      <c r="B4" s="57">
        <v>45291</v>
      </c>
      <c r="C4" s="56" t="s">
        <v>289</v>
      </c>
      <c r="D4" s="56" t="s">
        <v>70</v>
      </c>
      <c r="E4" s="56" t="s">
        <v>288</v>
      </c>
      <c r="F4" s="56">
        <v>70</v>
      </c>
      <c r="G4" s="56">
        <v>10010000</v>
      </c>
      <c r="H4" s="56">
        <v>10010000</v>
      </c>
      <c r="I4" s="56">
        <v>0</v>
      </c>
      <c r="J4" s="56">
        <v>0</v>
      </c>
      <c r="K4" s="56">
        <v>0</v>
      </c>
      <c r="L4" s="56">
        <v>0</v>
      </c>
      <c r="M4" s="56" t="s">
        <v>71</v>
      </c>
      <c r="N4" s="56" t="s">
        <v>72</v>
      </c>
      <c r="P4" s="56">
        <v>10724000</v>
      </c>
      <c r="Q4" s="56">
        <v>714000</v>
      </c>
      <c r="R4" s="56">
        <v>7.1328671328671316</v>
      </c>
      <c r="S4" s="56">
        <v>714000</v>
      </c>
      <c r="T4" s="56">
        <v>7.1328671328671316</v>
      </c>
    </row>
    <row r="5" spans="1:20" x14ac:dyDescent="0.3">
      <c r="A5" s="60" t="s">
        <v>287</v>
      </c>
      <c r="B5" s="57">
        <v>45291</v>
      </c>
      <c r="C5" s="56" t="s">
        <v>286</v>
      </c>
      <c r="D5" s="56" t="s">
        <v>70</v>
      </c>
      <c r="E5" s="56" t="s">
        <v>201</v>
      </c>
      <c r="F5" s="56">
        <v>1</v>
      </c>
      <c r="G5" s="56">
        <v>10043166</v>
      </c>
      <c r="H5" s="56">
        <v>2863967.9452054789</v>
      </c>
      <c r="I5" s="56">
        <v>80823</v>
      </c>
      <c r="J5" s="56">
        <v>12440</v>
      </c>
      <c r="K5" s="56">
        <v>68383</v>
      </c>
      <c r="L5" s="56">
        <v>2.3877013049143518</v>
      </c>
      <c r="M5" s="56" t="s">
        <v>137</v>
      </c>
      <c r="N5" s="56" t="s">
        <v>139</v>
      </c>
      <c r="P5" s="56">
        <v>10043166</v>
      </c>
      <c r="Q5" s="56">
        <v>0</v>
      </c>
      <c r="R5" s="56">
        <v>0</v>
      </c>
      <c r="S5" s="56">
        <v>68383</v>
      </c>
      <c r="T5" s="56">
        <v>2.3877013049143518</v>
      </c>
    </row>
    <row r="6" spans="1:20" x14ac:dyDescent="0.3">
      <c r="A6" s="60" t="s">
        <v>285</v>
      </c>
      <c r="B6" s="57">
        <v>45291</v>
      </c>
      <c r="C6" s="56" t="s">
        <v>231</v>
      </c>
      <c r="D6" s="56" t="s">
        <v>70</v>
      </c>
      <c r="E6" s="56" t="s">
        <v>201</v>
      </c>
      <c r="F6" s="56">
        <v>403</v>
      </c>
      <c r="G6" s="56">
        <v>4985110</v>
      </c>
      <c r="H6" s="56">
        <v>177551.8630136986</v>
      </c>
      <c r="I6" s="56">
        <v>0</v>
      </c>
      <c r="J6" s="56">
        <v>730</v>
      </c>
      <c r="K6" s="56">
        <v>-730</v>
      </c>
      <c r="L6" s="56">
        <v>-0.41114747410094948</v>
      </c>
      <c r="M6" s="56" t="s">
        <v>71</v>
      </c>
      <c r="N6" s="56" t="s">
        <v>72</v>
      </c>
      <c r="P6" s="56">
        <v>5168475</v>
      </c>
      <c r="Q6" s="56">
        <v>183365</v>
      </c>
      <c r="R6" s="56">
        <v>103.2740501212611</v>
      </c>
      <c r="S6" s="56">
        <v>182635</v>
      </c>
      <c r="T6" s="56">
        <v>102.8629026471602</v>
      </c>
    </row>
    <row r="7" spans="1:20" x14ac:dyDescent="0.3">
      <c r="A7" s="60" t="s">
        <v>284</v>
      </c>
      <c r="B7" s="57">
        <v>45291</v>
      </c>
      <c r="C7" s="56" t="s">
        <v>283</v>
      </c>
      <c r="D7" s="56" t="s">
        <v>70</v>
      </c>
      <c r="E7" s="56" t="s">
        <v>201</v>
      </c>
      <c r="F7" s="56">
        <v>0</v>
      </c>
      <c r="G7" s="56">
        <v>3199997</v>
      </c>
      <c r="H7" s="56">
        <v>289314.79726027389</v>
      </c>
      <c r="I7" s="56">
        <v>0</v>
      </c>
      <c r="J7" s="56">
        <v>0</v>
      </c>
      <c r="K7" s="56">
        <v>0</v>
      </c>
      <c r="L7" s="56">
        <v>0</v>
      </c>
      <c r="M7" s="56" t="s">
        <v>282</v>
      </c>
      <c r="N7" s="56" t="s">
        <v>281</v>
      </c>
      <c r="P7" s="56">
        <v>3314047</v>
      </c>
      <c r="Q7" s="56">
        <v>114050</v>
      </c>
      <c r="R7" s="56">
        <v>39.420728244811521</v>
      </c>
      <c r="S7" s="56">
        <v>114050</v>
      </c>
      <c r="T7" s="56">
        <v>39.420728244811521</v>
      </c>
    </row>
    <row r="8" spans="1:20" x14ac:dyDescent="0.3">
      <c r="A8" s="60" t="s">
        <v>280</v>
      </c>
      <c r="B8" s="57">
        <v>45291</v>
      </c>
      <c r="C8" s="56" t="s">
        <v>245</v>
      </c>
      <c r="D8" s="56" t="s">
        <v>70</v>
      </c>
      <c r="E8" s="56" t="s">
        <v>201</v>
      </c>
      <c r="F8" s="56">
        <v>579</v>
      </c>
      <c r="G8" s="56">
        <v>2999220</v>
      </c>
      <c r="H8" s="56">
        <v>32868.164383561641</v>
      </c>
      <c r="I8" s="56">
        <v>0</v>
      </c>
      <c r="J8" s="56">
        <v>430</v>
      </c>
      <c r="K8" s="56">
        <v>-430</v>
      </c>
      <c r="L8" s="56">
        <v>-1.3082568134381609</v>
      </c>
      <c r="M8" s="56" t="s">
        <v>71</v>
      </c>
      <c r="N8" s="56" t="s">
        <v>235</v>
      </c>
      <c r="O8" s="56" t="s">
        <v>247</v>
      </c>
      <c r="P8" s="56">
        <v>3126600</v>
      </c>
      <c r="Q8" s="56">
        <v>127380</v>
      </c>
      <c r="R8" s="56">
        <v>387.54826254826253</v>
      </c>
      <c r="S8" s="56">
        <v>126950</v>
      </c>
      <c r="T8" s="56">
        <v>386.24000573482442</v>
      </c>
    </row>
    <row r="9" spans="1:20" x14ac:dyDescent="0.3">
      <c r="A9" s="60" t="s">
        <v>279</v>
      </c>
      <c r="B9" s="57">
        <v>45291</v>
      </c>
      <c r="C9" s="56" t="s">
        <v>229</v>
      </c>
      <c r="D9" s="56" t="s">
        <v>70</v>
      </c>
      <c r="E9" s="56" t="s">
        <v>201</v>
      </c>
      <c r="F9" s="56">
        <v>303</v>
      </c>
      <c r="G9" s="56">
        <v>3014850</v>
      </c>
      <c r="H9" s="56">
        <v>140417.67123287669</v>
      </c>
      <c r="I9" s="56">
        <v>0</v>
      </c>
      <c r="J9" s="56">
        <v>440</v>
      </c>
      <c r="K9" s="56">
        <v>-440</v>
      </c>
      <c r="L9" s="56">
        <v>-0.31335087395822048</v>
      </c>
      <c r="M9" s="56" t="s">
        <v>137</v>
      </c>
      <c r="N9" s="56" t="s">
        <v>138</v>
      </c>
      <c r="O9" s="56" t="s">
        <v>103</v>
      </c>
      <c r="P9" s="56">
        <v>3072420</v>
      </c>
      <c r="Q9" s="56">
        <v>57570</v>
      </c>
      <c r="R9" s="56">
        <v>40.999113213124453</v>
      </c>
      <c r="S9" s="56">
        <v>57130</v>
      </c>
      <c r="T9" s="56">
        <v>40.685762339166217</v>
      </c>
    </row>
    <row r="10" spans="1:20" x14ac:dyDescent="0.3">
      <c r="A10" s="60" t="s">
        <v>278</v>
      </c>
      <c r="B10" s="57">
        <v>45291</v>
      </c>
      <c r="C10" s="56" t="s">
        <v>243</v>
      </c>
      <c r="D10" s="56" t="s">
        <v>70</v>
      </c>
      <c r="E10" s="56" t="s">
        <v>201</v>
      </c>
      <c r="F10" s="56">
        <v>217</v>
      </c>
      <c r="G10" s="56">
        <v>3013045</v>
      </c>
      <c r="H10" s="56">
        <v>33019.67123287671</v>
      </c>
      <c r="I10" s="56">
        <v>0</v>
      </c>
      <c r="J10" s="56">
        <v>440</v>
      </c>
      <c r="K10" s="56">
        <v>-440</v>
      </c>
      <c r="L10" s="56">
        <v>-1.332539009540183</v>
      </c>
      <c r="M10" s="56" t="s">
        <v>75</v>
      </c>
      <c r="N10" s="56" t="s">
        <v>148</v>
      </c>
      <c r="O10" s="56" t="s">
        <v>244</v>
      </c>
      <c r="P10" s="56">
        <v>3033660</v>
      </c>
      <c r="Q10" s="56">
        <v>20615</v>
      </c>
      <c r="R10" s="56">
        <v>62.432481094706517</v>
      </c>
      <c r="S10" s="56">
        <v>20175</v>
      </c>
      <c r="T10" s="56">
        <v>61.099942085166333</v>
      </c>
    </row>
    <row r="11" spans="1:20" x14ac:dyDescent="0.3">
      <c r="A11" s="60" t="s">
        <v>199</v>
      </c>
      <c r="B11" s="57">
        <v>45291</v>
      </c>
      <c r="C11" s="56" t="s">
        <v>200</v>
      </c>
      <c r="D11" s="56" t="s">
        <v>70</v>
      </c>
      <c r="E11" s="56" t="s">
        <v>201</v>
      </c>
      <c r="F11" s="56">
        <v>48</v>
      </c>
      <c r="G11" s="56">
        <v>2932800</v>
      </c>
      <c r="H11" s="56">
        <v>201034.5205479452</v>
      </c>
      <c r="I11" s="56">
        <v>0</v>
      </c>
      <c r="J11" s="56">
        <v>400</v>
      </c>
      <c r="K11" s="56">
        <v>-400</v>
      </c>
      <c r="L11" s="56">
        <v>-0.1989708030788688</v>
      </c>
      <c r="M11" s="56" t="s">
        <v>71</v>
      </c>
      <c r="N11" s="56" t="s">
        <v>72</v>
      </c>
      <c r="P11" s="56">
        <v>2990400</v>
      </c>
      <c r="Q11" s="56">
        <v>57600</v>
      </c>
      <c r="R11" s="56">
        <v>28.651795643357101</v>
      </c>
      <c r="S11" s="56">
        <v>57200</v>
      </c>
      <c r="T11" s="56">
        <v>28.45282484027824</v>
      </c>
    </row>
    <row r="12" spans="1:20" x14ac:dyDescent="0.3">
      <c r="A12" s="60" t="s">
        <v>242</v>
      </c>
      <c r="B12" s="57">
        <v>45291</v>
      </c>
      <c r="C12" s="56" t="s">
        <v>240</v>
      </c>
      <c r="D12" s="56" t="s">
        <v>70</v>
      </c>
      <c r="E12" s="56" t="s">
        <v>201</v>
      </c>
      <c r="F12" s="56">
        <v>295</v>
      </c>
      <c r="G12" s="56">
        <v>2318700</v>
      </c>
      <c r="H12" s="56">
        <v>25410.410958904111</v>
      </c>
      <c r="I12" s="56">
        <v>0</v>
      </c>
      <c r="J12" s="56">
        <v>700</v>
      </c>
      <c r="K12" s="56">
        <v>-700</v>
      </c>
      <c r="L12" s="56">
        <v>-2.7547763833182382</v>
      </c>
      <c r="M12" s="56" t="s">
        <v>71</v>
      </c>
      <c r="N12" s="56" t="s">
        <v>72</v>
      </c>
      <c r="P12" s="56">
        <v>2112200</v>
      </c>
      <c r="Q12" s="56">
        <v>-206500</v>
      </c>
      <c r="R12" s="56">
        <v>-812.65903307888027</v>
      </c>
      <c r="S12" s="56">
        <v>-207200</v>
      </c>
      <c r="T12" s="56">
        <v>-815.41380946219863</v>
      </c>
    </row>
    <row r="13" spans="1:20" x14ac:dyDescent="0.3">
      <c r="A13" s="60" t="s">
        <v>277</v>
      </c>
      <c r="B13" s="57">
        <v>45291</v>
      </c>
      <c r="C13" s="56" t="s">
        <v>233</v>
      </c>
      <c r="D13" s="56" t="s">
        <v>70</v>
      </c>
      <c r="E13" s="56" t="s">
        <v>201</v>
      </c>
      <c r="F13" s="56">
        <v>144</v>
      </c>
      <c r="G13" s="56">
        <v>1992960</v>
      </c>
      <c r="H13" s="56">
        <v>54601.643835616444</v>
      </c>
      <c r="I13" s="56">
        <v>0</v>
      </c>
      <c r="J13" s="56">
        <v>290</v>
      </c>
      <c r="K13" s="56">
        <v>-290</v>
      </c>
      <c r="L13" s="56">
        <v>-0.53111954078355816</v>
      </c>
      <c r="M13" s="56" t="s">
        <v>71</v>
      </c>
      <c r="N13" s="56" t="s">
        <v>235</v>
      </c>
      <c r="O13" s="56" t="s">
        <v>236</v>
      </c>
      <c r="P13" s="56">
        <v>2004480</v>
      </c>
      <c r="Q13" s="56">
        <v>11520</v>
      </c>
      <c r="R13" s="56">
        <v>21.098265895953759</v>
      </c>
      <c r="S13" s="56">
        <v>11230</v>
      </c>
      <c r="T13" s="56">
        <v>20.567146355170198</v>
      </c>
    </row>
    <row r="14" spans="1:20" x14ac:dyDescent="0.3">
      <c r="A14" s="60" t="s">
        <v>154</v>
      </c>
      <c r="B14" s="57">
        <v>45291</v>
      </c>
      <c r="C14" s="56" t="s">
        <v>153</v>
      </c>
      <c r="D14" s="56" t="s">
        <v>70</v>
      </c>
      <c r="E14" s="56" t="s">
        <v>268</v>
      </c>
      <c r="F14" s="56">
        <v>1</v>
      </c>
      <c r="G14" s="56">
        <v>1484900</v>
      </c>
      <c r="H14" s="56">
        <v>272570.68493150693</v>
      </c>
      <c r="I14" s="56">
        <v>17988</v>
      </c>
      <c r="J14" s="56">
        <v>520</v>
      </c>
      <c r="K14" s="56">
        <v>17468</v>
      </c>
      <c r="L14" s="56">
        <v>6.4086128720663629</v>
      </c>
      <c r="M14" s="56" t="s">
        <v>137</v>
      </c>
      <c r="N14" s="56" t="s">
        <v>139</v>
      </c>
      <c r="P14" s="56">
        <v>1484900</v>
      </c>
      <c r="Q14" s="56">
        <v>0</v>
      </c>
      <c r="R14" s="56">
        <v>0</v>
      </c>
      <c r="S14" s="56">
        <v>17468</v>
      </c>
      <c r="T14" s="56">
        <v>6.4086128720663629</v>
      </c>
    </row>
    <row r="15" spans="1:20" x14ac:dyDescent="0.3">
      <c r="A15" s="60" t="s">
        <v>276</v>
      </c>
      <c r="B15" s="57">
        <v>45291</v>
      </c>
      <c r="C15" s="56" t="s">
        <v>275</v>
      </c>
      <c r="D15" s="56" t="s">
        <v>70</v>
      </c>
      <c r="E15" s="56" t="s">
        <v>201</v>
      </c>
      <c r="F15" s="56">
        <v>5</v>
      </c>
      <c r="G15" s="56">
        <v>956000</v>
      </c>
      <c r="H15" s="56">
        <v>146673.9726027397</v>
      </c>
      <c r="I15" s="56">
        <v>0</v>
      </c>
      <c r="J15" s="56">
        <v>130</v>
      </c>
      <c r="K15" s="56">
        <v>-130</v>
      </c>
      <c r="L15" s="56">
        <v>-8.8631948595337712E-2</v>
      </c>
      <c r="M15" s="56" t="s">
        <v>71</v>
      </c>
      <c r="N15" s="56" t="s">
        <v>72</v>
      </c>
      <c r="P15" s="56">
        <v>1120000</v>
      </c>
      <c r="Q15" s="56">
        <v>164000</v>
      </c>
      <c r="R15" s="56">
        <v>111.81261207411831</v>
      </c>
      <c r="S15" s="56">
        <v>163870</v>
      </c>
      <c r="T15" s="56">
        <v>111.723980125523</v>
      </c>
    </row>
    <row r="16" spans="1:20" x14ac:dyDescent="0.3">
      <c r="A16" s="60" t="s">
        <v>274</v>
      </c>
      <c r="B16" s="57">
        <v>45291</v>
      </c>
      <c r="C16" s="56" t="s">
        <v>273</v>
      </c>
      <c r="D16" s="56" t="s">
        <v>70</v>
      </c>
      <c r="E16" s="56" t="s">
        <v>268</v>
      </c>
      <c r="F16" s="56">
        <v>1</v>
      </c>
      <c r="G16" s="56">
        <v>1049029</v>
      </c>
      <c r="H16" s="56">
        <v>172443.12328767119</v>
      </c>
      <c r="I16" s="56">
        <v>14194</v>
      </c>
      <c r="J16" s="56">
        <v>0</v>
      </c>
      <c r="K16" s="56">
        <v>14194</v>
      </c>
      <c r="L16" s="56">
        <v>8.2311197624978263</v>
      </c>
      <c r="M16" s="56" t="s">
        <v>137</v>
      </c>
      <c r="N16" s="56" t="s">
        <v>139</v>
      </c>
      <c r="P16" s="56">
        <v>1049029</v>
      </c>
      <c r="Q16" s="56">
        <v>0</v>
      </c>
      <c r="R16" s="56">
        <v>0</v>
      </c>
      <c r="S16" s="56">
        <v>14194</v>
      </c>
      <c r="T16" s="56">
        <v>8.2311197624978263</v>
      </c>
    </row>
    <row r="17" spans="1:20" x14ac:dyDescent="0.3">
      <c r="A17" s="60" t="s">
        <v>191</v>
      </c>
      <c r="B17" s="57">
        <v>45291</v>
      </c>
      <c r="C17" s="56" t="s">
        <v>271</v>
      </c>
      <c r="D17" s="56" t="s">
        <v>70</v>
      </c>
      <c r="E17" s="56" t="s">
        <v>201</v>
      </c>
      <c r="F17" s="56">
        <v>1</v>
      </c>
      <c r="G17" s="56">
        <v>239255</v>
      </c>
      <c r="H17" s="56">
        <v>627736.36164383567</v>
      </c>
      <c r="I17" s="56">
        <v>1312</v>
      </c>
      <c r="J17" s="56">
        <v>0</v>
      </c>
      <c r="K17" s="56">
        <v>1312</v>
      </c>
      <c r="L17" s="56">
        <v>0.20900493904229189</v>
      </c>
      <c r="M17" s="56" t="s">
        <v>252</v>
      </c>
      <c r="N17" s="56" t="s">
        <v>70</v>
      </c>
      <c r="O17" s="56" t="s">
        <v>250</v>
      </c>
      <c r="P17" s="56">
        <v>239255</v>
      </c>
      <c r="Q17" s="56">
        <v>0</v>
      </c>
      <c r="R17" s="56">
        <v>0</v>
      </c>
      <c r="S17" s="56">
        <v>1312</v>
      </c>
      <c r="T17" s="56">
        <v>0.20900493904229189</v>
      </c>
    </row>
    <row r="18" spans="1:20" x14ac:dyDescent="0.3">
      <c r="A18" s="60" t="s">
        <v>270</v>
      </c>
      <c r="B18" s="57">
        <v>45291</v>
      </c>
      <c r="C18" s="56" t="s">
        <v>269</v>
      </c>
      <c r="D18" s="56" t="s">
        <v>70</v>
      </c>
      <c r="E18" s="56" t="s">
        <v>268</v>
      </c>
      <c r="F18" s="56">
        <v>0</v>
      </c>
      <c r="G18" s="56">
        <v>8994</v>
      </c>
      <c r="H18" s="56">
        <v>1264.520547945205</v>
      </c>
      <c r="I18" s="56">
        <v>0</v>
      </c>
      <c r="J18" s="56">
        <v>0</v>
      </c>
      <c r="K18" s="56">
        <v>0</v>
      </c>
      <c r="L18" s="56">
        <v>0</v>
      </c>
      <c r="M18" s="56" t="s">
        <v>252</v>
      </c>
      <c r="N18" s="56" t="s">
        <v>70</v>
      </c>
      <c r="O18" s="56" t="s">
        <v>250</v>
      </c>
      <c r="P18" s="56">
        <v>8994</v>
      </c>
      <c r="Q18" s="56">
        <v>0</v>
      </c>
      <c r="R18" s="56">
        <v>0</v>
      </c>
      <c r="S18" s="56">
        <v>0</v>
      </c>
      <c r="T18" s="56">
        <v>0</v>
      </c>
    </row>
    <row r="19" spans="1:20" x14ac:dyDescent="0.3">
      <c r="A19" s="60" t="s">
        <v>81</v>
      </c>
      <c r="B19" s="57">
        <v>45291</v>
      </c>
      <c r="C19" s="56" t="s">
        <v>135</v>
      </c>
      <c r="D19" s="56" t="s">
        <v>70</v>
      </c>
      <c r="E19" s="56" t="s">
        <v>69</v>
      </c>
      <c r="F19" s="56">
        <v>0</v>
      </c>
      <c r="G19" s="56">
        <v>0</v>
      </c>
      <c r="H19" s="56">
        <v>6659822.0712328767</v>
      </c>
      <c r="I19" s="56">
        <v>216322</v>
      </c>
      <c r="J19" s="56">
        <v>30520</v>
      </c>
      <c r="K19" s="56">
        <v>185802</v>
      </c>
      <c r="L19" s="56">
        <v>2.789894354724165</v>
      </c>
      <c r="M19" s="56" t="s">
        <v>252</v>
      </c>
      <c r="N19" s="56" t="s">
        <v>70</v>
      </c>
      <c r="O19" s="56" t="s">
        <v>253</v>
      </c>
      <c r="P19" s="56">
        <v>0</v>
      </c>
      <c r="Q19" s="56">
        <v>0</v>
      </c>
      <c r="R19" s="56">
        <v>0</v>
      </c>
      <c r="S19" s="56">
        <v>185802</v>
      </c>
      <c r="T19" s="56">
        <v>2.789894354724165</v>
      </c>
    </row>
    <row r="20" spans="1:20" x14ac:dyDescent="0.3">
      <c r="A20" s="60" t="s">
        <v>267</v>
      </c>
      <c r="B20" s="57">
        <v>45291</v>
      </c>
      <c r="C20" s="56" t="s">
        <v>266</v>
      </c>
      <c r="D20" s="56" t="s">
        <v>70</v>
      </c>
      <c r="E20" s="56" t="s">
        <v>69</v>
      </c>
      <c r="F20" s="56">
        <v>0</v>
      </c>
      <c r="G20" s="56">
        <v>0</v>
      </c>
      <c r="H20" s="56">
        <v>27397.852054794519</v>
      </c>
      <c r="I20" s="56">
        <v>0</v>
      </c>
      <c r="J20" s="56">
        <v>0</v>
      </c>
      <c r="K20" s="56">
        <v>0</v>
      </c>
      <c r="L20" s="56">
        <v>0</v>
      </c>
      <c r="M20" s="56" t="s">
        <v>252</v>
      </c>
      <c r="N20" s="56" t="s">
        <v>70</v>
      </c>
      <c r="O20" s="56" t="s">
        <v>250</v>
      </c>
      <c r="P20" s="56">
        <v>0</v>
      </c>
      <c r="Q20" s="56">
        <v>0</v>
      </c>
      <c r="R20" s="56">
        <v>0</v>
      </c>
      <c r="S20" s="56">
        <v>0</v>
      </c>
      <c r="T20" s="56">
        <v>0</v>
      </c>
    </row>
    <row r="21" spans="1:20" x14ac:dyDescent="0.3">
      <c r="A21" s="60" t="s">
        <v>80</v>
      </c>
      <c r="B21" s="57">
        <v>45291</v>
      </c>
      <c r="C21" s="56" t="s">
        <v>150</v>
      </c>
      <c r="D21" s="56" t="s">
        <v>70</v>
      </c>
      <c r="E21" s="56" t="s">
        <v>69</v>
      </c>
      <c r="F21" s="56">
        <v>0</v>
      </c>
      <c r="G21" s="56">
        <v>0</v>
      </c>
      <c r="H21" s="56">
        <v>6410958.9041095888</v>
      </c>
      <c r="I21" s="56">
        <v>415000</v>
      </c>
      <c r="J21" s="56">
        <v>63910</v>
      </c>
      <c r="K21" s="56">
        <v>351090</v>
      </c>
      <c r="L21" s="56">
        <v>5.476403846153846</v>
      </c>
      <c r="M21" s="56" t="s">
        <v>137</v>
      </c>
      <c r="N21" s="56" t="s">
        <v>139</v>
      </c>
      <c r="P21" s="56">
        <v>0</v>
      </c>
      <c r="Q21" s="56">
        <v>0</v>
      </c>
      <c r="R21" s="56">
        <v>0</v>
      </c>
      <c r="S21" s="56">
        <v>351090</v>
      </c>
      <c r="T21" s="56">
        <v>5.476403846153846</v>
      </c>
    </row>
    <row r="22" spans="1:20" x14ac:dyDescent="0.3">
      <c r="A22" s="60" t="s">
        <v>83</v>
      </c>
      <c r="B22" s="57">
        <v>45291</v>
      </c>
      <c r="C22" s="56" t="s">
        <v>108</v>
      </c>
      <c r="D22" s="56" t="s">
        <v>70</v>
      </c>
      <c r="E22" s="56" t="s">
        <v>265</v>
      </c>
      <c r="F22" s="56">
        <v>0</v>
      </c>
      <c r="G22" s="56">
        <v>0</v>
      </c>
      <c r="H22" s="56">
        <v>18238356.16438356</v>
      </c>
      <c r="I22" s="56">
        <v>1165500</v>
      </c>
      <c r="J22" s="56">
        <v>179480</v>
      </c>
      <c r="K22" s="56">
        <v>986020</v>
      </c>
      <c r="L22" s="56">
        <v>5.4062986330178759</v>
      </c>
      <c r="M22" s="56" t="s">
        <v>137</v>
      </c>
      <c r="N22" s="56" t="s">
        <v>139</v>
      </c>
      <c r="P22" s="56">
        <v>0</v>
      </c>
      <c r="Q22" s="56">
        <v>0</v>
      </c>
      <c r="R22" s="56">
        <v>0</v>
      </c>
      <c r="S22" s="56">
        <v>986020</v>
      </c>
      <c r="T22" s="56">
        <v>5.4062986330178759</v>
      </c>
    </row>
    <row r="23" spans="1:20" x14ac:dyDescent="0.3">
      <c r="A23" s="60" t="s">
        <v>84</v>
      </c>
      <c r="B23" s="57">
        <v>45291</v>
      </c>
      <c r="C23" s="56" t="s">
        <v>109</v>
      </c>
      <c r="D23" s="56" t="s">
        <v>70</v>
      </c>
      <c r="E23" s="56" t="s">
        <v>265</v>
      </c>
      <c r="F23" s="56">
        <v>0</v>
      </c>
      <c r="G23" s="56">
        <v>0</v>
      </c>
      <c r="H23" s="56">
        <v>3315068.493150685</v>
      </c>
      <c r="I23" s="56">
        <v>275028</v>
      </c>
      <c r="J23" s="56">
        <v>42354</v>
      </c>
      <c r="K23" s="56">
        <v>232674</v>
      </c>
      <c r="L23" s="56">
        <v>7.0186785123966926</v>
      </c>
      <c r="M23" s="56" t="s">
        <v>137</v>
      </c>
      <c r="N23" s="56" t="s">
        <v>139</v>
      </c>
      <c r="P23" s="56">
        <v>0</v>
      </c>
      <c r="Q23" s="56">
        <v>0</v>
      </c>
      <c r="R23" s="56">
        <v>0</v>
      </c>
      <c r="S23" s="56">
        <v>232674</v>
      </c>
      <c r="T23" s="56">
        <v>7.0186785123966926</v>
      </c>
    </row>
    <row r="24" spans="1:20" x14ac:dyDescent="0.3">
      <c r="A24" s="60" t="s">
        <v>85</v>
      </c>
      <c r="B24" s="57">
        <v>45291</v>
      </c>
      <c r="C24" s="56" t="s">
        <v>110</v>
      </c>
      <c r="D24" s="56" t="s">
        <v>70</v>
      </c>
      <c r="E24" s="56" t="s">
        <v>69</v>
      </c>
      <c r="F24" s="56">
        <v>0</v>
      </c>
      <c r="G24" s="56">
        <v>0</v>
      </c>
      <c r="H24" s="56">
        <v>0</v>
      </c>
      <c r="I24" s="56">
        <v>381262</v>
      </c>
      <c r="J24" s="56">
        <v>39600</v>
      </c>
      <c r="K24" s="56">
        <v>341662</v>
      </c>
      <c r="M24" s="56" t="s">
        <v>71</v>
      </c>
      <c r="N24" s="56" t="s">
        <v>72</v>
      </c>
      <c r="P24" s="56">
        <v>0</v>
      </c>
      <c r="Q24" s="56">
        <v>0</v>
      </c>
      <c r="S24" s="56">
        <v>341662</v>
      </c>
    </row>
    <row r="25" spans="1:20" x14ac:dyDescent="0.3">
      <c r="A25" s="60" t="s">
        <v>86</v>
      </c>
      <c r="B25" s="57">
        <v>45291</v>
      </c>
      <c r="C25" s="56" t="s">
        <v>136</v>
      </c>
      <c r="D25" s="56" t="s">
        <v>70</v>
      </c>
      <c r="E25" s="56" t="s">
        <v>136</v>
      </c>
      <c r="F25" s="56">
        <v>0</v>
      </c>
      <c r="G25" s="56">
        <v>0</v>
      </c>
      <c r="H25" s="56">
        <v>1560792.5232876709</v>
      </c>
      <c r="I25" s="56">
        <v>56143</v>
      </c>
      <c r="J25" s="56">
        <v>7990</v>
      </c>
      <c r="K25" s="56">
        <v>48153</v>
      </c>
      <c r="L25" s="56">
        <v>3.0851634206044229</v>
      </c>
      <c r="M25" s="56" t="s">
        <v>252</v>
      </c>
      <c r="N25" s="56" t="s">
        <v>70</v>
      </c>
      <c r="O25" s="56" t="s">
        <v>253</v>
      </c>
      <c r="P25" s="56">
        <v>0</v>
      </c>
      <c r="Q25" s="56">
        <v>0</v>
      </c>
      <c r="R25" s="56">
        <v>0</v>
      </c>
      <c r="S25" s="56">
        <v>48153</v>
      </c>
      <c r="T25" s="56">
        <v>3.0851634206044229</v>
      </c>
    </row>
    <row r="26" spans="1:20" x14ac:dyDescent="0.3">
      <c r="A26" s="60" t="s">
        <v>264</v>
      </c>
      <c r="B26" s="57">
        <v>45291</v>
      </c>
      <c r="C26" s="56" t="s">
        <v>263</v>
      </c>
      <c r="D26" s="56" t="s">
        <v>70</v>
      </c>
      <c r="E26" s="56" t="s">
        <v>136</v>
      </c>
      <c r="F26" s="56">
        <v>0</v>
      </c>
      <c r="G26" s="56">
        <v>0</v>
      </c>
      <c r="H26" s="56">
        <v>0</v>
      </c>
      <c r="I26" s="56">
        <v>0</v>
      </c>
      <c r="J26" s="56">
        <v>0</v>
      </c>
      <c r="K26" s="56">
        <v>0</v>
      </c>
      <c r="M26" s="56" t="s">
        <v>252</v>
      </c>
      <c r="N26" s="56" t="s">
        <v>70</v>
      </c>
      <c r="O26" s="56" t="s">
        <v>250</v>
      </c>
      <c r="P26" s="56">
        <v>0</v>
      </c>
      <c r="Q26" s="56">
        <v>0</v>
      </c>
      <c r="S26" s="56">
        <v>0</v>
      </c>
    </row>
    <row r="27" spans="1:20" x14ac:dyDescent="0.3">
      <c r="A27" s="60" t="s">
        <v>227</v>
      </c>
      <c r="B27" s="57">
        <v>45291</v>
      </c>
      <c r="C27" s="56" t="s">
        <v>262</v>
      </c>
      <c r="D27" s="56" t="s">
        <v>258</v>
      </c>
      <c r="E27" s="56" t="s">
        <v>201</v>
      </c>
      <c r="F27" s="56">
        <v>1</v>
      </c>
      <c r="G27" s="56">
        <v>359653</v>
      </c>
      <c r="H27" s="56">
        <v>30545.871232876711</v>
      </c>
      <c r="I27" s="56">
        <v>0</v>
      </c>
      <c r="J27" s="56">
        <v>1006</v>
      </c>
      <c r="K27" s="56">
        <v>-1006</v>
      </c>
      <c r="L27" s="56">
        <v>-3.2934074537616591</v>
      </c>
      <c r="M27" s="56" t="s">
        <v>75</v>
      </c>
      <c r="N27" s="56" t="s">
        <v>261</v>
      </c>
      <c r="O27" s="56" t="s">
        <v>261</v>
      </c>
      <c r="P27" s="56">
        <v>356979</v>
      </c>
      <c r="Q27" s="56">
        <v>-2674</v>
      </c>
      <c r="R27" s="56">
        <v>-8.7540472478714477</v>
      </c>
      <c r="S27" s="56">
        <v>-3680</v>
      </c>
      <c r="T27" s="56">
        <v>-12.047454701633111</v>
      </c>
    </row>
    <row r="28" spans="1:20" x14ac:dyDescent="0.3">
      <c r="A28" s="60" t="s">
        <v>260</v>
      </c>
      <c r="B28" s="57">
        <v>45291</v>
      </c>
      <c r="C28" s="56" t="s">
        <v>259</v>
      </c>
      <c r="D28" s="56" t="s">
        <v>258</v>
      </c>
      <c r="E28" s="56" t="s">
        <v>201</v>
      </c>
      <c r="F28" s="56">
        <v>0</v>
      </c>
      <c r="G28" s="56">
        <v>2911</v>
      </c>
      <c r="H28" s="56">
        <v>2239.4</v>
      </c>
      <c r="I28" s="56">
        <v>0</v>
      </c>
      <c r="J28" s="56">
        <v>0</v>
      </c>
      <c r="K28" s="56">
        <v>0</v>
      </c>
      <c r="L28" s="56">
        <v>0</v>
      </c>
      <c r="M28" s="56" t="s">
        <v>252</v>
      </c>
      <c r="N28" s="56" t="s">
        <v>251</v>
      </c>
      <c r="O28" s="56" t="s">
        <v>250</v>
      </c>
      <c r="P28" s="56">
        <v>2911</v>
      </c>
      <c r="Q28" s="56">
        <v>0</v>
      </c>
      <c r="R28" s="56">
        <v>0</v>
      </c>
      <c r="S28" s="56">
        <v>0</v>
      </c>
      <c r="T28" s="56">
        <v>0</v>
      </c>
    </row>
    <row r="29" spans="1:20" x14ac:dyDescent="0.3">
      <c r="A29" s="60" t="s">
        <v>257</v>
      </c>
      <c r="B29" s="57">
        <v>45291</v>
      </c>
      <c r="C29" s="56" t="s">
        <v>256</v>
      </c>
      <c r="D29" s="56" t="s">
        <v>147</v>
      </c>
      <c r="E29" s="56" t="s">
        <v>201</v>
      </c>
      <c r="F29" s="56">
        <v>1</v>
      </c>
      <c r="G29" s="56">
        <v>5835.8600000000006</v>
      </c>
      <c r="H29" s="56">
        <v>718.59019178082201</v>
      </c>
      <c r="I29" s="56">
        <v>0</v>
      </c>
      <c r="J29" s="56">
        <v>0</v>
      </c>
      <c r="K29" s="56">
        <v>0</v>
      </c>
      <c r="L29" s="56">
        <v>0</v>
      </c>
      <c r="M29" s="56" t="s">
        <v>252</v>
      </c>
      <c r="N29" s="56" t="s">
        <v>251</v>
      </c>
      <c r="O29" s="56" t="s">
        <v>253</v>
      </c>
      <c r="P29" s="56">
        <v>5835.8600000000006</v>
      </c>
      <c r="Q29" s="56">
        <v>0</v>
      </c>
      <c r="R29" s="56">
        <v>0</v>
      </c>
      <c r="S29" s="56">
        <v>0</v>
      </c>
      <c r="T29" s="56">
        <v>0</v>
      </c>
    </row>
    <row r="30" spans="1:20" x14ac:dyDescent="0.3">
      <c r="A30" s="60" t="s">
        <v>255</v>
      </c>
      <c r="B30" s="57">
        <v>45291</v>
      </c>
      <c r="C30" s="56" t="s">
        <v>254</v>
      </c>
      <c r="D30" s="56" t="s">
        <v>147</v>
      </c>
      <c r="E30" s="56" t="s">
        <v>201</v>
      </c>
      <c r="F30" s="56">
        <v>1</v>
      </c>
      <c r="G30" s="56">
        <v>3095.73</v>
      </c>
      <c r="H30" s="56">
        <v>1537.641150684932</v>
      </c>
      <c r="I30" s="56">
        <v>71.679999999999609</v>
      </c>
      <c r="J30" s="56">
        <v>10.979999999999899</v>
      </c>
      <c r="K30" s="56">
        <v>60.699999999999697</v>
      </c>
      <c r="L30" s="56">
        <v>3.9476050685142829</v>
      </c>
      <c r="M30" s="56" t="s">
        <v>137</v>
      </c>
      <c r="N30" s="56" t="s">
        <v>138</v>
      </c>
      <c r="P30" s="56">
        <v>3095.73</v>
      </c>
      <c r="Q30" s="56">
        <v>0</v>
      </c>
      <c r="R30" s="56">
        <v>0</v>
      </c>
      <c r="S30" s="56">
        <v>60.699999999999697</v>
      </c>
      <c r="T30" s="56">
        <v>3.9476050685142829</v>
      </c>
    </row>
    <row r="31" spans="1:20" x14ac:dyDescent="0.3">
      <c r="A31" s="60" t="s">
        <v>202</v>
      </c>
      <c r="B31" s="57">
        <v>45291</v>
      </c>
      <c r="C31" s="56" t="s">
        <v>203</v>
      </c>
      <c r="D31" s="56" t="s">
        <v>147</v>
      </c>
      <c r="E31" s="56" t="s">
        <v>201</v>
      </c>
      <c r="F31" s="56">
        <v>15</v>
      </c>
      <c r="G31" s="56">
        <v>2837.55</v>
      </c>
      <c r="H31" s="56">
        <v>209.90095890410959</v>
      </c>
      <c r="I31" s="56">
        <v>0</v>
      </c>
      <c r="J31" s="56">
        <v>7.0899999999996908</v>
      </c>
      <c r="K31" s="56">
        <v>-7.0899999999996908</v>
      </c>
      <c r="L31" s="56">
        <v>-3.3777835208645519</v>
      </c>
      <c r="M31" s="56" t="s">
        <v>75</v>
      </c>
      <c r="N31" s="56" t="s">
        <v>148</v>
      </c>
      <c r="O31" s="56" t="s">
        <v>91</v>
      </c>
      <c r="P31" s="56">
        <v>2867.55</v>
      </c>
      <c r="Q31" s="56">
        <v>30</v>
      </c>
      <c r="R31" s="56">
        <v>14.292454954293509</v>
      </c>
      <c r="S31" s="56">
        <v>22.910000000000309</v>
      </c>
      <c r="T31" s="56">
        <v>10.914671433428961</v>
      </c>
    </row>
    <row r="32" spans="1:20" x14ac:dyDescent="0.3">
      <c r="A32" s="60" t="s">
        <v>238</v>
      </c>
      <c r="B32" s="57">
        <v>45291</v>
      </c>
      <c r="C32" s="56" t="s">
        <v>237</v>
      </c>
      <c r="D32" s="56" t="s">
        <v>147</v>
      </c>
      <c r="E32" s="56" t="s">
        <v>201</v>
      </c>
      <c r="F32" s="56">
        <v>1</v>
      </c>
      <c r="G32" s="56">
        <v>1956.13</v>
      </c>
      <c r="H32" s="56">
        <v>53.592602739726033</v>
      </c>
      <c r="I32" s="56">
        <v>0</v>
      </c>
      <c r="J32" s="56">
        <v>0</v>
      </c>
      <c r="K32" s="56">
        <v>0</v>
      </c>
      <c r="L32" s="56">
        <v>0</v>
      </c>
      <c r="M32" s="56" t="s">
        <v>137</v>
      </c>
      <c r="N32" s="56" t="s">
        <v>138</v>
      </c>
      <c r="O32" s="56" t="s">
        <v>236</v>
      </c>
      <c r="P32" s="56">
        <v>1956.13</v>
      </c>
      <c r="Q32" s="56">
        <v>0</v>
      </c>
      <c r="R32" s="56">
        <v>0</v>
      </c>
      <c r="S32" s="56">
        <v>0</v>
      </c>
      <c r="T32" s="56">
        <v>0</v>
      </c>
    </row>
    <row r="33" spans="1:20" x14ac:dyDescent="0.3">
      <c r="A33" s="60" t="s">
        <v>125</v>
      </c>
      <c r="B33" s="57">
        <v>45291</v>
      </c>
      <c r="C33" s="56" t="s">
        <v>102</v>
      </c>
      <c r="D33" s="56" t="s">
        <v>147</v>
      </c>
      <c r="E33" s="56" t="s">
        <v>146</v>
      </c>
      <c r="F33" s="56">
        <v>12</v>
      </c>
      <c r="G33" s="56">
        <v>627.46</v>
      </c>
      <c r="H33" s="56">
        <v>179.02530054644811</v>
      </c>
      <c r="I33" s="56">
        <v>3.75</v>
      </c>
      <c r="J33" s="56">
        <v>1.610000000000021</v>
      </c>
      <c r="K33" s="56">
        <v>2.1399999999999788</v>
      </c>
      <c r="L33" s="56">
        <v>1.1953617692404079</v>
      </c>
      <c r="M33" s="56" t="s">
        <v>71</v>
      </c>
      <c r="N33" s="56" t="s">
        <v>235</v>
      </c>
      <c r="O33" s="56" t="s">
        <v>236</v>
      </c>
      <c r="P33" s="56">
        <v>670.8</v>
      </c>
      <c r="Q33" s="56">
        <v>43.339999999999918</v>
      </c>
      <c r="R33" s="56">
        <v>24.208868728448451</v>
      </c>
      <c r="S33" s="56">
        <v>45.479999999999897</v>
      </c>
      <c r="T33" s="56">
        <v>25.404230497688861</v>
      </c>
    </row>
    <row r="34" spans="1:20" x14ac:dyDescent="0.3">
      <c r="A34" s="60" t="s">
        <v>123</v>
      </c>
      <c r="B34" s="57">
        <v>45291</v>
      </c>
      <c r="C34" s="56" t="s">
        <v>100</v>
      </c>
      <c r="D34" s="56" t="s">
        <v>147</v>
      </c>
      <c r="E34" s="56" t="s">
        <v>146</v>
      </c>
      <c r="F34" s="56">
        <v>10</v>
      </c>
      <c r="G34" s="56">
        <v>516.64</v>
      </c>
      <c r="H34" s="56">
        <v>192.3726775956284</v>
      </c>
      <c r="I34" s="56">
        <v>5.5599999999999969</v>
      </c>
      <c r="J34" s="56">
        <v>1.519999999999968</v>
      </c>
      <c r="K34" s="56">
        <v>4.0400000000000293</v>
      </c>
      <c r="L34" s="56">
        <v>2.1000903301310792</v>
      </c>
      <c r="M34" s="56" t="s">
        <v>71</v>
      </c>
      <c r="N34" s="56" t="s">
        <v>235</v>
      </c>
      <c r="O34" s="56" t="s">
        <v>236</v>
      </c>
      <c r="P34" s="56">
        <v>553.4</v>
      </c>
      <c r="Q34" s="56">
        <v>36.759999999999991</v>
      </c>
      <c r="R34" s="56">
        <v>19.108742706836111</v>
      </c>
      <c r="S34" s="56">
        <v>40.800000000000018</v>
      </c>
      <c r="T34" s="56">
        <v>21.208833036967189</v>
      </c>
    </row>
    <row r="35" spans="1:20" x14ac:dyDescent="0.3">
      <c r="A35" s="60" t="s">
        <v>122</v>
      </c>
      <c r="B35" s="57">
        <v>45291</v>
      </c>
      <c r="C35" s="56" t="s">
        <v>99</v>
      </c>
      <c r="D35" s="56" t="s">
        <v>147</v>
      </c>
      <c r="E35" s="56" t="s">
        <v>146</v>
      </c>
      <c r="F35" s="56">
        <v>16</v>
      </c>
      <c r="G35" s="56">
        <v>387.21</v>
      </c>
      <c r="H35" s="56">
        <v>172.68789041095889</v>
      </c>
      <c r="I35" s="56">
        <v>12.51000000000001</v>
      </c>
      <c r="J35" s="56">
        <v>2.759999999999998</v>
      </c>
      <c r="K35" s="56">
        <v>9.7500000000000107</v>
      </c>
      <c r="L35" s="56">
        <v>5.6460241518945953</v>
      </c>
      <c r="M35" s="56" t="s">
        <v>71</v>
      </c>
      <c r="N35" s="56" t="s">
        <v>235</v>
      </c>
      <c r="O35" s="56" t="s">
        <v>247</v>
      </c>
      <c r="P35" s="56">
        <v>396.64</v>
      </c>
      <c r="Q35" s="56">
        <v>9.42999999999995</v>
      </c>
      <c r="R35" s="56">
        <v>5.4607187438323779</v>
      </c>
      <c r="S35" s="56">
        <v>19.179999999999961</v>
      </c>
      <c r="T35" s="56">
        <v>11.10674289572697</v>
      </c>
    </row>
    <row r="36" spans="1:20" x14ac:dyDescent="0.3">
      <c r="A36" s="60" t="s">
        <v>128</v>
      </c>
      <c r="B36" s="57">
        <v>45291</v>
      </c>
      <c r="C36" s="56" t="s">
        <v>105</v>
      </c>
      <c r="D36" s="56" t="s">
        <v>147</v>
      </c>
      <c r="E36" s="56" t="s">
        <v>146</v>
      </c>
      <c r="F36" s="56">
        <v>6</v>
      </c>
      <c r="G36" s="56">
        <v>380.28</v>
      </c>
      <c r="H36" s="56">
        <v>48.896767123287667</v>
      </c>
      <c r="I36" s="56">
        <v>5.08</v>
      </c>
      <c r="J36" s="56">
        <v>1.34000000000004</v>
      </c>
      <c r="K36" s="56">
        <v>3.7399999999999611</v>
      </c>
      <c r="L36" s="56">
        <v>7.6487674339900096</v>
      </c>
      <c r="M36" s="56" t="s">
        <v>137</v>
      </c>
      <c r="N36" s="56" t="s">
        <v>138</v>
      </c>
      <c r="O36" s="56" t="s">
        <v>247</v>
      </c>
      <c r="P36" s="56">
        <v>382.5</v>
      </c>
      <c r="Q36" s="56">
        <v>2.2200000000000268</v>
      </c>
      <c r="R36" s="56">
        <v>4.5401774608177021</v>
      </c>
      <c r="S36" s="56">
        <v>5.9599999999999884</v>
      </c>
      <c r="T36" s="56">
        <v>12.18894489480771</v>
      </c>
    </row>
    <row r="37" spans="1:20" x14ac:dyDescent="0.3">
      <c r="A37" s="60" t="s">
        <v>124</v>
      </c>
      <c r="B37" s="57">
        <v>45291</v>
      </c>
      <c r="C37" s="56" t="s">
        <v>101</v>
      </c>
      <c r="D37" s="56" t="s">
        <v>147</v>
      </c>
      <c r="E37" s="56" t="s">
        <v>146</v>
      </c>
      <c r="F37" s="56">
        <v>13</v>
      </c>
      <c r="G37" s="56">
        <v>386.09</v>
      </c>
      <c r="H37" s="56">
        <v>260.98473972602739</v>
      </c>
      <c r="I37" s="56">
        <v>-3.6100000000000012</v>
      </c>
      <c r="J37" s="56">
        <v>2.2699999999999929</v>
      </c>
      <c r="K37" s="56">
        <v>-5.8799999999999937</v>
      </c>
      <c r="L37" s="56">
        <v>-2.2530052930192821</v>
      </c>
      <c r="M37" s="56" t="s">
        <v>137</v>
      </c>
      <c r="N37" s="56" t="s">
        <v>138</v>
      </c>
      <c r="O37" s="56" t="s">
        <v>236</v>
      </c>
      <c r="P37" s="56">
        <v>377.26</v>
      </c>
      <c r="Q37" s="56">
        <v>-8.8299999999999841</v>
      </c>
      <c r="R37" s="56">
        <v>-3.3833395811837161</v>
      </c>
      <c r="S37" s="56">
        <v>-14.70999999999998</v>
      </c>
      <c r="T37" s="56">
        <v>-5.6363448742029956</v>
      </c>
    </row>
    <row r="38" spans="1:20" x14ac:dyDescent="0.3">
      <c r="A38" s="60" t="s">
        <v>121</v>
      </c>
      <c r="B38" s="57">
        <v>45291</v>
      </c>
      <c r="C38" s="56" t="s">
        <v>98</v>
      </c>
      <c r="D38" s="56" t="s">
        <v>147</v>
      </c>
      <c r="E38" s="56" t="s">
        <v>146</v>
      </c>
      <c r="F38" s="56">
        <v>6</v>
      </c>
      <c r="G38" s="56">
        <v>228.99</v>
      </c>
      <c r="H38" s="56">
        <v>120.29298630136989</v>
      </c>
      <c r="I38" s="56">
        <v>9.0400000000000027</v>
      </c>
      <c r="J38" s="56">
        <v>1.46</v>
      </c>
      <c r="K38" s="56">
        <v>7.5800000000000018</v>
      </c>
      <c r="L38" s="56">
        <v>6.3012817563692671</v>
      </c>
      <c r="M38" s="56" t="s">
        <v>71</v>
      </c>
      <c r="N38" s="56" t="s">
        <v>235</v>
      </c>
      <c r="O38" s="56" t="s">
        <v>247</v>
      </c>
      <c r="P38" s="56">
        <v>250.74</v>
      </c>
      <c r="Q38" s="56">
        <v>21.75</v>
      </c>
      <c r="R38" s="56">
        <v>18.08085464393556</v>
      </c>
      <c r="S38" s="56">
        <v>29.33</v>
      </c>
      <c r="T38" s="56">
        <v>24.38213640030483</v>
      </c>
    </row>
    <row r="39" spans="1:20" x14ac:dyDescent="0.3">
      <c r="A39" s="60" t="s">
        <v>117</v>
      </c>
      <c r="B39" s="57">
        <v>45291</v>
      </c>
      <c r="C39" s="56" t="s">
        <v>94</v>
      </c>
      <c r="D39" s="56" t="s">
        <v>147</v>
      </c>
      <c r="E39" s="56" t="s">
        <v>146</v>
      </c>
      <c r="F39" s="56">
        <v>13</v>
      </c>
      <c r="G39" s="56">
        <v>241.01</v>
      </c>
      <c r="H39" s="56">
        <v>122.4500547945206</v>
      </c>
      <c r="I39" s="56">
        <v>8.08</v>
      </c>
      <c r="J39" s="56">
        <v>1.5899999999999901</v>
      </c>
      <c r="K39" s="56">
        <v>6.49000000000001</v>
      </c>
      <c r="L39" s="56">
        <v>5.3001201272556937</v>
      </c>
      <c r="M39" s="56" t="s">
        <v>71</v>
      </c>
      <c r="N39" s="56" t="s">
        <v>235</v>
      </c>
      <c r="O39" s="56" t="s">
        <v>247</v>
      </c>
      <c r="P39" s="56">
        <v>225.81</v>
      </c>
      <c r="Q39" s="56">
        <v>-15.200000000000021</v>
      </c>
      <c r="R39" s="56">
        <v>-12.413224335021029</v>
      </c>
      <c r="S39" s="56">
        <v>-8.710000000000008</v>
      </c>
      <c r="T39" s="56">
        <v>-7.1131042077653417</v>
      </c>
    </row>
    <row r="40" spans="1:20" x14ac:dyDescent="0.3">
      <c r="A40" s="60" t="s">
        <v>115</v>
      </c>
      <c r="B40" s="57">
        <v>45291</v>
      </c>
      <c r="C40" s="56" t="s">
        <v>92</v>
      </c>
      <c r="D40" s="56" t="s">
        <v>147</v>
      </c>
      <c r="E40" s="56" t="s">
        <v>146</v>
      </c>
      <c r="F40" s="56">
        <v>9</v>
      </c>
      <c r="G40" s="56">
        <v>233</v>
      </c>
      <c r="H40" s="56">
        <v>121.26769863013701</v>
      </c>
      <c r="I40" s="56">
        <v>6.8100000000000014</v>
      </c>
      <c r="J40" s="56">
        <v>1.4100000000000079</v>
      </c>
      <c r="K40" s="56">
        <v>5.3999999999999932</v>
      </c>
      <c r="L40" s="56">
        <v>4.4529582576394384</v>
      </c>
      <c r="M40" s="56" t="s">
        <v>71</v>
      </c>
      <c r="N40" s="56" t="s">
        <v>235</v>
      </c>
      <c r="O40" s="56" t="s">
        <v>247</v>
      </c>
      <c r="P40" s="56">
        <v>216.27</v>
      </c>
      <c r="Q40" s="56">
        <v>-16.72999999999999</v>
      </c>
      <c r="R40" s="56">
        <v>-13.795924379686641</v>
      </c>
      <c r="S40" s="56">
        <v>-11.33</v>
      </c>
      <c r="T40" s="56">
        <v>-9.3429661220472013</v>
      </c>
    </row>
    <row r="41" spans="1:20" x14ac:dyDescent="0.3">
      <c r="A41" s="60" t="s">
        <v>87</v>
      </c>
      <c r="B41" s="57">
        <v>45291</v>
      </c>
      <c r="C41" s="56" t="s">
        <v>111</v>
      </c>
      <c r="D41" s="56" t="s">
        <v>147</v>
      </c>
      <c r="E41" s="56" t="s">
        <v>146</v>
      </c>
      <c r="F41" s="56">
        <v>1</v>
      </c>
      <c r="G41" s="56">
        <v>212.15999999999991</v>
      </c>
      <c r="H41" s="56">
        <v>59.624191780821782</v>
      </c>
      <c r="I41" s="56">
        <v>0</v>
      </c>
      <c r="J41" s="56">
        <v>0</v>
      </c>
      <c r="K41" s="56">
        <v>0</v>
      </c>
      <c r="L41" s="56">
        <v>0</v>
      </c>
      <c r="M41" s="56" t="s">
        <v>252</v>
      </c>
      <c r="N41" s="56" t="s">
        <v>251</v>
      </c>
      <c r="O41" s="56" t="s">
        <v>250</v>
      </c>
      <c r="P41" s="56">
        <v>212.15999999999991</v>
      </c>
      <c r="Q41" s="56">
        <v>0</v>
      </c>
      <c r="R41" s="56">
        <v>0</v>
      </c>
      <c r="S41" s="56">
        <v>0</v>
      </c>
      <c r="T41" s="56">
        <v>0</v>
      </c>
    </row>
    <row r="42" spans="1:20" x14ac:dyDescent="0.3">
      <c r="A42" s="60" t="s">
        <v>116</v>
      </c>
      <c r="B42" s="57">
        <v>45291</v>
      </c>
      <c r="C42" s="56" t="s">
        <v>93</v>
      </c>
      <c r="D42" s="56" t="s">
        <v>147</v>
      </c>
      <c r="E42" s="56" t="s">
        <v>146</v>
      </c>
      <c r="F42" s="56">
        <v>6</v>
      </c>
      <c r="G42" s="56">
        <v>213.54</v>
      </c>
      <c r="H42" s="56">
        <v>26.045589041095891</v>
      </c>
      <c r="I42" s="56">
        <v>8.240000000000002</v>
      </c>
      <c r="J42" s="56">
        <v>1.839999999999967</v>
      </c>
      <c r="K42" s="56">
        <v>6.400000000000035</v>
      </c>
      <c r="L42" s="56">
        <v>24.572298940530121</v>
      </c>
      <c r="M42" s="56" t="s">
        <v>71</v>
      </c>
      <c r="N42" s="56" t="s">
        <v>235</v>
      </c>
      <c r="O42" s="56" t="s">
        <v>247</v>
      </c>
      <c r="P42" s="56">
        <v>209.76</v>
      </c>
      <c r="Q42" s="56">
        <v>-3.78000000000003</v>
      </c>
      <c r="R42" s="56">
        <v>-14.51301406175063</v>
      </c>
      <c r="S42" s="56">
        <v>2.620000000000005</v>
      </c>
      <c r="T42" s="56">
        <v>10.059284878779479</v>
      </c>
    </row>
    <row r="43" spans="1:20" x14ac:dyDescent="0.3">
      <c r="A43" s="60" t="s">
        <v>113</v>
      </c>
      <c r="B43" s="57">
        <v>45291</v>
      </c>
      <c r="C43" s="56" t="s">
        <v>90</v>
      </c>
      <c r="D43" s="56" t="s">
        <v>147</v>
      </c>
      <c r="E43" s="56" t="s">
        <v>146</v>
      </c>
      <c r="F43" s="56">
        <v>8</v>
      </c>
      <c r="G43" s="56">
        <v>150.4</v>
      </c>
      <c r="H43" s="56">
        <v>122.4261643835617</v>
      </c>
      <c r="I43" s="56">
        <v>-0.88000000000001677</v>
      </c>
      <c r="J43" s="56">
        <v>1.049999999999955</v>
      </c>
      <c r="K43" s="56">
        <v>-1.9299999999999711</v>
      </c>
      <c r="L43" s="56">
        <v>-1.576460399390831</v>
      </c>
      <c r="M43" s="56" t="s">
        <v>75</v>
      </c>
      <c r="N43" s="56" t="s">
        <v>148</v>
      </c>
      <c r="O43" s="56" t="s">
        <v>91</v>
      </c>
      <c r="P43" s="56">
        <v>157.91999999999999</v>
      </c>
      <c r="Q43" s="56">
        <v>7.5199999999999818</v>
      </c>
      <c r="R43" s="56">
        <v>6.142477825605801</v>
      </c>
      <c r="S43" s="56">
        <v>5.5900000000000114</v>
      </c>
      <c r="T43" s="56">
        <v>4.5660174262149704</v>
      </c>
    </row>
    <row r="44" spans="1:20" x14ac:dyDescent="0.3">
      <c r="A44" s="60" t="s">
        <v>118</v>
      </c>
      <c r="B44" s="57">
        <v>45291</v>
      </c>
      <c r="C44" s="56" t="s">
        <v>95</v>
      </c>
      <c r="D44" s="56" t="s">
        <v>147</v>
      </c>
      <c r="E44" s="56" t="s">
        <v>146</v>
      </c>
      <c r="F44" s="56">
        <v>2</v>
      </c>
      <c r="G44" s="56">
        <v>120.1099999999999</v>
      </c>
      <c r="H44" s="56">
        <v>219.68799999999999</v>
      </c>
      <c r="I44" s="56">
        <v>27.97000000000001</v>
      </c>
      <c r="J44" s="56">
        <v>2.440000000000051</v>
      </c>
      <c r="K44" s="56">
        <v>25.529999999999959</v>
      </c>
      <c r="L44" s="56">
        <v>11.621026182586199</v>
      </c>
      <c r="M44" s="56" t="s">
        <v>71</v>
      </c>
      <c r="N44" s="56" t="s">
        <v>235</v>
      </c>
      <c r="O44" s="56" t="s">
        <v>236</v>
      </c>
      <c r="P44" s="56">
        <v>128.28</v>
      </c>
      <c r="Q44" s="56">
        <v>8.1700000000000728</v>
      </c>
      <c r="R44" s="56">
        <v>3.718910454826879</v>
      </c>
      <c r="S44" s="56">
        <v>33.700000000000031</v>
      </c>
      <c r="T44" s="56">
        <v>15.33993663741307</v>
      </c>
    </row>
    <row r="45" spans="1:20" x14ac:dyDescent="0.3">
      <c r="A45" s="60" t="s">
        <v>114</v>
      </c>
      <c r="B45" s="57">
        <v>45291</v>
      </c>
      <c r="C45" s="56" t="s">
        <v>91</v>
      </c>
      <c r="D45" s="56" t="s">
        <v>147</v>
      </c>
      <c r="E45" s="56" t="s">
        <v>146</v>
      </c>
      <c r="F45" s="56">
        <v>6</v>
      </c>
      <c r="G45" s="56">
        <v>79.960000000000008</v>
      </c>
      <c r="H45" s="56">
        <v>45.428306010928956</v>
      </c>
      <c r="I45" s="56">
        <v>5.1699999999999973</v>
      </c>
      <c r="J45" s="56">
        <v>0.62000000000000455</v>
      </c>
      <c r="K45" s="56">
        <v>4.5499999999999927</v>
      </c>
      <c r="L45" s="56">
        <v>10.01578178791296</v>
      </c>
      <c r="M45" s="56" t="s">
        <v>75</v>
      </c>
      <c r="N45" s="56" t="s">
        <v>148</v>
      </c>
      <c r="O45" s="56" t="s">
        <v>91</v>
      </c>
      <c r="P45" s="56">
        <v>79.8</v>
      </c>
      <c r="Q45" s="56">
        <v>-0.1600000000000108</v>
      </c>
      <c r="R45" s="56">
        <v>-0.35220331561894169</v>
      </c>
      <c r="S45" s="56">
        <v>4.3899999999999819</v>
      </c>
      <c r="T45" s="56">
        <v>9.6635784722940219</v>
      </c>
    </row>
    <row r="46" spans="1:20" x14ac:dyDescent="0.3">
      <c r="A46" s="60" t="s">
        <v>119</v>
      </c>
      <c r="B46" s="57">
        <v>45291</v>
      </c>
      <c r="C46" s="56" t="s">
        <v>96</v>
      </c>
      <c r="D46" s="56" t="s">
        <v>147</v>
      </c>
      <c r="E46" s="56" t="s">
        <v>146</v>
      </c>
      <c r="F46" s="56">
        <v>1</v>
      </c>
      <c r="G46" s="56">
        <v>69.140000000000015</v>
      </c>
      <c r="H46" s="56">
        <v>25.138904109589038</v>
      </c>
      <c r="I46" s="56">
        <v>-0.28999999999999598</v>
      </c>
      <c r="J46" s="56">
        <v>0.68999999999999695</v>
      </c>
      <c r="K46" s="56">
        <v>-0.97999999999999299</v>
      </c>
      <c r="L46" s="56">
        <v>-3.8983401811305671</v>
      </c>
      <c r="M46" s="56" t="s">
        <v>71</v>
      </c>
      <c r="N46" s="56" t="s">
        <v>235</v>
      </c>
      <c r="O46" s="56" t="s">
        <v>247</v>
      </c>
      <c r="P46" s="56">
        <v>67.849999999999994</v>
      </c>
      <c r="Q46" s="56">
        <v>-1.29000000000002</v>
      </c>
      <c r="R46" s="56">
        <v>-5.1314886057740274</v>
      </c>
      <c r="S46" s="56">
        <v>-2.2700000000000129</v>
      </c>
      <c r="T46" s="56">
        <v>-9.0298287869045932</v>
      </c>
    </row>
    <row r="47" spans="1:20" x14ac:dyDescent="0.3">
      <c r="A47" s="60" t="s">
        <v>126</v>
      </c>
      <c r="B47" s="57">
        <v>45291</v>
      </c>
      <c r="C47" s="56" t="s">
        <v>103</v>
      </c>
      <c r="D47" s="56" t="s">
        <v>147</v>
      </c>
      <c r="E47" s="56" t="s">
        <v>146</v>
      </c>
      <c r="F47" s="56">
        <v>0</v>
      </c>
      <c r="G47" s="56">
        <v>1.4210854715202001E-14</v>
      </c>
      <c r="H47" s="56">
        <v>42.482301369863023</v>
      </c>
      <c r="I47" s="56">
        <v>6.0700000000000083</v>
      </c>
      <c r="J47" s="56">
        <v>0.73999999999999966</v>
      </c>
      <c r="K47" s="56">
        <v>5.330000000000009</v>
      </c>
      <c r="L47" s="56">
        <v>12.546401273310289</v>
      </c>
      <c r="M47" s="56" t="s">
        <v>137</v>
      </c>
      <c r="N47" s="56" t="s">
        <v>138</v>
      </c>
      <c r="O47" s="56" t="s">
        <v>103</v>
      </c>
      <c r="P47" s="56">
        <v>1.4210854715202001E-14</v>
      </c>
      <c r="Q47" s="56">
        <v>0</v>
      </c>
      <c r="R47" s="56">
        <v>0</v>
      </c>
      <c r="S47" s="56">
        <v>5.330000000000009</v>
      </c>
      <c r="T47" s="56">
        <v>12.546401273310289</v>
      </c>
    </row>
    <row r="48" spans="1:20" x14ac:dyDescent="0.3">
      <c r="A48" s="60" t="s">
        <v>130</v>
      </c>
      <c r="B48" s="57">
        <v>45291</v>
      </c>
      <c r="C48" s="56" t="s">
        <v>107</v>
      </c>
      <c r="D48" s="56" t="s">
        <v>147</v>
      </c>
      <c r="E48" s="56" t="s">
        <v>146</v>
      </c>
      <c r="F48" s="56">
        <v>0</v>
      </c>
      <c r="G48" s="56">
        <v>0</v>
      </c>
      <c r="H48" s="56">
        <v>50.767890410958898</v>
      </c>
      <c r="I48" s="56">
        <v>7.5700000000000172</v>
      </c>
      <c r="J48" s="56">
        <v>1.5800000000000201</v>
      </c>
      <c r="K48" s="56">
        <v>5.9899999999999984</v>
      </c>
      <c r="L48" s="56">
        <v>11.79879634846316</v>
      </c>
      <c r="M48" s="56" t="s">
        <v>71</v>
      </c>
      <c r="N48" s="56" t="s">
        <v>235</v>
      </c>
      <c r="O48" s="56" t="s">
        <v>236</v>
      </c>
      <c r="P48" s="56">
        <v>0</v>
      </c>
      <c r="Q48" s="56">
        <v>0</v>
      </c>
      <c r="R48" s="56">
        <v>0</v>
      </c>
      <c r="S48" s="56">
        <v>5.9899999999999984</v>
      </c>
      <c r="T48" s="56">
        <v>11.79879634846316</v>
      </c>
    </row>
    <row r="49" spans="1:20" x14ac:dyDescent="0.3">
      <c r="A49" s="60" t="s">
        <v>141</v>
      </c>
      <c r="B49" s="57">
        <v>45291</v>
      </c>
      <c r="C49" s="56" t="s">
        <v>144</v>
      </c>
      <c r="D49" s="56" t="s">
        <v>147</v>
      </c>
      <c r="E49" s="56" t="s">
        <v>146</v>
      </c>
      <c r="F49" s="56">
        <v>0</v>
      </c>
      <c r="G49" s="56">
        <v>0</v>
      </c>
      <c r="H49" s="56">
        <v>27.480821917808221</v>
      </c>
      <c r="I49" s="56">
        <v>4.2199999999999953</v>
      </c>
      <c r="J49" s="56">
        <v>0.35999999999998522</v>
      </c>
      <c r="K49" s="56">
        <v>3.8600000000000101</v>
      </c>
      <c r="L49" s="56">
        <v>14.04615921439613</v>
      </c>
      <c r="M49" s="56" t="s">
        <v>137</v>
      </c>
      <c r="N49" s="56" t="s">
        <v>138</v>
      </c>
      <c r="O49" s="56" t="s">
        <v>247</v>
      </c>
      <c r="P49" s="56">
        <v>0</v>
      </c>
      <c r="Q49" s="56">
        <v>0</v>
      </c>
      <c r="R49" s="56">
        <v>0</v>
      </c>
      <c r="S49" s="56">
        <v>3.8600000000000101</v>
      </c>
      <c r="T49" s="56">
        <v>14.04615921439613</v>
      </c>
    </row>
    <row r="50" spans="1:20" x14ac:dyDescent="0.3">
      <c r="A50" s="60" t="s">
        <v>140</v>
      </c>
      <c r="B50" s="57">
        <v>45291</v>
      </c>
      <c r="C50" s="56" t="s">
        <v>145</v>
      </c>
      <c r="D50" s="56" t="s">
        <v>147</v>
      </c>
      <c r="E50" s="56" t="s">
        <v>146</v>
      </c>
      <c r="F50" s="56">
        <v>0</v>
      </c>
      <c r="G50" s="56">
        <v>0</v>
      </c>
      <c r="H50" s="56">
        <v>98.282630136986285</v>
      </c>
      <c r="I50" s="56">
        <v>-26.519999999999971</v>
      </c>
      <c r="J50" s="56">
        <v>2.0699999999999839</v>
      </c>
      <c r="K50" s="56">
        <v>-28.589999999999961</v>
      </c>
      <c r="L50" s="56">
        <v>-29.0895756047139</v>
      </c>
      <c r="M50" s="56" t="s">
        <v>75</v>
      </c>
      <c r="N50" s="56" t="s">
        <v>148</v>
      </c>
      <c r="O50" s="56" t="s">
        <v>244</v>
      </c>
      <c r="P50" s="56">
        <v>0</v>
      </c>
      <c r="Q50" s="56">
        <v>0</v>
      </c>
      <c r="R50" s="56">
        <v>0</v>
      </c>
      <c r="S50" s="56">
        <v>-28.589999999999961</v>
      </c>
      <c r="T50" s="56">
        <v>-29.0895756047139</v>
      </c>
    </row>
    <row r="51" spans="1:20" x14ac:dyDescent="0.3">
      <c r="A51" s="60" t="s">
        <v>129</v>
      </c>
      <c r="B51" s="57">
        <v>45291</v>
      </c>
      <c r="C51" s="56" t="s">
        <v>106</v>
      </c>
      <c r="D51" s="56" t="s">
        <v>147</v>
      </c>
      <c r="E51" s="56" t="s">
        <v>146</v>
      </c>
      <c r="F51" s="56">
        <v>0</v>
      </c>
      <c r="G51" s="56">
        <v>0</v>
      </c>
      <c r="H51" s="56">
        <v>27.828328767123288</v>
      </c>
      <c r="I51" s="56">
        <v>-0.77999999999999403</v>
      </c>
      <c r="J51" s="56">
        <v>1.380000000000003</v>
      </c>
      <c r="K51" s="56">
        <v>-2.159999999999997</v>
      </c>
      <c r="L51" s="56">
        <v>-7.7618746640360472</v>
      </c>
      <c r="M51" s="56" t="s">
        <v>75</v>
      </c>
      <c r="N51" s="56" t="s">
        <v>148</v>
      </c>
      <c r="O51" s="56" t="s">
        <v>251</v>
      </c>
      <c r="P51" s="56">
        <v>0</v>
      </c>
      <c r="Q51" s="56">
        <v>0</v>
      </c>
      <c r="R51" s="56">
        <v>0</v>
      </c>
      <c r="S51" s="56">
        <v>-2.159999999999997</v>
      </c>
      <c r="T51" s="56">
        <v>-7.7618746640360472</v>
      </c>
    </row>
    <row r="52" spans="1:20" x14ac:dyDescent="0.3">
      <c r="A52" s="60" t="s">
        <v>120</v>
      </c>
      <c r="B52" s="57">
        <v>45291</v>
      </c>
      <c r="C52" s="56" t="s">
        <v>97</v>
      </c>
      <c r="D52" s="56" t="s">
        <v>147</v>
      </c>
      <c r="E52" s="56" t="s">
        <v>146</v>
      </c>
      <c r="F52" s="56">
        <v>0</v>
      </c>
      <c r="G52" s="56">
        <v>0</v>
      </c>
      <c r="H52" s="56">
        <v>68.19967123287671</v>
      </c>
      <c r="I52" s="56">
        <v>-3.0000000000018009E-2</v>
      </c>
      <c r="J52" s="56">
        <v>1.669999999999997</v>
      </c>
      <c r="K52" s="56">
        <v>-1.7000000000000151</v>
      </c>
      <c r="L52" s="56">
        <v>-2.4926806379977142</v>
      </c>
      <c r="M52" s="56" t="s">
        <v>71</v>
      </c>
      <c r="N52" s="56" t="s">
        <v>235</v>
      </c>
      <c r="O52" s="56" t="s">
        <v>236</v>
      </c>
      <c r="P52" s="56">
        <v>0</v>
      </c>
      <c r="Q52" s="56">
        <v>0</v>
      </c>
      <c r="R52" s="56">
        <v>0</v>
      </c>
      <c r="S52" s="56">
        <v>-1.7000000000000151</v>
      </c>
      <c r="T52" s="56">
        <v>-2.4926806379977142</v>
      </c>
    </row>
    <row r="53" spans="1:20" x14ac:dyDescent="0.3">
      <c r="A53" s="60" t="s">
        <v>156</v>
      </c>
      <c r="B53" s="57">
        <v>45291</v>
      </c>
      <c r="C53" s="56" t="s">
        <v>155</v>
      </c>
      <c r="D53" s="56" t="s">
        <v>147</v>
      </c>
      <c r="E53" s="56" t="s">
        <v>146</v>
      </c>
      <c r="F53" s="56">
        <v>0</v>
      </c>
      <c r="G53" s="56">
        <v>0</v>
      </c>
      <c r="H53" s="56">
        <v>26.657753424657539</v>
      </c>
      <c r="I53" s="56">
        <v>16.45999999999998</v>
      </c>
      <c r="J53" s="56">
        <v>0.79999999999998295</v>
      </c>
      <c r="K53" s="56">
        <v>15.66</v>
      </c>
      <c r="L53" s="56">
        <v>58.744635193133043</v>
      </c>
      <c r="M53" s="56" t="s">
        <v>71</v>
      </c>
      <c r="N53" s="56" t="s">
        <v>235</v>
      </c>
      <c r="O53" s="56" t="s">
        <v>236</v>
      </c>
      <c r="P53" s="56">
        <v>0</v>
      </c>
      <c r="Q53" s="56">
        <v>0</v>
      </c>
      <c r="R53" s="56">
        <v>0</v>
      </c>
      <c r="S53" s="56">
        <v>15.66</v>
      </c>
      <c r="T53" s="56">
        <v>58.744635193133043</v>
      </c>
    </row>
    <row r="54" spans="1:20" x14ac:dyDescent="0.3">
      <c r="A54" s="60" t="s">
        <v>89</v>
      </c>
      <c r="B54" s="57">
        <v>45291</v>
      </c>
      <c r="C54" s="56" t="s">
        <v>149</v>
      </c>
      <c r="D54" s="56" t="s">
        <v>147</v>
      </c>
      <c r="E54" s="56" t="s">
        <v>201</v>
      </c>
      <c r="F54" s="56">
        <v>1</v>
      </c>
      <c r="G54" s="56">
        <v>0</v>
      </c>
      <c r="H54" s="56">
        <v>1139.6322191780821</v>
      </c>
      <c r="I54" s="56">
        <v>36.729999999997183</v>
      </c>
      <c r="J54" s="56">
        <v>5.4799999999978581</v>
      </c>
      <c r="K54" s="56">
        <v>31.249999999999321</v>
      </c>
      <c r="L54" s="56">
        <v>2.7421127162004271</v>
      </c>
      <c r="M54" s="56" t="s">
        <v>252</v>
      </c>
      <c r="N54" s="56" t="s">
        <v>251</v>
      </c>
      <c r="O54" s="56" t="s">
        <v>253</v>
      </c>
      <c r="P54" s="56">
        <v>0</v>
      </c>
      <c r="Q54" s="56">
        <v>0</v>
      </c>
      <c r="R54" s="56">
        <v>0</v>
      </c>
      <c r="S54" s="56">
        <v>31.249999999999321</v>
      </c>
      <c r="T54" s="56">
        <v>2.7421127162004271</v>
      </c>
    </row>
    <row r="55" spans="1:20" x14ac:dyDescent="0.3">
      <c r="A55" s="60" t="s">
        <v>151</v>
      </c>
      <c r="B55" s="57">
        <v>45291</v>
      </c>
      <c r="C55" s="56" t="s">
        <v>152</v>
      </c>
      <c r="D55" s="56" t="s">
        <v>147</v>
      </c>
      <c r="E55" s="56" t="s">
        <v>201</v>
      </c>
      <c r="F55" s="56">
        <v>0</v>
      </c>
      <c r="G55" s="56">
        <v>0</v>
      </c>
      <c r="H55" s="56">
        <v>321.11841095890412</v>
      </c>
      <c r="I55" s="56">
        <v>14.670000000000069</v>
      </c>
      <c r="J55" s="56">
        <v>0</v>
      </c>
      <c r="K55" s="56">
        <v>14.670000000000069</v>
      </c>
      <c r="L55" s="56">
        <v>4.5684082566905513</v>
      </c>
      <c r="M55" s="56" t="s">
        <v>137</v>
      </c>
      <c r="N55" s="56" t="s">
        <v>138</v>
      </c>
      <c r="P55" s="56">
        <v>0</v>
      </c>
      <c r="Q55" s="56">
        <v>0</v>
      </c>
      <c r="R55" s="56">
        <v>0</v>
      </c>
      <c r="S55" s="56">
        <v>14.670000000000069</v>
      </c>
      <c r="T55" s="56">
        <v>4.5684082566905513</v>
      </c>
    </row>
    <row r="56" spans="1:20" x14ac:dyDescent="0.3">
      <c r="A56" s="60" t="s">
        <v>88</v>
      </c>
      <c r="B56" s="57">
        <v>45291</v>
      </c>
      <c r="C56" s="56" t="s">
        <v>112</v>
      </c>
      <c r="D56" s="56" t="s">
        <v>147</v>
      </c>
      <c r="E56" s="56" t="s">
        <v>201</v>
      </c>
      <c r="F56" s="56">
        <v>1</v>
      </c>
      <c r="G56" s="56">
        <v>-9.0949470177292824E-13</v>
      </c>
      <c r="H56" s="56">
        <v>112.4894794520545</v>
      </c>
      <c r="I56" s="56">
        <v>0</v>
      </c>
      <c r="J56" s="56">
        <v>0</v>
      </c>
      <c r="K56" s="56">
        <v>0</v>
      </c>
      <c r="L56" s="56">
        <v>0</v>
      </c>
      <c r="M56" s="56" t="s">
        <v>252</v>
      </c>
      <c r="N56" s="56" t="s">
        <v>251</v>
      </c>
      <c r="O56" s="56" t="s">
        <v>250</v>
      </c>
      <c r="P56" s="56">
        <v>-9.0949470177292824E-13</v>
      </c>
      <c r="Q56" s="56">
        <v>0</v>
      </c>
      <c r="R56" s="56">
        <v>0</v>
      </c>
      <c r="S56" s="56">
        <v>0</v>
      </c>
      <c r="T56" s="56">
        <v>0</v>
      </c>
    </row>
    <row r="57" spans="1:20" x14ac:dyDescent="0.3">
      <c r="A57" s="60" t="s">
        <v>127</v>
      </c>
      <c r="B57" s="57">
        <v>45291</v>
      </c>
      <c r="C57" s="56" t="s">
        <v>104</v>
      </c>
      <c r="D57" s="56" t="s">
        <v>147</v>
      </c>
      <c r="E57" s="56" t="s">
        <v>146</v>
      </c>
      <c r="F57" s="56">
        <v>0</v>
      </c>
      <c r="G57" s="56">
        <v>-9.9999999999909051E-3</v>
      </c>
      <c r="H57" s="56">
        <v>170.78200000000001</v>
      </c>
      <c r="I57" s="56">
        <v>5.4100000000000126</v>
      </c>
      <c r="J57" s="56">
        <v>2.2500000000000262</v>
      </c>
      <c r="K57" s="56">
        <v>3.1599999999999868</v>
      </c>
      <c r="L57" s="56">
        <v>1.850312093780367</v>
      </c>
      <c r="M57" s="56" t="s">
        <v>137</v>
      </c>
      <c r="N57" s="56" t="s">
        <v>138</v>
      </c>
      <c r="O57" s="56" t="s">
        <v>249</v>
      </c>
      <c r="P57" s="56">
        <v>-9.9999999999909051E-3</v>
      </c>
      <c r="Q57" s="56">
        <v>0</v>
      </c>
      <c r="R57" s="56">
        <v>0</v>
      </c>
      <c r="S57" s="56">
        <v>3.1599999999999868</v>
      </c>
      <c r="T57" s="56">
        <v>1.850312093780367</v>
      </c>
    </row>
  </sheetData>
  <phoneticPr fontId="7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L31" sqref="L31"/>
    </sheetView>
  </sheetViews>
  <sheetFormatPr defaultRowHeight="16.5" x14ac:dyDescent="0.3"/>
  <cols>
    <col min="1" max="2" width="10.25" customWidth="1"/>
    <col min="3" max="4" width="15.25" bestFit="1" customWidth="1"/>
    <col min="5" max="5" width="11.25" bestFit="1" customWidth="1"/>
    <col min="6" max="6" width="9.5" bestFit="1" customWidth="1"/>
    <col min="7" max="10" width="10.25" customWidth="1"/>
    <col min="12" max="12" width="12.125" customWidth="1"/>
    <col min="13" max="15" width="10.25" customWidth="1"/>
    <col min="17" max="17" width="9.625" customWidth="1"/>
    <col min="18" max="18" width="13.375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6" t="s">
        <v>62</v>
      </c>
    </row>
    <row r="2" spans="1:19" x14ac:dyDescent="0.3">
      <c r="A2" s="71">
        <v>45292</v>
      </c>
      <c r="B2" s="72" t="s">
        <v>385</v>
      </c>
      <c r="C2" s="71" t="str">
        <f>VLOOKUP(농협IRP[[#This Row],[종목코드]],연금종목정보[],2,FALSE)</f>
        <v>농협현금</v>
      </c>
      <c r="D2" s="73" t="str">
        <f>VLOOKUP(농협IRP[[#This Row],[종목코드]],연금종목정보[],4,FALSE)</f>
        <v>농협현금성자산</v>
      </c>
      <c r="E2" s="74">
        <v>1</v>
      </c>
      <c r="F2" s="75">
        <v>2777566</v>
      </c>
      <c r="G2" s="75">
        <v>2777566</v>
      </c>
      <c r="H2" s="76">
        <f>농협IRP[[#This Row],[현금지출]]-농협IRP[[#This Row],[매입액]]</f>
        <v>0</v>
      </c>
      <c r="I2" s="77">
        <v>0</v>
      </c>
      <c r="J2" s="75">
        <v>0</v>
      </c>
      <c r="K2" s="75">
        <v>0</v>
      </c>
      <c r="L2" s="78">
        <v>0</v>
      </c>
      <c r="M2" s="75">
        <v>0</v>
      </c>
      <c r="N2" s="78">
        <f>농협IRP[[#This Row],[매도액]]-농협IRP[[#This Row],[매도원금]]</f>
        <v>0</v>
      </c>
      <c r="O2" s="78">
        <f>농협IRP[[#This Row],[매도액]]+농협IRP[[#This Row],[이자배당액]]-농협IRP[[#This Row],[현금수입]]</f>
        <v>0</v>
      </c>
      <c r="P2" s="78">
        <f>농협IRP[[#This Row],[매매수익]]+농협IRP[[#This Row],[이자배당액]]-농협IRP[[#This Row],[매도비용]]-농협IRP[[#This Row],[매입비용]]</f>
        <v>0</v>
      </c>
      <c r="Q2" s="75">
        <v>2777566</v>
      </c>
      <c r="R2" s="77">
        <f>농협IRP[[#This Row],[입출금]]+농협IRP[[#This Row],[현금수입]]-농협IRP[[#This Row],[현금지출]]</f>
        <v>0</v>
      </c>
      <c r="S2" s="78">
        <f>SUM($R$2:R2)</f>
        <v>0</v>
      </c>
    </row>
    <row r="3" spans="1:19" x14ac:dyDescent="0.3">
      <c r="A3" s="71">
        <v>45292</v>
      </c>
      <c r="B3" s="72" t="s">
        <v>386</v>
      </c>
      <c r="C3" s="71" t="str">
        <f>VLOOKUP(농협IRP[[#This Row],[종목코드]],연금종목정보[],2,FALSE)</f>
        <v>신한정기예금1Y</v>
      </c>
      <c r="D3" s="73" t="str">
        <f>VLOOKUP(농협IRP[[#This Row],[종목코드]],연금종목정보[],4,FALSE)</f>
        <v>신한정기예금1Y</v>
      </c>
      <c r="E3" s="74">
        <v>1</v>
      </c>
      <c r="F3" s="75">
        <v>10628881</v>
      </c>
      <c r="G3" s="75">
        <v>10628881</v>
      </c>
      <c r="H3" s="76">
        <f>농협IRP[[#This Row],[현금지출]]-농협IRP[[#This Row],[매입액]]</f>
        <v>0</v>
      </c>
      <c r="I3" s="77">
        <v>0</v>
      </c>
      <c r="J3" s="75">
        <v>0</v>
      </c>
      <c r="K3" s="75">
        <v>0</v>
      </c>
      <c r="L3" s="78">
        <v>0</v>
      </c>
      <c r="M3" s="75">
        <v>0</v>
      </c>
      <c r="N3" s="78">
        <f>농협IRP[[#This Row],[매도액]]-농협IRP[[#This Row],[매도원금]]</f>
        <v>0</v>
      </c>
      <c r="O3" s="78">
        <f>농협IRP[[#This Row],[매도액]]+농협IRP[[#This Row],[이자배당액]]-농협IRP[[#This Row],[현금수입]]</f>
        <v>0</v>
      </c>
      <c r="P3" s="78">
        <f>농협IRP[[#This Row],[매매수익]]+농협IRP[[#This Row],[이자배당액]]-농협IRP[[#This Row],[매도비용]]-농협IRP[[#This Row],[매입비용]]</f>
        <v>0</v>
      </c>
      <c r="Q3" s="75">
        <v>10628881</v>
      </c>
      <c r="R3" s="77">
        <f>농협IRP[[#This Row],[입출금]]+농협IRP[[#This Row],[현금수입]]-농협IRP[[#This Row],[현금지출]]</f>
        <v>0</v>
      </c>
      <c r="S3" s="77">
        <f>SUM($R$2:R3)</f>
        <v>0</v>
      </c>
    </row>
    <row r="4" spans="1:19" x14ac:dyDescent="0.3">
      <c r="A4" s="71">
        <v>45292</v>
      </c>
      <c r="B4" s="81" t="s">
        <v>387</v>
      </c>
      <c r="C4" s="80" t="str">
        <f>VLOOKUP(농협IRP[[#This Row],[종목코드]],연금종목정보[],2,FALSE)</f>
        <v>다올정기예금1Y</v>
      </c>
      <c r="D4" s="82" t="str">
        <f>VLOOKUP(농협IRP[[#This Row],[종목코드]],연금종목정보[],4,FALSE)</f>
        <v>다올정기예금1Y</v>
      </c>
      <c r="E4" s="83">
        <v>1</v>
      </c>
      <c r="F4" s="84">
        <v>6123103</v>
      </c>
      <c r="G4" s="84">
        <v>6123103</v>
      </c>
      <c r="H4" s="85">
        <f>농협IRP[[#This Row],[현금지출]]-농협IRP[[#This Row],[매입액]]</f>
        <v>0</v>
      </c>
      <c r="I4" s="86">
        <v>0</v>
      </c>
      <c r="J4" s="84">
        <v>0</v>
      </c>
      <c r="K4" s="84">
        <v>0</v>
      </c>
      <c r="L4" s="87">
        <v>0</v>
      </c>
      <c r="M4" s="84">
        <v>0</v>
      </c>
      <c r="N4" s="87">
        <f>농협IRP[[#This Row],[매도액]]-농협IRP[[#This Row],[매도원금]]</f>
        <v>0</v>
      </c>
      <c r="O4" s="87">
        <f>농협IRP[[#This Row],[매도액]]+농협IRP[[#This Row],[이자배당액]]-농협IRP[[#This Row],[현금수입]]</f>
        <v>0</v>
      </c>
      <c r="P4" s="87">
        <f>농협IRP[[#This Row],[매매수익]]+농협IRP[[#This Row],[이자배당액]]-농협IRP[[#This Row],[매도비용]]-농협IRP[[#This Row],[매입비용]]</f>
        <v>0</v>
      </c>
      <c r="Q4" s="84">
        <v>6123103</v>
      </c>
      <c r="R4" s="86">
        <f>농협IRP[[#This Row],[입출금]]+농협IRP[[#This Row],[현금수입]]-농협IRP[[#This Row],[현금지출]]</f>
        <v>0</v>
      </c>
      <c r="S4" s="86">
        <f>SUM($R$2:R4)</f>
        <v>0</v>
      </c>
    </row>
    <row r="5" spans="1:19" x14ac:dyDescent="0.3">
      <c r="A5" s="71">
        <v>45310</v>
      </c>
      <c r="B5" s="72" t="s">
        <v>385</v>
      </c>
      <c r="C5" s="71" t="str">
        <f>VLOOKUP(농협IRP[[#This Row],[종목코드]],연금종목정보[],2,FALSE)</f>
        <v>농협현금</v>
      </c>
      <c r="D5" s="73" t="str">
        <f>VLOOKUP(농협IRP[[#This Row],[종목코드]],연금종목정보[],4,FALSE)</f>
        <v>농협현금성자산</v>
      </c>
      <c r="E5" s="74">
        <v>0</v>
      </c>
      <c r="F5" s="75">
        <v>340900</v>
      </c>
      <c r="G5" s="76">
        <v>340900</v>
      </c>
      <c r="H5" s="76">
        <f>농협IRP[[#This Row],[현금지출]]-농협IRP[[#This Row],[매입액]]</f>
        <v>0</v>
      </c>
      <c r="I5" s="77">
        <v>0</v>
      </c>
      <c r="J5" s="75">
        <v>0</v>
      </c>
      <c r="K5" s="75">
        <v>0</v>
      </c>
      <c r="L5" s="78">
        <v>0</v>
      </c>
      <c r="M5" s="75">
        <v>0</v>
      </c>
      <c r="N5" s="78">
        <f>농협IRP[[#This Row],[매도액]]-농협IRP[[#This Row],[매도원금]]</f>
        <v>0</v>
      </c>
      <c r="O5" s="78">
        <f>농협IRP[[#This Row],[매도액]]+농협IRP[[#This Row],[이자배당액]]-농협IRP[[#This Row],[현금수입]]</f>
        <v>0</v>
      </c>
      <c r="P5" s="78">
        <f>농협IRP[[#This Row],[매매수익]]+농협IRP[[#This Row],[이자배당액]]-농협IRP[[#This Row],[매도비용]]-농협IRP[[#This Row],[매입비용]]</f>
        <v>0</v>
      </c>
      <c r="Q5" s="75">
        <v>340900</v>
      </c>
      <c r="R5" s="77">
        <f>농협IRP[[#This Row],[입출금]]+농협IRP[[#This Row],[현금수입]]-농협IRP[[#This Row],[현금지출]]</f>
        <v>0</v>
      </c>
      <c r="S5" s="77">
        <f>SUM($R$2:R5)</f>
        <v>0</v>
      </c>
    </row>
    <row r="6" spans="1:19" x14ac:dyDescent="0.3">
      <c r="A6" s="71">
        <v>45313</v>
      </c>
      <c r="B6" s="72" t="s">
        <v>385</v>
      </c>
      <c r="C6" s="71" t="str">
        <f>VLOOKUP(농협IRP[[#This Row],[종목코드]],연금종목정보[],2,FALSE)</f>
        <v>농협현금</v>
      </c>
      <c r="D6" s="73" t="str">
        <f>VLOOKUP(농협IRP[[#This Row],[종목코드]],연금종목정보[],4,FALSE)</f>
        <v>농협현금성자산</v>
      </c>
      <c r="E6" s="74">
        <v>0</v>
      </c>
      <c r="F6" s="75">
        <v>0</v>
      </c>
      <c r="G6" s="76">
        <v>0</v>
      </c>
      <c r="H6" s="76">
        <f>농협IRP[[#This Row],[현금지출]]-농협IRP[[#This Row],[매입액]]</f>
        <v>0</v>
      </c>
      <c r="I6" s="75">
        <v>0</v>
      </c>
      <c r="J6" s="75">
        <v>3103169</v>
      </c>
      <c r="K6" s="75">
        <v>3103169</v>
      </c>
      <c r="L6" s="78">
        <v>0</v>
      </c>
      <c r="M6" s="75">
        <v>3103169</v>
      </c>
      <c r="N6" s="78">
        <f>농협IRP[[#This Row],[매도액]]-농협IRP[[#This Row],[매도원금]]</f>
        <v>0</v>
      </c>
      <c r="O6" s="78">
        <f>농협IRP[[#This Row],[매도액]]+농협IRP[[#This Row],[이자배당액]]-농협IRP[[#This Row],[현금수입]]</f>
        <v>0</v>
      </c>
      <c r="P6" s="78">
        <f>농협IRP[[#This Row],[매매수익]]+농협IRP[[#This Row],[이자배당액]]-농협IRP[[#This Row],[매도비용]]-농협IRP[[#This Row],[매입비용]]</f>
        <v>0</v>
      </c>
      <c r="Q6" s="75">
        <v>0</v>
      </c>
      <c r="R6" s="77">
        <f>농협IRP[[#This Row],[입출금]]+농협IRP[[#This Row],[현금수입]]-농협IRP[[#This Row],[현금지출]]</f>
        <v>3103169</v>
      </c>
      <c r="S6" s="77">
        <f>SUM($R$2:R6)</f>
        <v>3103169</v>
      </c>
    </row>
    <row r="7" spans="1:19" x14ac:dyDescent="0.3">
      <c r="A7" s="71">
        <v>45313</v>
      </c>
      <c r="B7" s="72" t="s">
        <v>386</v>
      </c>
      <c r="C7" s="71" t="str">
        <f>VLOOKUP(농협IRP[[#This Row],[종목코드]],연금종목정보[],2,FALSE)</f>
        <v>신한정기예금1Y</v>
      </c>
      <c r="D7" s="73" t="str">
        <f>VLOOKUP(농협IRP[[#This Row],[종목코드]],연금종목정보[],4,FALSE)</f>
        <v>신한정기예금1Y</v>
      </c>
      <c r="E7" s="74">
        <v>0</v>
      </c>
      <c r="F7" s="75">
        <v>340900</v>
      </c>
      <c r="G7" s="76">
        <v>340900</v>
      </c>
      <c r="H7" s="76">
        <f>농협IRP[[#This Row],[현금지출]]-농협IRP[[#This Row],[매입액]]</f>
        <v>0</v>
      </c>
      <c r="I7" s="77">
        <v>0</v>
      </c>
      <c r="J7" s="75">
        <v>601727</v>
      </c>
      <c r="K7" s="75">
        <v>627901</v>
      </c>
      <c r="L7" s="78">
        <v>0</v>
      </c>
      <c r="M7" s="75">
        <v>627901</v>
      </c>
      <c r="N7" s="78">
        <f>농협IRP[[#This Row],[매도액]]-농협IRP[[#This Row],[매도원금]]</f>
        <v>26174</v>
      </c>
      <c r="O7" s="78">
        <f>농협IRP[[#This Row],[매도액]]+농협IRP[[#This Row],[이자배당액]]-농협IRP[[#This Row],[현금수입]]</f>
        <v>0</v>
      </c>
      <c r="P7" s="78">
        <f>농협IRP[[#This Row],[매매수익]]+농협IRP[[#This Row],[이자배당액]]-농협IRP[[#This Row],[매도비용]]-농협IRP[[#This Row],[매입비용]]</f>
        <v>26174</v>
      </c>
      <c r="Q7" s="75">
        <v>0</v>
      </c>
      <c r="R7" s="77">
        <f>농협IRP[[#This Row],[입출금]]+농협IRP[[#This Row],[현금수입]]-농협IRP[[#This Row],[현금지출]]</f>
        <v>287001</v>
      </c>
      <c r="S7" s="77">
        <f>SUM($R$2:R7)</f>
        <v>3390170</v>
      </c>
    </row>
    <row r="8" spans="1:19" x14ac:dyDescent="0.3">
      <c r="A8" s="71">
        <v>45313</v>
      </c>
      <c r="B8" s="81">
        <v>226490</v>
      </c>
      <c r="C8" s="80" t="str">
        <f>VLOOKUP(농협IRP[[#This Row],[종목코드]],연금종목정보[],2,FALSE)</f>
        <v>KODEX 코스피</v>
      </c>
      <c r="D8" s="82" t="str">
        <f>VLOOKUP(농협IRP[[#This Row],[종목코드]],연금종목정보[],4,FALSE)</f>
        <v>KODEX 코스피</v>
      </c>
      <c r="E8" s="83">
        <v>1</v>
      </c>
      <c r="F8" s="84">
        <v>3390170</v>
      </c>
      <c r="G8" s="85">
        <v>3390170</v>
      </c>
      <c r="H8" s="85">
        <f>농협IRP[[#This Row],[현금지출]]-농협IRP[[#This Row],[매입액]]</f>
        <v>0</v>
      </c>
      <c r="I8" s="86">
        <v>0</v>
      </c>
      <c r="J8" s="84">
        <v>0</v>
      </c>
      <c r="K8" s="84">
        <v>0</v>
      </c>
      <c r="L8" s="87">
        <v>0</v>
      </c>
      <c r="M8" s="84">
        <v>0</v>
      </c>
      <c r="N8" s="87">
        <f>농협IRP[[#This Row],[매도액]]-농협IRP[[#This Row],[매도원금]]</f>
        <v>0</v>
      </c>
      <c r="O8" s="87">
        <f>농협IRP[[#This Row],[매도액]]+농협IRP[[#This Row],[이자배당액]]-농협IRP[[#This Row],[현금수입]]</f>
        <v>0</v>
      </c>
      <c r="P8" s="87">
        <f>농협IRP[[#This Row],[매매수익]]+농협IRP[[#This Row],[이자배당액]]-농협IRP[[#This Row],[매도비용]]-농협IRP[[#This Row],[매입비용]]</f>
        <v>0</v>
      </c>
      <c r="Q8" s="85">
        <v>0</v>
      </c>
      <c r="R8" s="86">
        <f>농협IRP[[#This Row],[입출금]]+농협IRP[[#This Row],[현금수입]]-농협IRP[[#This Row],[현금지출]]</f>
        <v>-3390170</v>
      </c>
      <c r="S8" s="77">
        <f>SUM($R$2:R8)</f>
        <v>0</v>
      </c>
    </row>
    <row r="9" spans="1:19" x14ac:dyDescent="0.3">
      <c r="A9" s="71">
        <v>45315</v>
      </c>
      <c r="B9" s="72" t="s">
        <v>386</v>
      </c>
      <c r="C9" s="71" t="str">
        <f>VLOOKUP(농협IRP[[#This Row],[종목코드]],연금종목정보[],2,FALSE)</f>
        <v>신한정기예금1Y</v>
      </c>
      <c r="D9" s="73" t="str">
        <f>VLOOKUP(농협IRP[[#This Row],[종목코드]],연금종목정보[],4,FALSE)</f>
        <v>신한정기예금1Y</v>
      </c>
      <c r="E9" s="74">
        <v>0</v>
      </c>
      <c r="F9" s="75">
        <v>0</v>
      </c>
      <c r="G9" s="76">
        <v>0</v>
      </c>
      <c r="H9" s="76">
        <f>농협IRP[[#This Row],[현금지출]]-농협IRP[[#This Row],[매입액]]</f>
        <v>0</v>
      </c>
      <c r="I9" s="77">
        <v>0</v>
      </c>
      <c r="J9" s="75">
        <v>253950</v>
      </c>
      <c r="K9" s="75">
        <v>264996</v>
      </c>
      <c r="L9" s="78">
        <v>0</v>
      </c>
      <c r="M9" s="75">
        <v>264996</v>
      </c>
      <c r="N9" s="78">
        <f>농협IRP[[#This Row],[매도액]]-농협IRP[[#This Row],[매도원금]]</f>
        <v>11046</v>
      </c>
      <c r="O9" s="78">
        <f>농협IRP[[#This Row],[매도액]]+농협IRP[[#This Row],[이자배당액]]-농협IRP[[#This Row],[현금수입]]</f>
        <v>0</v>
      </c>
      <c r="P9" s="78">
        <f>농협IRP[[#This Row],[매매수익]]+농협IRP[[#This Row],[이자배당액]]-농협IRP[[#This Row],[매도비용]]-농협IRP[[#This Row],[매입비용]]</f>
        <v>11046</v>
      </c>
      <c r="Q9" s="75">
        <v>0</v>
      </c>
      <c r="R9" s="77">
        <f>농협IRP[[#This Row],[입출금]]+농협IRP[[#This Row],[현금수입]]-농협IRP[[#This Row],[현금지출]]</f>
        <v>264996</v>
      </c>
      <c r="S9" s="77">
        <f>SUM($R$2:R9)</f>
        <v>264996</v>
      </c>
    </row>
    <row r="10" spans="1:19" x14ac:dyDescent="0.3">
      <c r="A10" s="71">
        <v>45315</v>
      </c>
      <c r="B10" s="72" t="s">
        <v>385</v>
      </c>
      <c r="C10" s="71" t="str">
        <f>VLOOKUP(농협IRP[[#This Row],[종목코드]],연금종목정보[],2,FALSE)</f>
        <v>농협현금</v>
      </c>
      <c r="D10" s="73" t="str">
        <f>VLOOKUP(농협IRP[[#This Row],[종목코드]],연금종목정보[],4,FALSE)</f>
        <v>농협현금성자산</v>
      </c>
      <c r="E10" s="74">
        <v>0</v>
      </c>
      <c r="F10" s="75">
        <v>264996</v>
      </c>
      <c r="G10" s="76">
        <v>264996</v>
      </c>
      <c r="H10" s="76">
        <f>농협IRP[[#This Row],[현금지출]]-농협IRP[[#This Row],[매입액]]</f>
        <v>0</v>
      </c>
      <c r="I10" s="77">
        <v>0</v>
      </c>
      <c r="J10" s="75">
        <v>0</v>
      </c>
      <c r="K10" s="75">
        <v>0</v>
      </c>
      <c r="L10" s="78">
        <v>0</v>
      </c>
      <c r="M10" s="75">
        <v>0</v>
      </c>
      <c r="N10" s="78">
        <f>농협IRP[[#This Row],[매도액]]-농협IRP[[#This Row],[매도원금]]</f>
        <v>0</v>
      </c>
      <c r="O10" s="78">
        <f>농협IRP[[#This Row],[매도액]]+농협IRP[[#This Row],[이자배당액]]-농협IRP[[#This Row],[현금수입]]</f>
        <v>0</v>
      </c>
      <c r="P10" s="78">
        <f>농협IRP[[#This Row],[매매수익]]+농협IRP[[#This Row],[이자배당액]]-농협IRP[[#This Row],[매도비용]]-농협IRP[[#This Row],[매입비용]]</f>
        <v>0</v>
      </c>
      <c r="Q10" s="75">
        <v>0</v>
      </c>
      <c r="R10" s="77">
        <f>농협IRP[[#This Row],[입출금]]+농협IRP[[#This Row],[현금수입]]-농협IRP[[#This Row],[현금지출]]</f>
        <v>-264996</v>
      </c>
      <c r="S10" s="77">
        <f>SUM($R$2:R10)</f>
        <v>0</v>
      </c>
    </row>
    <row r="11" spans="1:19" x14ac:dyDescent="0.3">
      <c r="A11" s="71">
        <v>45316</v>
      </c>
      <c r="B11" s="72" t="s">
        <v>386</v>
      </c>
      <c r="C11" s="71" t="str">
        <f>VLOOKUP(농협IRP[[#This Row],[종목코드]],연금종목정보[],2,FALSE)</f>
        <v>신한정기예금1Y</v>
      </c>
      <c r="D11" s="73" t="str">
        <f>VLOOKUP(농협IRP[[#This Row],[종목코드]],연금종목정보[],4,FALSE)</f>
        <v>신한정기예금1Y</v>
      </c>
      <c r="E11" s="74">
        <v>0</v>
      </c>
      <c r="F11" s="75">
        <v>0</v>
      </c>
      <c r="G11" s="76">
        <v>0</v>
      </c>
      <c r="H11" s="76">
        <f>농협IRP[[#This Row],[현금지출]]-농협IRP[[#This Row],[매입액]]</f>
        <v>0</v>
      </c>
      <c r="I11" s="77">
        <v>0</v>
      </c>
      <c r="J11" s="75">
        <v>250000</v>
      </c>
      <c r="K11" s="75">
        <v>260875</v>
      </c>
      <c r="L11" s="78">
        <v>0</v>
      </c>
      <c r="M11" s="75">
        <v>260875</v>
      </c>
      <c r="N11" s="78">
        <f>농협IRP[[#This Row],[매도액]]-농협IRP[[#This Row],[매도원금]]</f>
        <v>10875</v>
      </c>
      <c r="O11" s="78">
        <f>농협IRP[[#This Row],[매도액]]+농협IRP[[#This Row],[이자배당액]]-농협IRP[[#This Row],[현금수입]]</f>
        <v>0</v>
      </c>
      <c r="P11" s="78">
        <f>농협IRP[[#This Row],[매매수익]]+농협IRP[[#This Row],[이자배당액]]-농협IRP[[#This Row],[매도비용]]-농협IRP[[#This Row],[매입비용]]</f>
        <v>10875</v>
      </c>
      <c r="Q11" s="75">
        <v>0</v>
      </c>
      <c r="R11" s="77">
        <f>농협IRP[[#This Row],[입출금]]+농협IRP[[#This Row],[현금수입]]-농협IRP[[#This Row],[현금지출]]</f>
        <v>260875</v>
      </c>
      <c r="S11" s="77">
        <f>SUM($R$2:R11)</f>
        <v>260875</v>
      </c>
    </row>
    <row r="12" spans="1:19" x14ac:dyDescent="0.3">
      <c r="A12" s="71">
        <v>45316</v>
      </c>
      <c r="B12" s="72" t="s">
        <v>385</v>
      </c>
      <c r="C12" s="71" t="str">
        <f>VLOOKUP(농협IRP[[#This Row],[종목코드]],연금종목정보[],2,FALSE)</f>
        <v>농협현금</v>
      </c>
      <c r="D12" s="73" t="str">
        <f>VLOOKUP(농협IRP[[#This Row],[종목코드]],연금종목정보[],4,FALSE)</f>
        <v>농협현금성자산</v>
      </c>
      <c r="E12" s="74">
        <v>0</v>
      </c>
      <c r="F12" s="75">
        <v>260875</v>
      </c>
      <c r="G12" s="76">
        <v>260875</v>
      </c>
      <c r="H12" s="76">
        <f>농협IRP[[#This Row],[현금지출]]-농협IRP[[#This Row],[매입액]]</f>
        <v>0</v>
      </c>
      <c r="I12" s="77">
        <v>0</v>
      </c>
      <c r="J12" s="75">
        <v>0</v>
      </c>
      <c r="K12" s="75">
        <v>0</v>
      </c>
      <c r="L12" s="78">
        <v>0</v>
      </c>
      <c r="M12" s="75">
        <v>0</v>
      </c>
      <c r="N12" s="78">
        <f>농협IRP[[#This Row],[매도액]]-농협IRP[[#This Row],[매도원금]]</f>
        <v>0</v>
      </c>
      <c r="O12" s="78">
        <f>농협IRP[[#This Row],[매도액]]+농협IRP[[#This Row],[이자배당액]]-농협IRP[[#This Row],[현금수입]]</f>
        <v>0</v>
      </c>
      <c r="P12" s="78">
        <f>농협IRP[[#This Row],[매매수익]]+농협IRP[[#This Row],[이자배당액]]-농협IRP[[#This Row],[매도비용]]-농협IRP[[#This Row],[매입비용]]</f>
        <v>0</v>
      </c>
      <c r="Q12" s="75">
        <v>0</v>
      </c>
      <c r="R12" s="77">
        <f>농협IRP[[#This Row],[입출금]]+농협IRP[[#This Row],[현금수입]]-농협IRP[[#This Row],[현금지출]]</f>
        <v>-260875</v>
      </c>
      <c r="S12" s="77">
        <f>SUM($R$2:R12)</f>
        <v>0</v>
      </c>
    </row>
    <row r="13" spans="1:19" x14ac:dyDescent="0.3">
      <c r="A13" s="71">
        <v>45322</v>
      </c>
      <c r="B13" s="72" t="s">
        <v>385</v>
      </c>
      <c r="C13" s="71" t="str">
        <f>VLOOKUP(농협IRP[[#This Row],[종목코드]],연금종목정보[],2,FALSE)</f>
        <v>농협현금</v>
      </c>
      <c r="D13" s="73" t="str">
        <f>VLOOKUP(농협IRP[[#This Row],[종목코드]],연금종목정보[],4,FALSE)</f>
        <v>농협현금성자산</v>
      </c>
      <c r="E13" s="74">
        <v>0</v>
      </c>
      <c r="F13" s="75">
        <v>547863</v>
      </c>
      <c r="G13" s="76">
        <v>547863</v>
      </c>
      <c r="H13" s="76">
        <f>농협IRP[[#This Row],[현금지출]]-농협IRP[[#This Row],[매입액]]</f>
        <v>0</v>
      </c>
      <c r="I13" s="77">
        <v>0</v>
      </c>
      <c r="J13" s="75">
        <v>541168</v>
      </c>
      <c r="K13" s="75">
        <v>547863</v>
      </c>
      <c r="L13" s="78">
        <v>0</v>
      </c>
      <c r="M13" s="75">
        <v>547863</v>
      </c>
      <c r="N13" s="78">
        <f>농협IRP[[#This Row],[매도액]]-농협IRP[[#This Row],[매도원금]]</f>
        <v>6695</v>
      </c>
      <c r="O13" s="78">
        <f>농협IRP[[#This Row],[매도액]]+농협IRP[[#This Row],[이자배당액]]-농협IRP[[#This Row],[현금수입]]</f>
        <v>0</v>
      </c>
      <c r="P13" s="78">
        <f>농협IRP[[#This Row],[매매수익]]+농협IRP[[#This Row],[이자배당액]]-농협IRP[[#This Row],[매도비용]]-농협IRP[[#This Row],[매입비용]]</f>
        <v>6695</v>
      </c>
      <c r="Q13" s="75">
        <v>0</v>
      </c>
      <c r="R13" s="77">
        <f>농협IRP[[#This Row],[입출금]]+농협IRP[[#This Row],[현금수입]]-농협IRP[[#This Row],[현금지출]]</f>
        <v>0</v>
      </c>
      <c r="S13" s="77">
        <f>SUM($R$2:R13)</f>
        <v>0</v>
      </c>
    </row>
    <row r="14" spans="1:19" x14ac:dyDescent="0.3">
      <c r="A14" s="71">
        <v>45343</v>
      </c>
      <c r="B14" s="72" t="s">
        <v>385</v>
      </c>
      <c r="C14" s="71" t="str">
        <f>VLOOKUP(농협IRP[[#This Row],[종목코드]],연금종목정보[],2,FALSE)</f>
        <v>농협현금</v>
      </c>
      <c r="D14" s="73" t="str">
        <f>VLOOKUP(농협IRP[[#This Row],[종목코드]],연금종목정보[],4,FALSE)</f>
        <v>농협현금성자산</v>
      </c>
      <c r="E14" s="74">
        <v>0</v>
      </c>
      <c r="F14" s="75">
        <v>832700</v>
      </c>
      <c r="G14" s="76">
        <v>832700</v>
      </c>
      <c r="H14" s="76">
        <f>농협IRP[[#This Row],[현금지출]]-농협IRP[[#This Row],[매입액]]</f>
        <v>0</v>
      </c>
      <c r="I14" s="77">
        <v>0</v>
      </c>
      <c r="J14" s="75">
        <v>0</v>
      </c>
      <c r="K14" s="75">
        <v>0</v>
      </c>
      <c r="L14" s="78">
        <v>0</v>
      </c>
      <c r="M14" s="75">
        <v>0</v>
      </c>
      <c r="N14" s="78">
        <f>농협IRP[[#This Row],[매도액]]-농협IRP[[#This Row],[매도원금]]</f>
        <v>0</v>
      </c>
      <c r="O14" s="78">
        <f>농협IRP[[#This Row],[매도액]]+농협IRP[[#This Row],[이자배당액]]-농협IRP[[#This Row],[현금수입]]</f>
        <v>0</v>
      </c>
      <c r="P14" s="78">
        <f>농협IRP[[#This Row],[매매수익]]+농협IRP[[#This Row],[이자배당액]]-농협IRP[[#This Row],[매도비용]]-농협IRP[[#This Row],[매입비용]]</f>
        <v>0</v>
      </c>
      <c r="Q14" s="76">
        <v>832700</v>
      </c>
      <c r="R14" s="77">
        <f>농협IRP[[#This Row],[입출금]]+농협IRP[[#This Row],[현금수입]]-농협IRP[[#This Row],[현금지출]]</f>
        <v>0</v>
      </c>
      <c r="S14" s="77">
        <f>SUM($R$2:R14)</f>
        <v>0</v>
      </c>
    </row>
    <row r="15" spans="1:19" x14ac:dyDescent="0.3">
      <c r="A15" s="71">
        <v>45344</v>
      </c>
      <c r="B15" s="72" t="s">
        <v>386</v>
      </c>
      <c r="C15" s="71" t="str">
        <f>VLOOKUP(농협IRP[[#This Row],[종목코드]],연금종목정보[],2,FALSE)</f>
        <v>신한정기예금1Y</v>
      </c>
      <c r="D15" s="73" t="str">
        <f>VLOOKUP(농협IRP[[#This Row],[종목코드]],연금종목정보[],4,FALSE)</f>
        <v>신한정기예금1Y</v>
      </c>
      <c r="E15" s="74">
        <v>0</v>
      </c>
      <c r="F15" s="75">
        <v>0</v>
      </c>
      <c r="G15" s="76">
        <v>0</v>
      </c>
      <c r="H15" s="76">
        <f>농협IRP[[#This Row],[현금지출]]-농협IRP[[#This Row],[매입액]]</f>
        <v>0</v>
      </c>
      <c r="I15" s="77">
        <v>0</v>
      </c>
      <c r="J15" s="75">
        <v>1197076</v>
      </c>
      <c r="K15" s="75">
        <v>1237775</v>
      </c>
      <c r="L15" s="78">
        <v>0</v>
      </c>
      <c r="M15" s="75">
        <v>1237775</v>
      </c>
      <c r="N15" s="78">
        <f>농협IRP[[#This Row],[매도액]]-농협IRP[[#This Row],[매도원금]]</f>
        <v>40699</v>
      </c>
      <c r="O15" s="78">
        <f>농협IRP[[#This Row],[매도액]]+농협IRP[[#This Row],[이자배당액]]-농협IRP[[#This Row],[현금수입]]</f>
        <v>0</v>
      </c>
      <c r="P15" s="78">
        <f>농협IRP[[#This Row],[매매수익]]+농협IRP[[#This Row],[이자배당액]]-농협IRP[[#This Row],[매도비용]]-농협IRP[[#This Row],[매입비용]]</f>
        <v>40699</v>
      </c>
      <c r="Q15" s="79">
        <v>0</v>
      </c>
      <c r="R15" s="77">
        <f>농협IRP[[#This Row],[입출금]]+농협IRP[[#This Row],[현금수입]]-농협IRP[[#This Row],[현금지출]]</f>
        <v>1237775</v>
      </c>
      <c r="S15" s="77">
        <f>SUM($R$2:R15)</f>
        <v>1237775</v>
      </c>
    </row>
    <row r="16" spans="1:19" x14ac:dyDescent="0.3">
      <c r="A16" s="71">
        <v>45344</v>
      </c>
      <c r="B16" s="72" t="s">
        <v>385</v>
      </c>
      <c r="C16" s="71" t="str">
        <f>VLOOKUP(농협IRP[[#This Row],[종목코드]],연금종목정보[],2,FALSE)</f>
        <v>농협현금</v>
      </c>
      <c r="D16" s="73" t="str">
        <f>VLOOKUP(농협IRP[[#This Row],[종목코드]],연금종목정보[],4,FALSE)</f>
        <v>농협현금성자산</v>
      </c>
      <c r="E16" s="74">
        <v>0</v>
      </c>
      <c r="F16" s="75">
        <v>1237775</v>
      </c>
      <c r="G16" s="76">
        <v>1237775</v>
      </c>
      <c r="H16" s="76">
        <f>농협IRP[[#This Row],[현금지출]]-농협IRP[[#This Row],[매입액]]</f>
        <v>0</v>
      </c>
      <c r="I16" s="77">
        <v>0</v>
      </c>
      <c r="J16" s="75">
        <v>0</v>
      </c>
      <c r="K16" s="75">
        <v>0</v>
      </c>
      <c r="L16" s="78">
        <v>0</v>
      </c>
      <c r="M16" s="75">
        <v>0</v>
      </c>
      <c r="N16" s="78">
        <f>농협IRP[[#This Row],[매도액]]-농협IRP[[#This Row],[매도원금]]</f>
        <v>0</v>
      </c>
      <c r="O16" s="78">
        <f>농협IRP[[#This Row],[매도액]]+농협IRP[[#This Row],[이자배당액]]-농협IRP[[#This Row],[현금수입]]</f>
        <v>0</v>
      </c>
      <c r="P16" s="78">
        <f>농협IRP[[#This Row],[매매수익]]+농협IRP[[#This Row],[이자배당액]]-농협IRP[[#This Row],[매도비용]]-농협IRP[[#This Row],[매입비용]]</f>
        <v>0</v>
      </c>
      <c r="Q16" s="79">
        <v>0</v>
      </c>
      <c r="R16" s="77">
        <f>농협IRP[[#This Row],[입출금]]+농협IRP[[#This Row],[현금수입]]-농협IRP[[#This Row],[현금지출]]</f>
        <v>-1237775</v>
      </c>
      <c r="S16" s="77">
        <f>SUM($R$2:R16)</f>
        <v>0</v>
      </c>
    </row>
    <row r="17" spans="1:19" x14ac:dyDescent="0.3">
      <c r="A17" s="71">
        <v>44983</v>
      </c>
      <c r="B17" s="72" t="s">
        <v>386</v>
      </c>
      <c r="C17" s="71" t="str">
        <f>VLOOKUP(농협IRP[[#This Row],[종목코드]],연금종목정보[],2,FALSE)</f>
        <v>신한정기예금1Y</v>
      </c>
      <c r="D17" s="73" t="str">
        <f>VLOOKUP(농협IRP[[#This Row],[종목코드]],연금종목정보[],4,FALSE)</f>
        <v>신한정기예금1Y</v>
      </c>
      <c r="E17" s="74">
        <v>0</v>
      </c>
      <c r="F17" s="75">
        <v>0</v>
      </c>
      <c r="G17" s="76">
        <v>0</v>
      </c>
      <c r="H17" s="76">
        <f>농협IRP[[#This Row],[현금지출]]-농협IRP[[#This Row],[매입액]]</f>
        <v>0</v>
      </c>
      <c r="I17" s="77">
        <v>0</v>
      </c>
      <c r="J17" s="75">
        <v>212483</v>
      </c>
      <c r="K17" s="75">
        <v>219746</v>
      </c>
      <c r="L17" s="78">
        <v>0</v>
      </c>
      <c r="M17" s="75">
        <v>219746</v>
      </c>
      <c r="N17" s="78">
        <f>농협IRP[[#This Row],[매도액]]-농협IRP[[#This Row],[매도원금]]</f>
        <v>7263</v>
      </c>
      <c r="O17" s="78">
        <f>농협IRP[[#This Row],[매도액]]+농협IRP[[#This Row],[이자배당액]]-농협IRP[[#This Row],[현금수입]]</f>
        <v>0</v>
      </c>
      <c r="P17" s="78">
        <f>농협IRP[[#This Row],[매매수익]]+농협IRP[[#This Row],[이자배당액]]-농협IRP[[#This Row],[매도비용]]-농협IRP[[#This Row],[매입비용]]</f>
        <v>7263</v>
      </c>
      <c r="Q17" s="79">
        <v>0</v>
      </c>
      <c r="R17" s="77">
        <f>농협IRP[[#This Row],[입출금]]+농협IRP[[#This Row],[현금수입]]-농협IRP[[#This Row],[현금지출]]</f>
        <v>219746</v>
      </c>
      <c r="S17" s="77">
        <f>SUM($R$2:R17)</f>
        <v>219746</v>
      </c>
    </row>
    <row r="18" spans="1:19" x14ac:dyDescent="0.3">
      <c r="A18" s="71">
        <v>44983</v>
      </c>
      <c r="B18" s="72" t="s">
        <v>385</v>
      </c>
      <c r="C18" s="71" t="str">
        <f>VLOOKUP(농협IRP[[#This Row],[종목코드]],연금종목정보[],2,FALSE)</f>
        <v>농협현금</v>
      </c>
      <c r="D18" s="73" t="str">
        <f>VLOOKUP(농협IRP[[#This Row],[종목코드]],연금종목정보[],4,FALSE)</f>
        <v>농협현금성자산</v>
      </c>
      <c r="E18" s="74">
        <v>0</v>
      </c>
      <c r="F18" s="75">
        <v>219746</v>
      </c>
      <c r="G18" s="76">
        <v>219746</v>
      </c>
      <c r="H18" s="76">
        <f>농협IRP[[#This Row],[현금지출]]-농협IRP[[#This Row],[매입액]]</f>
        <v>0</v>
      </c>
      <c r="I18" s="77">
        <v>0</v>
      </c>
      <c r="J18" s="75">
        <v>0</v>
      </c>
      <c r="K18" s="75">
        <v>0</v>
      </c>
      <c r="L18" s="78">
        <v>0</v>
      </c>
      <c r="M18" s="75">
        <v>0</v>
      </c>
      <c r="N18" s="78">
        <f>농협IRP[[#This Row],[매도액]]-농협IRP[[#This Row],[매도원금]]</f>
        <v>0</v>
      </c>
      <c r="O18" s="78">
        <f>농협IRP[[#This Row],[매도액]]+농협IRP[[#This Row],[이자배당액]]-농협IRP[[#This Row],[현금수입]]</f>
        <v>0</v>
      </c>
      <c r="P18" s="78">
        <f>농협IRP[[#This Row],[매매수익]]+농협IRP[[#This Row],[이자배당액]]-농협IRP[[#This Row],[매도비용]]-농협IRP[[#This Row],[매입비용]]</f>
        <v>0</v>
      </c>
      <c r="Q18" s="79">
        <v>0</v>
      </c>
      <c r="R18" s="77">
        <f>농협IRP[[#This Row],[입출금]]+농협IRP[[#This Row],[현금수입]]-농협IRP[[#This Row],[현금지출]]</f>
        <v>-219746</v>
      </c>
      <c r="S18" s="77">
        <f>SUM($R$2:R18)</f>
        <v>0</v>
      </c>
    </row>
    <row r="19" spans="1:19" x14ac:dyDescent="0.3">
      <c r="F19" s="2"/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C10" sqref="C10"/>
    </sheetView>
  </sheetViews>
  <sheetFormatPr defaultRowHeight="16.5" x14ac:dyDescent="0.3"/>
  <cols>
    <col min="1" max="2" width="10.25" customWidth="1"/>
    <col min="5" max="8" width="10.25" customWidth="1"/>
    <col min="10" max="10" width="12.125" customWidth="1"/>
    <col min="11" max="13" width="10.25" customWidth="1"/>
    <col min="15" max="15" width="9.625" customWidth="1"/>
    <col min="16" max="16" width="13.375" customWidth="1"/>
  </cols>
  <sheetData>
    <row r="1" spans="1:8" x14ac:dyDescent="0.3">
      <c r="A1" t="s">
        <v>389</v>
      </c>
      <c r="B1" t="s">
        <v>390</v>
      </c>
      <c r="C1" t="s">
        <v>391</v>
      </c>
      <c r="D1" t="s">
        <v>392</v>
      </c>
    </row>
    <row r="2" spans="1:8" x14ac:dyDescent="0.3">
      <c r="B2" s="3">
        <v>45313</v>
      </c>
      <c r="C2">
        <v>212569</v>
      </c>
      <c r="D2">
        <v>221815</v>
      </c>
    </row>
    <row r="3" spans="1:8" x14ac:dyDescent="0.3">
      <c r="B3" s="3">
        <v>45313</v>
      </c>
      <c r="C3">
        <v>389158</v>
      </c>
      <c r="D3">
        <v>406086</v>
      </c>
    </row>
    <row r="4" spans="1:8" x14ac:dyDescent="0.3">
      <c r="B4" s="3">
        <v>45315</v>
      </c>
      <c r="C4">
        <v>253950</v>
      </c>
      <c r="D4">
        <v>264936</v>
      </c>
    </row>
    <row r="5" spans="1:8" x14ac:dyDescent="0.3">
      <c r="B5" s="3">
        <v>45316</v>
      </c>
      <c r="C5">
        <v>250000</v>
      </c>
      <c r="D5">
        <v>260785</v>
      </c>
    </row>
    <row r="6" spans="1:8" x14ac:dyDescent="0.3">
      <c r="A6" s="125">
        <v>44979</v>
      </c>
      <c r="B6" s="125">
        <f t="shared" ref="B6:B25" si="0">EDATE(A6,12)</f>
        <v>45344</v>
      </c>
      <c r="C6" s="126">
        <v>212400</v>
      </c>
      <c r="D6" s="126">
        <v>219601</v>
      </c>
      <c r="F6">
        <v>2777566</v>
      </c>
      <c r="H6" s="124">
        <v>45292</v>
      </c>
    </row>
    <row r="7" spans="1:8" x14ac:dyDescent="0.3">
      <c r="A7" s="125">
        <v>44979</v>
      </c>
      <c r="B7" s="125">
        <f t="shared" si="0"/>
        <v>45344</v>
      </c>
      <c r="C7" s="126">
        <v>389501</v>
      </c>
      <c r="D7" s="126">
        <v>402090</v>
      </c>
      <c r="F7">
        <v>3118466</v>
      </c>
      <c r="G7">
        <f t="shared" ref="G7:G14" si="1">F7-F6</f>
        <v>340900</v>
      </c>
      <c r="H7" s="124">
        <v>45310</v>
      </c>
    </row>
    <row r="8" spans="1:8" x14ac:dyDescent="0.3">
      <c r="A8" s="125">
        <v>44979</v>
      </c>
      <c r="B8" s="125">
        <f t="shared" si="0"/>
        <v>45344</v>
      </c>
      <c r="C8" s="126">
        <v>254275</v>
      </c>
      <c r="D8" s="126">
        <v>262494</v>
      </c>
      <c r="F8">
        <v>15297</v>
      </c>
      <c r="G8">
        <f t="shared" si="1"/>
        <v>-3103169</v>
      </c>
      <c r="H8" s="124">
        <v>45313</v>
      </c>
    </row>
    <row r="9" spans="1:8" x14ac:dyDescent="0.3">
      <c r="A9" s="125">
        <v>44979</v>
      </c>
      <c r="B9" s="125">
        <f t="shared" si="0"/>
        <v>45344</v>
      </c>
      <c r="C9" s="126">
        <v>340900</v>
      </c>
      <c r="D9" s="126">
        <v>351919</v>
      </c>
      <c r="F9">
        <v>280293</v>
      </c>
      <c r="G9">
        <f t="shared" si="1"/>
        <v>264996</v>
      </c>
      <c r="H9" s="124">
        <v>45315</v>
      </c>
    </row>
    <row r="10" spans="1:8" x14ac:dyDescent="0.3">
      <c r="A10" s="125">
        <v>44981</v>
      </c>
      <c r="B10" s="125">
        <v>45348</v>
      </c>
      <c r="C10" s="126">
        <v>212483</v>
      </c>
      <c r="D10" s="126">
        <v>219311</v>
      </c>
      <c r="F10">
        <v>541168</v>
      </c>
      <c r="G10">
        <f t="shared" si="1"/>
        <v>260875</v>
      </c>
      <c r="H10" s="124">
        <v>45316</v>
      </c>
    </row>
    <row r="11" spans="1:8" x14ac:dyDescent="0.3">
      <c r="A11" s="125">
        <v>45007</v>
      </c>
      <c r="B11" s="125">
        <f t="shared" si="0"/>
        <v>45373</v>
      </c>
      <c r="C11" s="89">
        <v>212212</v>
      </c>
      <c r="D11" s="126">
        <v>218517</v>
      </c>
      <c r="F11">
        <v>547863</v>
      </c>
      <c r="G11">
        <f t="shared" si="1"/>
        <v>6695</v>
      </c>
      <c r="H11" s="124">
        <v>45322</v>
      </c>
    </row>
    <row r="12" spans="1:8" x14ac:dyDescent="0.3">
      <c r="A12" s="125">
        <v>45007</v>
      </c>
      <c r="B12" s="125">
        <f t="shared" si="0"/>
        <v>45373</v>
      </c>
      <c r="C12" s="89">
        <v>389614</v>
      </c>
      <c r="D12" s="126">
        <v>401191</v>
      </c>
      <c r="F12">
        <v>1380563</v>
      </c>
      <c r="G12">
        <f t="shared" si="1"/>
        <v>832700</v>
      </c>
      <c r="H12" s="124">
        <v>45343</v>
      </c>
    </row>
    <row r="13" spans="1:8" x14ac:dyDescent="0.3">
      <c r="A13" s="125">
        <v>45007</v>
      </c>
      <c r="B13" s="125">
        <f t="shared" si="0"/>
        <v>45373</v>
      </c>
      <c r="C13" s="89">
        <v>254450</v>
      </c>
      <c r="D13" s="126">
        <v>262010</v>
      </c>
      <c r="F13">
        <v>2618338</v>
      </c>
      <c r="G13">
        <f t="shared" si="1"/>
        <v>1237775</v>
      </c>
      <c r="H13" s="124">
        <v>45344</v>
      </c>
    </row>
    <row r="14" spans="1:8" x14ac:dyDescent="0.3">
      <c r="A14" s="125">
        <v>45007</v>
      </c>
      <c r="B14" s="125">
        <f t="shared" si="0"/>
        <v>45373</v>
      </c>
      <c r="C14" s="89">
        <v>340900</v>
      </c>
      <c r="D14" s="126">
        <v>351029</v>
      </c>
      <c r="F14">
        <v>2838084</v>
      </c>
      <c r="G14">
        <f t="shared" si="1"/>
        <v>219746</v>
      </c>
      <c r="H14" s="124">
        <v>45348</v>
      </c>
    </row>
    <row r="15" spans="1:8" x14ac:dyDescent="0.3">
      <c r="A15" s="125">
        <v>45344</v>
      </c>
      <c r="B15" s="125">
        <f t="shared" si="0"/>
        <v>45710</v>
      </c>
      <c r="C15" s="89">
        <v>212160</v>
      </c>
      <c r="D15" s="126">
        <v>218444</v>
      </c>
    </row>
    <row r="16" spans="1:8" x14ac:dyDescent="0.3">
      <c r="A16" s="125">
        <v>45344</v>
      </c>
      <c r="B16" s="125">
        <f t="shared" si="0"/>
        <v>45710</v>
      </c>
      <c r="C16" s="89">
        <v>216264</v>
      </c>
      <c r="D16" s="126">
        <v>221639</v>
      </c>
    </row>
    <row r="17" spans="1:4" x14ac:dyDescent="0.3">
      <c r="A17" s="125">
        <v>45038</v>
      </c>
      <c r="B17" s="125">
        <f t="shared" si="0"/>
        <v>45404</v>
      </c>
      <c r="C17" s="89">
        <v>212180</v>
      </c>
      <c r="D17" s="126">
        <v>217453</v>
      </c>
    </row>
    <row r="18" spans="1:4" x14ac:dyDescent="0.3">
      <c r="A18" s="125">
        <v>45038</v>
      </c>
      <c r="B18" s="125">
        <f t="shared" si="0"/>
        <v>45404</v>
      </c>
      <c r="C18" s="89">
        <v>390036</v>
      </c>
      <c r="D18" s="126">
        <v>399730</v>
      </c>
    </row>
    <row r="19" spans="1:4" x14ac:dyDescent="0.3">
      <c r="A19" s="125">
        <v>45038</v>
      </c>
      <c r="B19" s="125">
        <f t="shared" si="0"/>
        <v>45404</v>
      </c>
      <c r="C19" s="89">
        <v>254675</v>
      </c>
      <c r="D19" s="126">
        <v>261004</v>
      </c>
    </row>
    <row r="20" spans="1:4" x14ac:dyDescent="0.3">
      <c r="A20" s="125">
        <v>45040</v>
      </c>
      <c r="B20" s="125">
        <f t="shared" si="0"/>
        <v>45406</v>
      </c>
      <c r="C20" s="89">
        <v>340900</v>
      </c>
      <c r="D20" s="126">
        <v>349314</v>
      </c>
    </row>
    <row r="21" spans="1:4" x14ac:dyDescent="0.3">
      <c r="A21" s="125">
        <v>45068</v>
      </c>
      <c r="B21" s="125">
        <f t="shared" si="0"/>
        <v>45434</v>
      </c>
      <c r="C21" s="89">
        <v>216196</v>
      </c>
      <c r="D21" s="126">
        <v>220979</v>
      </c>
    </row>
    <row r="22" spans="1:4" x14ac:dyDescent="0.3">
      <c r="A22" s="125">
        <v>45068</v>
      </c>
      <c r="B22" s="125">
        <f t="shared" si="0"/>
        <v>45434</v>
      </c>
      <c r="C22" s="89">
        <v>212154</v>
      </c>
      <c r="D22" s="126">
        <v>216847</v>
      </c>
    </row>
    <row r="23" spans="1:4" x14ac:dyDescent="0.3">
      <c r="A23" s="125">
        <v>45068</v>
      </c>
      <c r="B23" s="125">
        <f t="shared" si="0"/>
        <v>45434</v>
      </c>
      <c r="C23" s="89">
        <v>340900</v>
      </c>
      <c r="D23" s="126">
        <v>348442</v>
      </c>
    </row>
    <row r="24" spans="1:4" x14ac:dyDescent="0.3">
      <c r="A24" s="125">
        <v>45069</v>
      </c>
      <c r="B24" s="125">
        <f t="shared" si="0"/>
        <v>45435</v>
      </c>
      <c r="C24" s="89">
        <v>255275</v>
      </c>
      <c r="D24" s="126">
        <v>260900</v>
      </c>
    </row>
    <row r="25" spans="1:4" x14ac:dyDescent="0.3">
      <c r="A25" s="125">
        <v>45070</v>
      </c>
      <c r="B25" s="125">
        <f t="shared" si="0"/>
        <v>45436</v>
      </c>
      <c r="C25" s="89">
        <v>257342</v>
      </c>
      <c r="D25" s="126">
        <v>262991</v>
      </c>
    </row>
    <row r="26" spans="1:4" x14ac:dyDescent="0.3">
      <c r="A26" s="125">
        <v>45099</v>
      </c>
      <c r="B26" s="125">
        <f>EDATE(A26,12)</f>
        <v>45465</v>
      </c>
      <c r="C26" s="89">
        <v>396945</v>
      </c>
      <c r="D26" s="126">
        <v>405338</v>
      </c>
    </row>
    <row r="27" spans="1:4" x14ac:dyDescent="0.3">
      <c r="A27" s="125">
        <v>45099</v>
      </c>
      <c r="B27" s="125">
        <f t="shared" ref="B27:B38" si="2">EDATE(A27,12)</f>
        <v>45465</v>
      </c>
      <c r="C27" s="89">
        <v>154520</v>
      </c>
      <c r="D27" s="126">
        <v>157787</v>
      </c>
    </row>
    <row r="28" spans="1:4" x14ac:dyDescent="0.3">
      <c r="A28" s="125">
        <v>45099</v>
      </c>
      <c r="B28" s="125">
        <f t="shared" si="2"/>
        <v>45465</v>
      </c>
      <c r="C28" s="89">
        <v>257719</v>
      </c>
      <c r="D28" s="126">
        <v>263168</v>
      </c>
    </row>
    <row r="29" spans="1:4" x14ac:dyDescent="0.3">
      <c r="A29" s="125">
        <v>45099</v>
      </c>
      <c r="B29" s="125">
        <f t="shared" si="2"/>
        <v>45465</v>
      </c>
      <c r="C29" s="89">
        <v>255725</v>
      </c>
      <c r="D29" s="126">
        <v>261132</v>
      </c>
    </row>
    <row r="30" spans="1:4" x14ac:dyDescent="0.3">
      <c r="A30" s="125">
        <v>45099</v>
      </c>
      <c r="B30" s="125">
        <f t="shared" si="2"/>
        <v>45465</v>
      </c>
      <c r="C30" s="89">
        <v>340900</v>
      </c>
      <c r="D30" s="126">
        <v>348108</v>
      </c>
    </row>
    <row r="31" spans="1:4" x14ac:dyDescent="0.3">
      <c r="A31" s="125">
        <v>45101</v>
      </c>
      <c r="B31" s="125">
        <f t="shared" si="2"/>
        <v>45467</v>
      </c>
      <c r="C31" s="89">
        <v>216278</v>
      </c>
      <c r="D31" s="126">
        <v>220810</v>
      </c>
    </row>
    <row r="32" spans="1:4" x14ac:dyDescent="0.3">
      <c r="A32" s="125">
        <v>45131</v>
      </c>
      <c r="B32" s="125">
        <f t="shared" si="2"/>
        <v>45497</v>
      </c>
      <c r="C32" s="89">
        <v>340900</v>
      </c>
      <c r="D32" s="126">
        <v>347183</v>
      </c>
    </row>
    <row r="33" spans="1:5" x14ac:dyDescent="0.3">
      <c r="A33" s="125">
        <v>45160</v>
      </c>
      <c r="B33" s="125">
        <f t="shared" si="2"/>
        <v>45526</v>
      </c>
      <c r="C33" s="89">
        <v>340900</v>
      </c>
      <c r="D33" s="126">
        <v>346279</v>
      </c>
    </row>
    <row r="34" spans="1:5" x14ac:dyDescent="0.3">
      <c r="A34" s="125">
        <v>45191</v>
      </c>
      <c r="B34" s="125">
        <f t="shared" si="2"/>
        <v>45557</v>
      </c>
      <c r="C34" s="89">
        <v>340900</v>
      </c>
      <c r="D34" s="126">
        <v>345313</v>
      </c>
    </row>
    <row r="35" spans="1:5" x14ac:dyDescent="0.3">
      <c r="A35" s="125">
        <v>45222</v>
      </c>
      <c r="B35" s="125">
        <f t="shared" si="2"/>
        <v>45588</v>
      </c>
      <c r="C35" s="89">
        <v>340900</v>
      </c>
      <c r="D35" s="126">
        <v>344493</v>
      </c>
    </row>
    <row r="36" spans="1:5" x14ac:dyDescent="0.3">
      <c r="A36" s="125">
        <v>45252</v>
      </c>
      <c r="B36" s="125">
        <f t="shared" si="2"/>
        <v>45618</v>
      </c>
      <c r="C36" s="89">
        <v>340900</v>
      </c>
      <c r="D36" s="126">
        <v>343526</v>
      </c>
    </row>
    <row r="37" spans="1:5" x14ac:dyDescent="0.3">
      <c r="A37" s="125">
        <v>45282</v>
      </c>
      <c r="B37" s="125">
        <f t="shared" si="2"/>
        <v>45648</v>
      </c>
      <c r="C37" s="89">
        <v>340900</v>
      </c>
      <c r="D37" s="126">
        <v>342441</v>
      </c>
    </row>
    <row r="38" spans="1:5" x14ac:dyDescent="0.3">
      <c r="A38" s="125">
        <v>45313</v>
      </c>
      <c r="B38" s="125">
        <f t="shared" si="2"/>
        <v>45679</v>
      </c>
      <c r="C38" s="89">
        <v>340900</v>
      </c>
      <c r="D38" s="126">
        <v>341324</v>
      </c>
    </row>
    <row r="39" spans="1:5" x14ac:dyDescent="0.3">
      <c r="A39" s="125">
        <v>45225</v>
      </c>
      <c r="B39" s="125">
        <f>EDATE(A39,12)</f>
        <v>45591</v>
      </c>
      <c r="C39" s="89">
        <v>6123103</v>
      </c>
      <c r="D39" s="126">
        <v>6199116</v>
      </c>
    </row>
    <row r="40" spans="1:5" x14ac:dyDescent="0.3">
      <c r="E40" t="s">
        <v>388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C12" sqref="C12"/>
    </sheetView>
  </sheetViews>
  <sheetFormatPr defaultRowHeight="16.5" x14ac:dyDescent="0.3"/>
  <cols>
    <col min="1" max="2" width="10.25" customWidth="1"/>
    <col min="3" max="3" width="21.375" bestFit="1" customWidth="1"/>
    <col min="4" max="4" width="11.375" bestFit="1" customWidth="1"/>
    <col min="5" max="5" width="10.25" customWidth="1"/>
    <col min="7" max="10" width="10.25" customWidth="1"/>
    <col min="12" max="12" width="12.125" customWidth="1"/>
    <col min="13" max="15" width="10.25" customWidth="1"/>
    <col min="17" max="17" width="9.625" customWidth="1"/>
    <col min="18" max="18" width="13.375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6" t="s">
        <v>62</v>
      </c>
    </row>
    <row r="2" spans="1:19" x14ac:dyDescent="0.3">
      <c r="A2" s="71">
        <v>45292</v>
      </c>
      <c r="B2" s="72" t="s">
        <v>369</v>
      </c>
      <c r="C2" s="71" t="str">
        <f>VLOOKUP(삼성DC[[#This Row],[종목코드]],연금종목정보[],2,FALSE)</f>
        <v>삼성변동예금</v>
      </c>
      <c r="D2" s="73" t="str">
        <f>VLOOKUP(삼성DC[[#This Row],[종목코드]],연금종목정보[],4,FALSE)</f>
        <v>삼성화재 금리연동형</v>
      </c>
      <c r="E2" s="74">
        <v>1</v>
      </c>
      <c r="F2" s="75">
        <v>15152454</v>
      </c>
      <c r="G2" s="76">
        <v>15152454</v>
      </c>
      <c r="H2" s="76">
        <f>삼성DC[[#This Row],[현금지출]]-삼성DC[[#This Row],[매입액]]</f>
        <v>0</v>
      </c>
      <c r="I2" s="77"/>
      <c r="J2" s="75"/>
      <c r="K2" s="75"/>
      <c r="L2" s="78"/>
      <c r="M2" s="75"/>
      <c r="N2" s="78">
        <f>삼성DC[[#This Row],[매도액]]-삼성DC[[#This Row],[매도원금]]</f>
        <v>0</v>
      </c>
      <c r="O2" s="78">
        <f>삼성DC[[#This Row],[매도액]]+삼성DC[[#This Row],[이자배당액]]-삼성DC[[#This Row],[현금수입]]</f>
        <v>0</v>
      </c>
      <c r="P2" s="78">
        <f>삼성DC[[#This Row],[매매수익]]+삼성DC[[#This Row],[이자배당액]]-삼성DC[[#This Row],[매도비용]]-삼성DC[[#This Row],[매입비용]]</f>
        <v>0</v>
      </c>
      <c r="Q2" s="79">
        <v>15152454</v>
      </c>
      <c r="R2" s="77">
        <f>삼성DC[[#This Row],[입출금]]+삼성DC[[#This Row],[현금수입]]-삼성DC[[#This Row],[현금지출]]</f>
        <v>0</v>
      </c>
      <c r="S2" s="78">
        <f>SUM($R$2:R2)</f>
        <v>0</v>
      </c>
    </row>
    <row r="3" spans="1:19" x14ac:dyDescent="0.3">
      <c r="A3" s="71">
        <v>45292</v>
      </c>
      <c r="B3" s="72" t="s">
        <v>371</v>
      </c>
      <c r="C3" s="71" t="str">
        <f>VLOOKUP(삼성DC[[#This Row],[종목코드]],연금종목정보[],2,FALSE)</f>
        <v>삼성정기예금1년</v>
      </c>
      <c r="D3" s="73" t="str">
        <f>VLOOKUP(삼성DC[[#This Row],[종목코드]],연금종목정보[],4,FALSE)</f>
        <v>삼성화재 이율보증형 1Y</v>
      </c>
      <c r="E3" s="74">
        <v>1</v>
      </c>
      <c r="F3" s="75">
        <v>9946500</v>
      </c>
      <c r="G3" s="76">
        <v>9946500</v>
      </c>
      <c r="H3" s="76">
        <f>삼성DC[[#This Row],[현금지출]]-삼성DC[[#This Row],[매입액]]</f>
        <v>0</v>
      </c>
      <c r="I3" s="77"/>
      <c r="J3" s="75"/>
      <c r="K3" s="75"/>
      <c r="L3" s="78"/>
      <c r="M3" s="75"/>
      <c r="N3" s="78">
        <f>삼성DC[[#This Row],[매도액]]-삼성DC[[#This Row],[매도원금]]</f>
        <v>0</v>
      </c>
      <c r="O3" s="78">
        <f>삼성DC[[#This Row],[매도액]]+삼성DC[[#This Row],[이자배당액]]-삼성DC[[#This Row],[현금수입]]</f>
        <v>0</v>
      </c>
      <c r="P3" s="78">
        <f>삼성DC[[#This Row],[매매수익]]+삼성DC[[#This Row],[이자배당액]]-삼성DC[[#This Row],[매도비용]]-삼성DC[[#This Row],[매입비용]]</f>
        <v>0</v>
      </c>
      <c r="Q3" s="79">
        <v>9946500</v>
      </c>
      <c r="R3" s="77">
        <f>삼성DC[[#This Row],[입출금]]+삼성DC[[#This Row],[현금수입]]-삼성DC[[#This Row],[현금지출]]</f>
        <v>0</v>
      </c>
      <c r="S3" s="77">
        <f>SUM($R$2:R3)</f>
        <v>0</v>
      </c>
    </row>
    <row r="4" spans="1:19" x14ac:dyDescent="0.3">
      <c r="A4" s="71">
        <v>45292</v>
      </c>
      <c r="B4" s="81" t="s">
        <v>356</v>
      </c>
      <c r="C4" s="80" t="str">
        <f>VLOOKUP(삼성DC[[#This Row],[종목코드]],연금종목정보[],2,FALSE)</f>
        <v>삼성주가지수펀드</v>
      </c>
      <c r="D4" s="82" t="str">
        <f>VLOOKUP(삼성DC[[#This Row],[종목코드]],연금종목정보[],4,FALSE)</f>
        <v>삼성퇴직연금인덱스증권투자신탁제1호(주식)_Ce</v>
      </c>
      <c r="E4" s="83">
        <v>1</v>
      </c>
      <c r="F4" s="84">
        <v>4195346</v>
      </c>
      <c r="G4" s="85">
        <v>4195346</v>
      </c>
      <c r="H4" s="85">
        <f>삼성DC[[#This Row],[현금지출]]-삼성DC[[#This Row],[매입액]]</f>
        <v>0</v>
      </c>
      <c r="I4" s="86"/>
      <c r="J4" s="84"/>
      <c r="K4" s="84"/>
      <c r="L4" s="87"/>
      <c r="M4" s="84"/>
      <c r="N4" s="87">
        <f>삼성DC[[#This Row],[매도액]]-삼성DC[[#This Row],[매도원금]]</f>
        <v>0</v>
      </c>
      <c r="O4" s="87">
        <f>삼성DC[[#This Row],[매도액]]+삼성DC[[#This Row],[이자배당액]]-삼성DC[[#This Row],[현금수입]]</f>
        <v>0</v>
      </c>
      <c r="P4" s="87">
        <f>삼성DC[[#This Row],[매매수익]]+삼성DC[[#This Row],[이자배당액]]-삼성DC[[#This Row],[매도비용]]-삼성DC[[#This Row],[매입비용]]</f>
        <v>0</v>
      </c>
      <c r="Q4" s="88">
        <v>4195346</v>
      </c>
      <c r="R4" s="86">
        <f>삼성DC[[#This Row],[입출금]]+삼성DC[[#This Row],[현금수입]]-삼성DC[[#This Row],[현금지출]]</f>
        <v>0</v>
      </c>
      <c r="S4" s="86">
        <f>SUM($R$2:R4)</f>
        <v>0</v>
      </c>
    </row>
    <row r="5" spans="1:19" x14ac:dyDescent="0.3">
      <c r="A5" s="71">
        <v>45292</v>
      </c>
      <c r="B5" s="81" t="s">
        <v>358</v>
      </c>
      <c r="C5" s="80" t="str">
        <f>VLOOKUP(삼성DC[[#This Row],[종목코드]],연금종목정보[],2,FALSE)</f>
        <v>삼성채권혼합펀드</v>
      </c>
      <c r="D5" s="82" t="str">
        <f>VLOOKUP(삼성DC[[#This Row],[종목코드]],연금종목정보[],4,FALSE)</f>
        <v>삼성퇴직연금Active채권종합증권자투자신탁 제1호(채권)_Ce</v>
      </c>
      <c r="E5" s="83">
        <v>1</v>
      </c>
      <c r="F5" s="84">
        <v>4195346</v>
      </c>
      <c r="G5" s="85">
        <v>4195346</v>
      </c>
      <c r="H5" s="85">
        <f>삼성DC[[#This Row],[현금지출]]-삼성DC[[#This Row],[매입액]]</f>
        <v>0</v>
      </c>
      <c r="I5" s="86"/>
      <c r="J5" s="84"/>
      <c r="K5" s="84"/>
      <c r="L5" s="87"/>
      <c r="M5" s="84"/>
      <c r="N5" s="87">
        <f>삼성DC[[#This Row],[매도액]]-삼성DC[[#This Row],[매도원금]]</f>
        <v>0</v>
      </c>
      <c r="O5" s="87">
        <f>삼성DC[[#This Row],[매도액]]+삼성DC[[#This Row],[이자배당액]]-삼성DC[[#This Row],[현금수입]]</f>
        <v>0</v>
      </c>
      <c r="P5" s="87">
        <f>삼성DC[[#This Row],[매매수익]]+삼성DC[[#This Row],[이자배당액]]-삼성DC[[#This Row],[매도비용]]-삼성DC[[#This Row],[매입비용]]</f>
        <v>0</v>
      </c>
      <c r="Q5" s="88">
        <v>4195346</v>
      </c>
      <c r="R5" s="86">
        <f>삼성DC[[#This Row],[입출금]]+삼성DC[[#This Row],[현금수입]]-삼성DC[[#This Row],[현금지출]]</f>
        <v>0</v>
      </c>
      <c r="S5" s="86">
        <f>SUM($R$2:R5)</f>
        <v>0</v>
      </c>
    </row>
    <row r="6" spans="1:19" x14ac:dyDescent="0.3">
      <c r="A6" s="71">
        <v>45292</v>
      </c>
      <c r="B6" s="81" t="s">
        <v>360</v>
      </c>
      <c r="C6" s="80" t="str">
        <f>VLOOKUP(삼성DC[[#This Row],[종목코드]],연금종목정보[],2,FALSE)</f>
        <v>미래채권혼합펀드</v>
      </c>
      <c r="D6" s="82" t="str">
        <f>VLOOKUP(삼성DC[[#This Row],[종목코드]],연금종목정보[],4,FALSE)</f>
        <v>미래에셋퇴직플랜KRX100인덱스안정형40증권자투자신탁1호(채권혼합)_C-P2e</v>
      </c>
      <c r="E6" s="83">
        <v>1</v>
      </c>
      <c r="F6" s="84">
        <v>2097673</v>
      </c>
      <c r="G6" s="85">
        <v>2097673</v>
      </c>
      <c r="H6" s="85">
        <f>삼성DC[[#This Row],[현금지출]]-삼성DC[[#This Row],[매입액]]</f>
        <v>0</v>
      </c>
      <c r="I6" s="86"/>
      <c r="J6" s="84"/>
      <c r="K6" s="84"/>
      <c r="L6" s="87"/>
      <c r="M6" s="84"/>
      <c r="N6" s="87">
        <f>삼성DC[[#This Row],[매도액]]-삼성DC[[#This Row],[매도원금]]</f>
        <v>0</v>
      </c>
      <c r="O6" s="87">
        <f>삼성DC[[#This Row],[매도액]]+삼성DC[[#This Row],[이자배당액]]-삼성DC[[#This Row],[현금수입]]</f>
        <v>0</v>
      </c>
      <c r="P6" s="87">
        <f>삼성DC[[#This Row],[매매수익]]+삼성DC[[#This Row],[이자배당액]]-삼성DC[[#This Row],[매도비용]]-삼성DC[[#This Row],[매입비용]]</f>
        <v>0</v>
      </c>
      <c r="Q6" s="88">
        <v>2097673</v>
      </c>
      <c r="R6" s="86">
        <f>삼성DC[[#This Row],[입출금]]+삼성DC[[#This Row],[현금수입]]-삼성DC[[#This Row],[현금지출]]</f>
        <v>0</v>
      </c>
      <c r="S6" s="86">
        <f>SUM($R$2:R6)</f>
        <v>0</v>
      </c>
    </row>
    <row r="7" spans="1:19" x14ac:dyDescent="0.3">
      <c r="A7" s="71">
        <v>45292</v>
      </c>
      <c r="B7" s="81" t="s">
        <v>362</v>
      </c>
      <c r="C7" s="80" t="str">
        <f>VLOOKUP(삼성DC[[#This Row],[종목코드]],연금종목정보[],2,FALSE)</f>
        <v>신영채권혼합펀드</v>
      </c>
      <c r="D7" s="82" t="str">
        <f>VLOOKUP(삼성DC[[#This Row],[종목코드]],연금종목정보[],4,FALSE)</f>
        <v>신영퇴직연금배당40증권자투자신탁(채권혼합)_C-E</v>
      </c>
      <c r="E7" s="83">
        <v>1</v>
      </c>
      <c r="F7" s="84">
        <v>2097673</v>
      </c>
      <c r="G7" s="85">
        <v>2097673</v>
      </c>
      <c r="H7" s="85">
        <f>삼성DC[[#This Row],[현금지출]]-삼성DC[[#This Row],[매입액]]</f>
        <v>0</v>
      </c>
      <c r="I7" s="86"/>
      <c r="J7" s="84"/>
      <c r="K7" s="84"/>
      <c r="L7" s="87"/>
      <c r="M7" s="84"/>
      <c r="N7" s="87">
        <f>삼성DC[[#This Row],[매도액]]-삼성DC[[#This Row],[매도원금]]</f>
        <v>0</v>
      </c>
      <c r="O7" s="87">
        <f>삼성DC[[#This Row],[매도액]]+삼성DC[[#This Row],[이자배당액]]-삼성DC[[#This Row],[현금수입]]</f>
        <v>0</v>
      </c>
      <c r="P7" s="87">
        <f>삼성DC[[#This Row],[매매수익]]+삼성DC[[#This Row],[이자배당액]]-삼성DC[[#This Row],[매도비용]]-삼성DC[[#This Row],[매입비용]]</f>
        <v>0</v>
      </c>
      <c r="Q7" s="88">
        <v>2097673</v>
      </c>
      <c r="R7" s="86">
        <f>삼성DC[[#This Row],[입출금]]+삼성DC[[#This Row],[현금수입]]-삼성DC[[#This Row],[현금지출]]</f>
        <v>0</v>
      </c>
      <c r="S7" s="86">
        <f>SUM($R$2:R7)</f>
        <v>0</v>
      </c>
    </row>
    <row r="8" spans="1:19" x14ac:dyDescent="0.3">
      <c r="A8" s="71">
        <v>45292</v>
      </c>
      <c r="B8" s="81" t="s">
        <v>363</v>
      </c>
      <c r="C8" s="80" t="str">
        <f>VLOOKUP(삼성DC[[#This Row],[종목코드]],연금종목정보[],2,FALSE)</f>
        <v>신영주식혼합펀드</v>
      </c>
      <c r="D8" s="82" t="str">
        <f>VLOOKUP(삼성DC[[#This Row],[종목코드]],연금종목정보[],4,FALSE)</f>
        <v>신영퇴직연금배당주식증권자투자신탁(주식)_C-E</v>
      </c>
      <c r="E8" s="83">
        <v>1</v>
      </c>
      <c r="F8" s="84">
        <v>4195346</v>
      </c>
      <c r="G8" s="85">
        <v>4195346</v>
      </c>
      <c r="H8" s="85">
        <f>삼성DC[[#This Row],[현금지출]]-삼성DC[[#This Row],[매입액]]</f>
        <v>0</v>
      </c>
      <c r="I8" s="86"/>
      <c r="J8" s="84"/>
      <c r="K8" s="84"/>
      <c r="L8" s="87"/>
      <c r="M8" s="84"/>
      <c r="N8" s="87">
        <f>삼성DC[[#This Row],[매도액]]-삼성DC[[#This Row],[매도원금]]</f>
        <v>0</v>
      </c>
      <c r="O8" s="87">
        <f>삼성DC[[#This Row],[매도액]]+삼성DC[[#This Row],[이자배당액]]-삼성DC[[#This Row],[현금수입]]</f>
        <v>0</v>
      </c>
      <c r="P8" s="87">
        <f>삼성DC[[#This Row],[매매수익]]+삼성DC[[#This Row],[이자배당액]]-삼성DC[[#This Row],[매도비용]]-삼성DC[[#This Row],[매입비용]]</f>
        <v>0</v>
      </c>
      <c r="Q8" s="88">
        <v>4195346</v>
      </c>
      <c r="R8" s="86">
        <f>삼성DC[[#This Row],[입출금]]+삼성DC[[#This Row],[현금수입]]-삼성DC[[#This Row],[현금지출]]</f>
        <v>0</v>
      </c>
      <c r="S8" s="86">
        <f>SUM($R$2:R8)</f>
        <v>0</v>
      </c>
    </row>
    <row r="9" spans="1:19" x14ac:dyDescent="0.3">
      <c r="A9" s="71">
        <v>45292</v>
      </c>
      <c r="B9" s="81" t="s">
        <v>364</v>
      </c>
      <c r="C9" s="80" t="str">
        <f>VLOOKUP(삼성DC[[#This Row],[종목코드]],연금종목정보[],2,FALSE)</f>
        <v>한투TDF</v>
      </c>
      <c r="D9" s="82" t="str">
        <f>VLOOKUP(삼성DC[[#This Row],[종목코드]],연금종목정보[],4,FALSE)</f>
        <v>한국투자TDF알아서2045증권투자신탁(주식혼합-재간접형)_C-Re</v>
      </c>
      <c r="E9" s="83">
        <v>1</v>
      </c>
      <c r="F9" s="84">
        <v>6843270</v>
      </c>
      <c r="G9" s="85">
        <v>6843270</v>
      </c>
      <c r="H9" s="85">
        <f>삼성DC[[#This Row],[현금지출]]-삼성DC[[#This Row],[매입액]]</f>
        <v>0</v>
      </c>
      <c r="I9" s="86"/>
      <c r="J9" s="84"/>
      <c r="K9" s="84"/>
      <c r="L9" s="87"/>
      <c r="M9" s="84"/>
      <c r="N9" s="87">
        <f>삼성DC[[#This Row],[매도액]]-삼성DC[[#This Row],[매도원금]]</f>
        <v>0</v>
      </c>
      <c r="O9" s="87">
        <f>삼성DC[[#This Row],[매도액]]+삼성DC[[#This Row],[이자배당액]]-삼성DC[[#This Row],[현금수입]]</f>
        <v>0</v>
      </c>
      <c r="P9" s="87">
        <f>삼성DC[[#This Row],[매매수익]]+삼성DC[[#This Row],[이자배당액]]-삼성DC[[#This Row],[매도비용]]-삼성DC[[#This Row],[매입비용]]</f>
        <v>0</v>
      </c>
      <c r="Q9" s="88">
        <v>6843270</v>
      </c>
      <c r="R9" s="86">
        <f>삼성DC[[#This Row],[입출금]]+삼성DC[[#This Row],[현금수입]]-삼성DC[[#This Row],[현금지출]]</f>
        <v>0</v>
      </c>
      <c r="S9" s="86">
        <f>SUM($R$2:R9)</f>
        <v>0</v>
      </c>
    </row>
    <row r="10" spans="1:19" x14ac:dyDescent="0.3">
      <c r="A10" s="71">
        <v>45292</v>
      </c>
      <c r="B10" s="81" t="s">
        <v>365</v>
      </c>
      <c r="C10" s="80" t="str">
        <f>VLOOKUP(삼성DC[[#This Row],[종목코드]],연금종목정보[],2,FALSE)</f>
        <v>KB미국성장주펀드</v>
      </c>
      <c r="D10" s="82" t="str">
        <f>VLOOKUP(삼성DC[[#This Row],[종목코드]],연금종목정보[],4,FALSE)</f>
        <v>KB미국대표성장주증권자투자신탁(주식)(H)C-퇴직e</v>
      </c>
      <c r="E10" s="83">
        <v>1</v>
      </c>
      <c r="F10" s="84">
        <v>2097673</v>
      </c>
      <c r="G10" s="85">
        <v>2097673</v>
      </c>
      <c r="H10" s="85">
        <f>삼성DC[[#This Row],[현금지출]]-삼성DC[[#This Row],[매입액]]</f>
        <v>0</v>
      </c>
      <c r="I10" s="86"/>
      <c r="J10" s="84"/>
      <c r="K10" s="84"/>
      <c r="L10" s="87"/>
      <c r="M10" s="84"/>
      <c r="N10" s="87">
        <f>삼성DC[[#This Row],[매도액]]-삼성DC[[#This Row],[매도원금]]</f>
        <v>0</v>
      </c>
      <c r="O10" s="87">
        <f>삼성DC[[#This Row],[매도액]]+삼성DC[[#This Row],[이자배당액]]-삼성DC[[#This Row],[현금수입]]</f>
        <v>0</v>
      </c>
      <c r="P10" s="87">
        <f>삼성DC[[#This Row],[매매수익]]+삼성DC[[#This Row],[이자배당액]]-삼성DC[[#This Row],[매도비용]]-삼성DC[[#This Row],[매입비용]]</f>
        <v>0</v>
      </c>
      <c r="Q10" s="88">
        <v>2097673</v>
      </c>
      <c r="R10" s="86">
        <f>삼성DC[[#This Row],[입출금]]+삼성DC[[#This Row],[현금수입]]-삼성DC[[#This Row],[현금지출]]</f>
        <v>0</v>
      </c>
      <c r="S10" s="86">
        <f>SUM($R$2:R10)</f>
        <v>0</v>
      </c>
    </row>
    <row r="11" spans="1:19" x14ac:dyDescent="0.3">
      <c r="A11" s="71">
        <v>45292</v>
      </c>
      <c r="B11" s="81" t="s">
        <v>366</v>
      </c>
      <c r="C11" s="80" t="str">
        <f>VLOOKUP(삼성DC[[#This Row],[종목코드]],연금종목정보[],2,FALSE)</f>
        <v>삼성미국주가지수펀드</v>
      </c>
      <c r="D11" s="82" t="str">
        <f>VLOOKUP(삼성DC[[#This Row],[종목코드]],연금종목정보[],4,FALSE)</f>
        <v>삼성미국인덱스증권자투자신탁H(주식)_Cpe(퇴직연금)</v>
      </c>
      <c r="E11" s="83">
        <v>1</v>
      </c>
      <c r="F11" s="84">
        <v>2097672</v>
      </c>
      <c r="G11" s="85">
        <v>2097672</v>
      </c>
      <c r="H11" s="85">
        <f>삼성DC[[#This Row],[현금지출]]-삼성DC[[#This Row],[매입액]]</f>
        <v>0</v>
      </c>
      <c r="I11" s="86"/>
      <c r="J11" s="84"/>
      <c r="K11" s="84"/>
      <c r="L11" s="87"/>
      <c r="M11" s="84"/>
      <c r="N11" s="87">
        <f>삼성DC[[#This Row],[매도액]]-삼성DC[[#This Row],[매도원금]]</f>
        <v>0</v>
      </c>
      <c r="O11" s="87">
        <f>삼성DC[[#This Row],[매도액]]+삼성DC[[#This Row],[이자배당액]]-삼성DC[[#This Row],[현금수입]]</f>
        <v>0</v>
      </c>
      <c r="P11" s="87">
        <f>삼성DC[[#This Row],[매매수익]]+삼성DC[[#This Row],[이자배당액]]-삼성DC[[#This Row],[매도비용]]-삼성DC[[#This Row],[매입비용]]</f>
        <v>0</v>
      </c>
      <c r="Q11" s="88">
        <v>2097672</v>
      </c>
      <c r="R11" s="86">
        <f>삼성DC[[#This Row],[입출금]]+삼성DC[[#This Row],[현금수입]]-삼성DC[[#This Row],[현금지출]]</f>
        <v>0</v>
      </c>
      <c r="S11" s="86">
        <f>SUM($R$2:R11)</f>
        <v>0</v>
      </c>
    </row>
    <row r="12" spans="1:19" x14ac:dyDescent="0.3">
      <c r="A12" s="71">
        <v>45292</v>
      </c>
      <c r="B12" s="81" t="s">
        <v>367</v>
      </c>
      <c r="C12" s="80" t="str">
        <f>VLOOKUP(삼성DC[[#This Row],[종목코드]],연금종목정보[],2,FALSE)</f>
        <v>삼성현금</v>
      </c>
      <c r="D12" s="82" t="str">
        <f>VLOOKUP(삼성DC[[#This Row],[종목코드]],연금종목정보[],4,FALSE)</f>
        <v>삼성화재신탁 대기자금</v>
      </c>
      <c r="E12" s="83">
        <v>1</v>
      </c>
      <c r="F12" s="84">
        <v>3086</v>
      </c>
      <c r="G12" s="85">
        <v>3086</v>
      </c>
      <c r="H12" s="85">
        <f>삼성DC[[#This Row],[현금지출]]-삼성DC[[#This Row],[매입액]]</f>
        <v>0</v>
      </c>
      <c r="I12" s="86"/>
      <c r="J12" s="84"/>
      <c r="K12" s="84"/>
      <c r="L12" s="87"/>
      <c r="M12" s="84"/>
      <c r="N12" s="87">
        <f>삼성DC[[#This Row],[매도액]]-삼성DC[[#This Row],[매도원금]]</f>
        <v>0</v>
      </c>
      <c r="O12" s="87">
        <f>삼성DC[[#This Row],[매도액]]+삼성DC[[#This Row],[이자배당액]]-삼성DC[[#This Row],[현금수입]]</f>
        <v>0</v>
      </c>
      <c r="P12" s="87">
        <f>삼성DC[[#This Row],[매매수익]]+삼성DC[[#This Row],[이자배당액]]-삼성DC[[#This Row],[매도비용]]-삼성DC[[#This Row],[매입비용]]</f>
        <v>0</v>
      </c>
      <c r="Q12" s="88">
        <v>3086</v>
      </c>
      <c r="R12" s="86">
        <f>삼성DC[[#This Row],[입출금]]+삼성DC[[#This Row],[현금수입]]-삼성DC[[#This Row],[현금지출]]</f>
        <v>0</v>
      </c>
      <c r="S12" s="86">
        <f>SUM($R$2:R12)</f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workbookViewId="0">
      <selection activeCell="D5" sqref="D5"/>
    </sheetView>
  </sheetViews>
  <sheetFormatPr defaultRowHeight="16.5" x14ac:dyDescent="0.3"/>
  <cols>
    <col min="1" max="1" width="13.25" bestFit="1" customWidth="1"/>
    <col min="3" max="3" width="13" bestFit="1" customWidth="1"/>
    <col min="4" max="4" width="18.875" bestFit="1" customWidth="1"/>
    <col min="6" max="6" width="9.5" bestFit="1" customWidth="1"/>
    <col min="10" max="10" width="9.5" bestFit="1" customWidth="1"/>
    <col min="19" max="19" width="12.375" customWidth="1"/>
  </cols>
  <sheetData>
    <row r="1" spans="1:21" x14ac:dyDescent="0.3">
      <c r="A1" s="13" t="s">
        <v>393</v>
      </c>
      <c r="B1" s="123" t="s">
        <v>77</v>
      </c>
      <c r="C1" s="13" t="s">
        <v>394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395</v>
      </c>
      <c r="I1" s="41" t="s">
        <v>134</v>
      </c>
      <c r="J1" s="15" t="s">
        <v>53</v>
      </c>
      <c r="K1" s="15" t="s">
        <v>396</v>
      </c>
      <c r="L1" s="15" t="s">
        <v>397</v>
      </c>
      <c r="M1" s="15" t="s">
        <v>398</v>
      </c>
      <c r="N1" s="15" t="s">
        <v>399</v>
      </c>
      <c r="O1" s="15" t="s">
        <v>400</v>
      </c>
      <c r="P1" s="15" t="s">
        <v>401</v>
      </c>
      <c r="Q1" s="16" t="s">
        <v>402</v>
      </c>
      <c r="R1" s="16" t="s">
        <v>61</v>
      </c>
      <c r="S1" s="16" t="s">
        <v>403</v>
      </c>
    </row>
    <row r="2" spans="1:21" x14ac:dyDescent="0.3">
      <c r="A2" s="3">
        <v>45327</v>
      </c>
      <c r="B2" s="31" t="s">
        <v>506</v>
      </c>
      <c r="C2" t="str">
        <f>VLOOKUP(농협IRP17[[#This Row],[종목코드]],연금종목정보[],2,FALSE)</f>
        <v>엔투현금</v>
      </c>
      <c r="D2" t="str">
        <f>VLOOKUP(농협IRP17[[#This Row],[종목코드]],연금종목정보[],4,FALSE)</f>
        <v>NH투자증권 예수금</v>
      </c>
      <c r="E2">
        <v>1</v>
      </c>
      <c r="F2">
        <v>12709251</v>
      </c>
      <c r="G2">
        <v>12709251</v>
      </c>
      <c r="H2">
        <f>농협IRP17[[#This Row],[현금지출]]-농협IRP17[[#This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농협IRP17[[#This Row],[매도액]]-농협IRP17[[#This Row],[매도원금]]</f>
        <v>0</v>
      </c>
      <c r="O2">
        <f>농협IRP17[[#This Row],[매도액]]+농협IRP17[[#This Row],[이자배당액]]-농협IRP17[[#This Row],[현금수입]]</f>
        <v>0</v>
      </c>
      <c r="P2">
        <f>농협IRP17[[#This Row],[매매수익]]+농협IRP17[[#This Row],[이자배당액]]-농협IRP17[[#This Row],[매도비용]]-농협IRP17[[#This Row],[매입비용]]</f>
        <v>0</v>
      </c>
      <c r="Q2">
        <v>12709251</v>
      </c>
      <c r="R2">
        <f>농협IRP17[[#This Row],[입출금]]+농협IRP17[[#This Row],[현금수입]]-농협IRP17[[#This Row],[현금지출]]</f>
        <v>0</v>
      </c>
      <c r="S2">
        <f>SUM($R$2:R2)</f>
        <v>0</v>
      </c>
      <c r="U2">
        <v>12709251</v>
      </c>
    </row>
    <row r="3" spans="1:21" x14ac:dyDescent="0.3">
      <c r="A3" s="3">
        <v>45345</v>
      </c>
      <c r="B3" s="31" t="s">
        <v>506</v>
      </c>
      <c r="C3" t="str">
        <f>VLOOKUP(농협IRP17[[#This Row],[종목코드]],연금종목정보[],2,FALSE)</f>
        <v>엔투현금</v>
      </c>
      <c r="D3" t="str">
        <f>VLOOKUP(농협IRP17[[#This Row],[종목코드]],연금종목정보[],4,FALSE)</f>
        <v>NH투자증권 예수금</v>
      </c>
      <c r="E3">
        <v>0</v>
      </c>
      <c r="F3">
        <v>0</v>
      </c>
      <c r="G3">
        <v>0</v>
      </c>
      <c r="H3" s="5">
        <f>농협IRP17[[#This Row],[현금지출]]-농협IRP17[[#This Row],[매입액]]</f>
        <v>0</v>
      </c>
      <c r="I3">
        <v>0</v>
      </c>
      <c r="J3">
        <v>12628340</v>
      </c>
      <c r="K3">
        <v>12628340</v>
      </c>
      <c r="L3">
        <v>0</v>
      </c>
      <c r="M3">
        <v>12628340</v>
      </c>
      <c r="N3" s="5">
        <f>농협IRP17[[#This Row],[매도액]]-농협IRP17[[#This Row],[매도원금]]</f>
        <v>0</v>
      </c>
      <c r="O3" s="5">
        <f>농협IRP17[[#This Row],[매도액]]+농협IRP17[[#This Row],[이자배당액]]-농협IRP17[[#This Row],[현금수입]]</f>
        <v>0</v>
      </c>
      <c r="P3" s="5">
        <f>농협IRP17[[#This Row],[매매수익]]+농협IRP17[[#This Row],[이자배당액]]-농협IRP17[[#This Row],[매도비용]]-농협IRP17[[#This Row],[매입비용]]</f>
        <v>0</v>
      </c>
      <c r="R3" s="5">
        <f>농협IRP17[[#This Row],[입출금]]+농협IRP17[[#This Row],[현금수입]]-농협IRP17[[#This Row],[현금지출]]</f>
        <v>12628340</v>
      </c>
      <c r="S3" s="5">
        <f>SUM($R$2:R3)</f>
        <v>12628340</v>
      </c>
      <c r="U3">
        <v>12628340</v>
      </c>
    </row>
    <row r="4" spans="1:21" x14ac:dyDescent="0.3">
      <c r="A4" s="3">
        <v>45345</v>
      </c>
      <c r="B4" s="31" t="s">
        <v>507</v>
      </c>
      <c r="C4" t="str">
        <f>VLOOKUP(농협IRP17[[#This Row],[종목코드]],연금종목정보[],2,FALSE)</f>
        <v>국내채권 중기</v>
      </c>
      <c r="D4" t="str">
        <f>VLOOKUP(농협IRP17[[#This Row],[종목코드]],연금종목정보[],4,FALSE)</f>
        <v>KODEX 국고채3년</v>
      </c>
      <c r="E4">
        <v>11</v>
      </c>
      <c r="F4">
        <v>651200</v>
      </c>
      <c r="G4">
        <v>651260</v>
      </c>
      <c r="H4">
        <f>농협IRP17[[#This Row],[현금지출]]-농협IRP17[[#This Row],[매입액]]</f>
        <v>60</v>
      </c>
      <c r="I4">
        <v>0</v>
      </c>
      <c r="J4">
        <v>0</v>
      </c>
      <c r="K4">
        <v>0</v>
      </c>
      <c r="L4">
        <v>0</v>
      </c>
      <c r="M4">
        <v>0</v>
      </c>
      <c r="N4">
        <f>농협IRP17[[#This Row],[매도액]]-농협IRP17[[#This Row],[매도원금]]</f>
        <v>0</v>
      </c>
      <c r="O4">
        <f>농협IRP17[[#This Row],[매도액]]+농협IRP17[[#This Row],[이자배당액]]-농협IRP17[[#This Row],[현금수입]]</f>
        <v>0</v>
      </c>
      <c r="P4">
        <f>농협IRP17[[#This Row],[매매수익]]+농협IRP17[[#This Row],[이자배당액]]-농협IRP17[[#This Row],[매도비용]]-농협IRP17[[#This Row],[매입비용]]</f>
        <v>-60</v>
      </c>
      <c r="R4">
        <f>농협IRP17[[#This Row],[입출금]]+농협IRP17[[#This Row],[현금수입]]-농협IRP17[[#This Row],[현금지출]]</f>
        <v>-651260</v>
      </c>
      <c r="S4">
        <f>SUM($R$2:R4)</f>
        <v>11977080</v>
      </c>
      <c r="U4">
        <f>U2-U3</f>
        <v>80911</v>
      </c>
    </row>
    <row r="5" spans="1:21" x14ac:dyDescent="0.3">
      <c r="A5" s="3">
        <v>45345</v>
      </c>
      <c r="B5" s="31" t="s">
        <v>508</v>
      </c>
      <c r="C5" t="str">
        <f>VLOOKUP(농협IRP17[[#This Row],[종목코드]],연금종목정보[],2,FALSE)</f>
        <v>국내채권 단기</v>
      </c>
      <c r="D5" t="str">
        <f>VLOOKUP(농협IRP17[[#This Row],[종목코드]],연금종목정보[],4,FALSE)</f>
        <v>KODEX 단기채권</v>
      </c>
      <c r="E5">
        <v>11</v>
      </c>
      <c r="F5">
        <v>1196195</v>
      </c>
      <c r="G5">
        <v>1196305</v>
      </c>
      <c r="H5">
        <f>농협IRP17[[#This Row],[현금지출]]-농협IRP17[[#This Row],[매입액]]</f>
        <v>110</v>
      </c>
      <c r="I5">
        <v>0</v>
      </c>
      <c r="J5">
        <v>0</v>
      </c>
      <c r="K5">
        <v>0</v>
      </c>
      <c r="L5">
        <v>0</v>
      </c>
      <c r="M5">
        <v>0</v>
      </c>
      <c r="N5">
        <f>농협IRP17[[#This Row],[매도액]]-농협IRP17[[#This Row],[매도원금]]</f>
        <v>0</v>
      </c>
      <c r="O5">
        <f>농협IRP17[[#This Row],[매도액]]+농협IRP17[[#This Row],[이자배당액]]-농협IRP17[[#This Row],[현금수입]]</f>
        <v>0</v>
      </c>
      <c r="P5">
        <f>농협IRP17[[#This Row],[매매수익]]+농협IRP17[[#This Row],[이자배당액]]-농협IRP17[[#This Row],[매도비용]]-농협IRP17[[#This Row],[매입비용]]</f>
        <v>-110</v>
      </c>
      <c r="R5">
        <f>농협IRP17[[#This Row],[입출금]]+농협IRP17[[#This Row],[현금수입]]-농협IRP17[[#This Row],[현금지출]]</f>
        <v>-1196305</v>
      </c>
      <c r="S5">
        <f>SUM($R$2:R5)</f>
        <v>10780775</v>
      </c>
    </row>
    <row r="6" spans="1:21" x14ac:dyDescent="0.3">
      <c r="A6" s="3">
        <v>45345</v>
      </c>
      <c r="B6" s="31" t="s">
        <v>509</v>
      </c>
      <c r="C6" t="str">
        <f>VLOOKUP(농협IRP17[[#This Row],[종목코드]],연금종목정보[],2,FALSE)</f>
        <v>미국채권 종합</v>
      </c>
      <c r="D6" t="str">
        <f>VLOOKUP(농협IRP17[[#This Row],[종목코드]],연금종목정보[],4,FALSE)</f>
        <v>KODEX 미국종합채권ESG액티브(H)</v>
      </c>
      <c r="E6">
        <v>13</v>
      </c>
      <c r="F6">
        <f>889155+394980</f>
        <v>1284135</v>
      </c>
      <c r="G6">
        <f>889275+394980</f>
        <v>1284255</v>
      </c>
      <c r="H6">
        <f>농협IRP17[[#This Row],[현금지출]]-농협IRP17[[#This Row],[매입액]]</f>
        <v>120</v>
      </c>
      <c r="I6">
        <v>0</v>
      </c>
      <c r="J6">
        <v>0</v>
      </c>
      <c r="K6">
        <v>0</v>
      </c>
      <c r="L6">
        <v>0</v>
      </c>
      <c r="M6">
        <v>0</v>
      </c>
      <c r="N6">
        <f>농협IRP17[[#This Row],[매도액]]-농협IRP17[[#This Row],[매도원금]]</f>
        <v>0</v>
      </c>
      <c r="O6">
        <f>농협IRP17[[#This Row],[매도액]]+농협IRP17[[#This Row],[이자배당액]]-농협IRP17[[#This Row],[현금수입]]</f>
        <v>0</v>
      </c>
      <c r="P6">
        <f>농협IRP17[[#This Row],[매매수익]]+농협IRP17[[#This Row],[이자배당액]]-농협IRP17[[#This Row],[매도비용]]-농협IRP17[[#This Row],[매입비용]]</f>
        <v>-120</v>
      </c>
      <c r="R6">
        <f>농협IRP17[[#This Row],[입출금]]+농협IRP17[[#This Row],[현금수입]]-농협IRP17[[#This Row],[현금지출]]</f>
        <v>-1284255</v>
      </c>
      <c r="S6">
        <f>SUM($R$2:R6)</f>
        <v>9496520</v>
      </c>
    </row>
    <row r="7" spans="1:21" x14ac:dyDescent="0.3">
      <c r="A7" s="3">
        <v>45345</v>
      </c>
      <c r="B7" s="31" t="s">
        <v>510</v>
      </c>
      <c r="C7" t="str">
        <f>VLOOKUP(농협IRP17[[#This Row],[종목코드]],연금종목정보[],2,FALSE)</f>
        <v>금</v>
      </c>
      <c r="D7" t="str">
        <f>VLOOKUP(농협IRP17[[#This Row],[종목코드]],연금종목정보[],4,FALSE)</f>
        <v>ACE KRX 금현물</v>
      </c>
      <c r="E7">
        <v>103</v>
      </c>
      <c r="F7">
        <v>1281320</v>
      </c>
      <c r="G7">
        <v>1281440</v>
      </c>
      <c r="H7">
        <f>농협IRP17[[#This Row],[현금지출]]-농협IRP17[[#This Row],[매입액]]</f>
        <v>120</v>
      </c>
      <c r="I7">
        <v>0</v>
      </c>
      <c r="J7">
        <v>0</v>
      </c>
      <c r="K7">
        <v>0</v>
      </c>
      <c r="L7">
        <v>0</v>
      </c>
      <c r="M7">
        <v>0</v>
      </c>
      <c r="N7">
        <f>농협IRP17[[#This Row],[매도액]]-농협IRP17[[#This Row],[매도원금]]</f>
        <v>0</v>
      </c>
      <c r="O7">
        <f>농협IRP17[[#This Row],[매도액]]+농협IRP17[[#This Row],[이자배당액]]-농협IRP17[[#This Row],[현금수입]]</f>
        <v>0</v>
      </c>
      <c r="P7">
        <f>농협IRP17[[#This Row],[매매수익]]+농협IRP17[[#This Row],[이자배당액]]-농협IRP17[[#This Row],[매도비용]]-농협IRP17[[#This Row],[매입비용]]</f>
        <v>-120</v>
      </c>
      <c r="R7">
        <f>농협IRP17[[#This Row],[입출금]]+농협IRP17[[#This Row],[현금수입]]-농협IRP17[[#This Row],[현금지출]]</f>
        <v>-1281440</v>
      </c>
      <c r="S7">
        <f>SUM($R$2:R7)</f>
        <v>8215080</v>
      </c>
    </row>
    <row r="8" spans="1:21" x14ac:dyDescent="0.3">
      <c r="A8" s="3">
        <v>45345</v>
      </c>
      <c r="B8" s="31" t="s">
        <v>511</v>
      </c>
      <c r="C8" t="str">
        <f>VLOOKUP(농협IRP17[[#This Row],[종목코드]],연금종목정보[],2,FALSE)</f>
        <v>리츠</v>
      </c>
      <c r="D8" t="str">
        <f>VLOOKUP(농협IRP17[[#This Row],[종목코드]],연금종목정보[],4,FALSE)</f>
        <v>TIGER 리츠부동산인프라</v>
      </c>
      <c r="E8">
        <v>290</v>
      </c>
      <c r="F8">
        <v>1274550</v>
      </c>
      <c r="G8">
        <v>1274670</v>
      </c>
      <c r="H8">
        <f>농협IRP17[[#This Row],[현금지출]]-농협IRP17[[#This Row],[매입액]]</f>
        <v>120</v>
      </c>
      <c r="I8">
        <v>0</v>
      </c>
      <c r="J8">
        <v>0</v>
      </c>
      <c r="K8">
        <v>0</v>
      </c>
      <c r="L8">
        <v>0</v>
      </c>
      <c r="M8">
        <v>0</v>
      </c>
      <c r="N8">
        <f>농협IRP17[[#This Row],[매도액]]-농협IRP17[[#This Row],[매도원금]]</f>
        <v>0</v>
      </c>
      <c r="O8">
        <f>농협IRP17[[#This Row],[매도액]]+농협IRP17[[#This Row],[이자배당액]]-농협IRP17[[#This Row],[현금수입]]</f>
        <v>0</v>
      </c>
      <c r="P8">
        <f>농협IRP17[[#This Row],[매매수익]]+농협IRP17[[#This Row],[이자배당액]]-농협IRP17[[#This Row],[매도비용]]-농협IRP17[[#This Row],[매입비용]]</f>
        <v>-120</v>
      </c>
      <c r="R8">
        <f>농협IRP17[[#This Row],[입출금]]+농협IRP17[[#This Row],[현금수입]]-농협IRP17[[#This Row],[현금지출]]</f>
        <v>-1274670</v>
      </c>
      <c r="S8">
        <f>SUM($R$2:R8)</f>
        <v>6940410</v>
      </c>
    </row>
    <row r="9" spans="1:21" x14ac:dyDescent="0.3">
      <c r="A9" s="3">
        <v>45345</v>
      </c>
      <c r="B9" s="31" t="s">
        <v>512</v>
      </c>
      <c r="C9" t="str">
        <f>VLOOKUP(농협IRP17[[#This Row],[종목코드]],연금종목정보[],2,FALSE)</f>
        <v>국내주식 대형주</v>
      </c>
      <c r="D9" t="str">
        <f>VLOOKUP(농협IRP17[[#This Row],[종목코드]],연금종목정보[],4,FALSE)</f>
        <v>TIGER 200TR</v>
      </c>
      <c r="E9">
        <v>63</v>
      </c>
      <c r="F9">
        <v>1260315</v>
      </c>
      <c r="G9">
        <v>1260435</v>
      </c>
      <c r="H9">
        <f>농협IRP17[[#This Row],[현금지출]]-농협IRP17[[#This Row],[매입액]]</f>
        <v>120</v>
      </c>
      <c r="I9">
        <v>0</v>
      </c>
      <c r="J9">
        <v>0</v>
      </c>
      <c r="K9">
        <v>0</v>
      </c>
      <c r="L9">
        <v>0</v>
      </c>
      <c r="M9">
        <v>0</v>
      </c>
      <c r="N9">
        <f>농협IRP17[[#This Row],[매도액]]-농협IRP17[[#This Row],[매도원금]]</f>
        <v>0</v>
      </c>
      <c r="O9">
        <f>농협IRP17[[#This Row],[매도액]]+농협IRP17[[#This Row],[이자배당액]]-농협IRP17[[#This Row],[현금수입]]</f>
        <v>0</v>
      </c>
      <c r="P9">
        <f>농협IRP17[[#This Row],[매매수익]]+농협IRP17[[#This Row],[이자배당액]]-농협IRP17[[#This Row],[매도비용]]-농협IRP17[[#This Row],[매입비용]]</f>
        <v>-120</v>
      </c>
      <c r="R9">
        <f>농협IRP17[[#This Row],[입출금]]+농협IRP17[[#This Row],[현금수입]]-농협IRP17[[#This Row],[현금지출]]</f>
        <v>-1260435</v>
      </c>
      <c r="S9">
        <f>SUM($R$2:R9)</f>
        <v>5679975</v>
      </c>
    </row>
    <row r="10" spans="1:21" x14ac:dyDescent="0.3">
      <c r="A10" s="3">
        <v>45345</v>
      </c>
      <c r="B10" s="31" t="s">
        <v>513</v>
      </c>
      <c r="C10" t="str">
        <f>VLOOKUP(농협IRP17[[#This Row],[종목코드]],연금종목정보[],2,FALSE)</f>
        <v>국내주식 반도체</v>
      </c>
      <c r="D10" t="str">
        <f>VLOOKUP(농협IRP17[[#This Row],[종목코드]],연금종목정보[],4,FALSE)</f>
        <v>SOL 반도체소부장루</v>
      </c>
      <c r="E10">
        <v>47</v>
      </c>
      <c r="F10">
        <v>629800</v>
      </c>
      <c r="G10">
        <v>629860</v>
      </c>
      <c r="H10">
        <f>농협IRP17[[#This Row],[현금지출]]-농협IRP17[[#This Row],[매입액]]</f>
        <v>60</v>
      </c>
      <c r="I10">
        <v>0</v>
      </c>
      <c r="J10">
        <v>0</v>
      </c>
      <c r="K10">
        <v>0</v>
      </c>
      <c r="L10">
        <v>0</v>
      </c>
      <c r="M10">
        <v>0</v>
      </c>
      <c r="N10">
        <f>농협IRP17[[#This Row],[매도액]]-농협IRP17[[#This Row],[매도원금]]</f>
        <v>0</v>
      </c>
      <c r="O10">
        <f>농협IRP17[[#This Row],[매도액]]+농협IRP17[[#This Row],[이자배당액]]-농협IRP17[[#This Row],[현금수입]]</f>
        <v>0</v>
      </c>
      <c r="P10">
        <f>농협IRP17[[#This Row],[매매수익]]+농협IRP17[[#This Row],[이자배당액]]-농협IRP17[[#This Row],[매도비용]]-농협IRP17[[#This Row],[매입비용]]</f>
        <v>-60</v>
      </c>
      <c r="R10">
        <f>농협IRP17[[#This Row],[입출금]]+농협IRP17[[#This Row],[현금수입]]-농협IRP17[[#This Row],[현금지출]]</f>
        <v>-629860</v>
      </c>
      <c r="S10">
        <f>SUM($R$2:R10)</f>
        <v>5050115</v>
      </c>
    </row>
    <row r="11" spans="1:21" x14ac:dyDescent="0.3">
      <c r="A11" s="3">
        <v>45345</v>
      </c>
      <c r="B11" s="31" t="s">
        <v>514</v>
      </c>
      <c r="C11" t="str">
        <f>VLOOKUP(농협IRP17[[#This Row],[종목코드]],연금종목정보[],2,FALSE)</f>
        <v>미국채권 투자등급</v>
      </c>
      <c r="D11" t="str">
        <f>VLOOKUP(농협IRP17[[#This Row],[종목코드]],연금종목정보[],4,FALSE)</f>
        <v>KBSTAR 미국단기투자등급회사채액티브</v>
      </c>
      <c r="E11">
        <v>120</v>
      </c>
      <c r="F11">
        <v>1281000</v>
      </c>
      <c r="G11">
        <v>1281120</v>
      </c>
      <c r="H11">
        <f>농협IRP17[[#This Row],[현금지출]]-농협IRP17[[#This Row],[매입액]]</f>
        <v>120</v>
      </c>
      <c r="I11">
        <v>0</v>
      </c>
      <c r="J11">
        <v>0</v>
      </c>
      <c r="K11">
        <v>0</v>
      </c>
      <c r="L11">
        <v>0</v>
      </c>
      <c r="M11">
        <v>0</v>
      </c>
      <c r="N11">
        <f>농협IRP17[[#This Row],[매도액]]-농협IRP17[[#This Row],[매도원금]]</f>
        <v>0</v>
      </c>
      <c r="O11">
        <f>농협IRP17[[#This Row],[매도액]]+농협IRP17[[#This Row],[이자배당액]]-농협IRP17[[#This Row],[현금수입]]</f>
        <v>0</v>
      </c>
      <c r="P11">
        <f>농협IRP17[[#This Row],[매매수익]]+농협IRP17[[#This Row],[이자배당액]]-농협IRP17[[#This Row],[매도비용]]-농협IRP17[[#This Row],[매입비용]]</f>
        <v>-120</v>
      </c>
      <c r="R11">
        <f>농협IRP17[[#This Row],[입출금]]+농협IRP17[[#This Row],[현금수입]]-농협IRP17[[#This Row],[현금지출]]</f>
        <v>-1281120</v>
      </c>
      <c r="S11">
        <f>SUM($R$2:R11)</f>
        <v>3768995</v>
      </c>
    </row>
    <row r="12" spans="1:21" x14ac:dyDescent="0.3">
      <c r="A12" s="3">
        <v>45345</v>
      </c>
      <c r="B12" s="31" t="s">
        <v>436</v>
      </c>
      <c r="C12" t="str">
        <f>VLOOKUP(농협IRP17[[#This Row],[종목코드]],연금종목정보[],2,FALSE)</f>
        <v>미국주식 S&amp;P</v>
      </c>
      <c r="D12" t="str">
        <f>VLOOKUP(농협IRP17[[#This Row],[종목코드]],연금종목정보[],4,FALSE)</f>
        <v>KODEX 미국S&amp;P500(H)</v>
      </c>
      <c r="E12">
        <v>108</v>
      </c>
      <c r="F12">
        <v>1270620</v>
      </c>
      <c r="G12">
        <v>1270740</v>
      </c>
      <c r="H12">
        <f>농협IRP17[[#This Row],[현금지출]]-농협IRP17[[#This Row],[매입액]]</f>
        <v>120</v>
      </c>
      <c r="I12">
        <v>0</v>
      </c>
      <c r="J12">
        <v>0</v>
      </c>
      <c r="K12">
        <v>0</v>
      </c>
      <c r="L12">
        <v>0</v>
      </c>
      <c r="M12">
        <v>0</v>
      </c>
      <c r="N12">
        <f>농협IRP17[[#This Row],[매도액]]-농협IRP17[[#This Row],[매도원금]]</f>
        <v>0</v>
      </c>
      <c r="O12">
        <f>농협IRP17[[#This Row],[매도액]]+농협IRP17[[#This Row],[이자배당액]]-농협IRP17[[#This Row],[현금수입]]</f>
        <v>0</v>
      </c>
      <c r="P12">
        <f>농협IRP17[[#This Row],[매매수익]]+농협IRP17[[#This Row],[이자배당액]]-농협IRP17[[#This Row],[매도비용]]-농협IRP17[[#This Row],[매입비용]]</f>
        <v>-120</v>
      </c>
      <c r="R12">
        <f>농협IRP17[[#This Row],[입출금]]+농협IRP17[[#This Row],[현금수입]]-농협IRP17[[#This Row],[현금지출]]</f>
        <v>-1270740</v>
      </c>
      <c r="S12">
        <f>SUM($R$2:R12)</f>
        <v>2498255</v>
      </c>
    </row>
    <row r="13" spans="1:21" x14ac:dyDescent="0.3">
      <c r="A13" s="3">
        <v>45345</v>
      </c>
      <c r="B13" s="31" t="s">
        <v>437</v>
      </c>
      <c r="C13" t="str">
        <f>VLOOKUP(농협IRP17[[#This Row],[종목코드]],연금종목정보[],2,FALSE)</f>
        <v>글로벌 인공지능</v>
      </c>
      <c r="D13" t="str">
        <f>VLOOKUP(농협IRP17[[#This Row],[종목코드]],연금종목정보[],4,FALSE)</f>
        <v>TIMEFOLIO 글로벌AI인공지능액티브</v>
      </c>
      <c r="E13">
        <v>73</v>
      </c>
      <c r="F13">
        <v>1235890</v>
      </c>
      <c r="G13">
        <v>1236010</v>
      </c>
      <c r="H13">
        <f>농협IRP17[[#This Row],[현금지출]]-농협IRP17[[#This Row],[매입액]]</f>
        <v>120</v>
      </c>
      <c r="I13">
        <v>0</v>
      </c>
      <c r="J13">
        <v>0</v>
      </c>
      <c r="K13">
        <v>0</v>
      </c>
      <c r="L13">
        <v>0</v>
      </c>
      <c r="M13">
        <v>0</v>
      </c>
      <c r="N13">
        <f>농협IRP17[[#This Row],[매도액]]-농협IRP17[[#This Row],[매도원금]]</f>
        <v>0</v>
      </c>
      <c r="O13">
        <f>농협IRP17[[#This Row],[매도액]]+농협IRP17[[#This Row],[이자배당액]]-농협IRP17[[#This Row],[현금수입]]</f>
        <v>0</v>
      </c>
      <c r="P13">
        <f>농협IRP17[[#This Row],[매매수익]]+농협IRP17[[#This Row],[이자배당액]]-농협IRP17[[#This Row],[매도비용]]-농협IRP17[[#This Row],[매입비용]]</f>
        <v>-120</v>
      </c>
      <c r="R13">
        <f>농협IRP17[[#This Row],[입출금]]+농협IRP17[[#This Row],[현금수입]]-농협IRP17[[#This Row],[현금지출]]</f>
        <v>-1236010</v>
      </c>
      <c r="S13">
        <f>SUM($R$2:R13)</f>
        <v>1262245</v>
      </c>
    </row>
    <row r="14" spans="1:21" x14ac:dyDescent="0.3">
      <c r="A14" s="3">
        <v>45345</v>
      </c>
      <c r="B14" s="31" t="s">
        <v>438</v>
      </c>
      <c r="C14" t="str">
        <f>VLOOKUP(농협IRP17[[#This Row],[종목코드]],연금종목정보[],2,FALSE)</f>
        <v>미국배당주</v>
      </c>
      <c r="D14" t="str">
        <f>VLOOKUP(농협IRP17[[#This Row],[종목코드]],연금종목정보[],4,FALSE)</f>
        <v>TIGER 미국배당다우존스</v>
      </c>
      <c r="E14">
        <v>115</v>
      </c>
      <c r="F14">
        <v>1262125</v>
      </c>
      <c r="G14">
        <v>1262245</v>
      </c>
      <c r="H14">
        <f>농협IRP17[[#This Row],[현금지출]]-농협IRP17[[#This Row],[매입액]]</f>
        <v>120</v>
      </c>
      <c r="I14">
        <v>0</v>
      </c>
      <c r="J14">
        <v>0</v>
      </c>
      <c r="K14">
        <v>0</v>
      </c>
      <c r="L14">
        <v>0</v>
      </c>
      <c r="M14">
        <v>0</v>
      </c>
      <c r="N14">
        <f>농협IRP17[[#This Row],[매도액]]-농협IRP17[[#This Row],[매도원금]]</f>
        <v>0</v>
      </c>
      <c r="O14">
        <f>농협IRP17[[#This Row],[매도액]]+농협IRP17[[#This Row],[이자배당액]]-농협IRP17[[#This Row],[현금수입]]</f>
        <v>0</v>
      </c>
      <c r="P14">
        <f>농협IRP17[[#This Row],[매매수익]]+농협IRP17[[#This Row],[이자배당액]]-농협IRP17[[#This Row],[매도비용]]-농협IRP17[[#This Row],[매입비용]]</f>
        <v>-120</v>
      </c>
      <c r="R14">
        <f>농협IRP17[[#This Row],[입출금]]+농협IRP17[[#This Row],[현금수입]]-농협IRP17[[#This Row],[현금지출]]</f>
        <v>-1262245</v>
      </c>
      <c r="S14">
        <f>SUM($R$2:R14)</f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9" sqref="D9"/>
    </sheetView>
  </sheetViews>
  <sheetFormatPr defaultRowHeight="16.5" x14ac:dyDescent="0.3"/>
  <cols>
    <col min="1" max="2" width="10.25" customWidth="1"/>
    <col min="3" max="3" width="11.875" bestFit="1" customWidth="1"/>
    <col min="4" max="4" width="14" customWidth="1"/>
    <col min="6" max="9" width="10.25" customWidth="1"/>
    <col min="11" max="11" width="12.125" customWidth="1"/>
    <col min="12" max="14" width="10.25" customWidth="1"/>
    <col min="16" max="16" width="9.625" customWidth="1"/>
    <col min="17" max="17" width="13.375" customWidth="1"/>
  </cols>
  <sheetData>
    <row r="1" spans="1:4" x14ac:dyDescent="0.3">
      <c r="A1" t="s">
        <v>404</v>
      </c>
      <c r="B1" t="s">
        <v>405</v>
      </c>
      <c r="D1" t="s">
        <v>406</v>
      </c>
    </row>
    <row r="2" spans="1:4" x14ac:dyDescent="0.3">
      <c r="A2" s="3">
        <v>43524</v>
      </c>
      <c r="B2" s="3">
        <v>45351</v>
      </c>
      <c r="C2" t="s">
        <v>407</v>
      </c>
      <c r="D2">
        <v>5600</v>
      </c>
    </row>
    <row r="3" spans="1:4" x14ac:dyDescent="0.3">
      <c r="A3" s="3">
        <v>43868</v>
      </c>
      <c r="B3" s="3">
        <v>45329</v>
      </c>
      <c r="C3" t="s">
        <v>407</v>
      </c>
      <c r="D3">
        <v>6070</v>
      </c>
    </row>
    <row r="4" spans="1:4" x14ac:dyDescent="0.3">
      <c r="A4" s="3">
        <v>44244</v>
      </c>
      <c r="B4" s="3">
        <v>45339</v>
      </c>
      <c r="C4" t="s">
        <v>407</v>
      </c>
      <c r="D4">
        <v>6510</v>
      </c>
    </row>
    <row r="5" spans="1:4" x14ac:dyDescent="0.3">
      <c r="A5" s="3">
        <v>44609</v>
      </c>
      <c r="B5" s="3">
        <v>45339</v>
      </c>
      <c r="C5" t="s">
        <v>407</v>
      </c>
      <c r="D5">
        <v>6260</v>
      </c>
    </row>
    <row r="6" spans="1:4" x14ac:dyDescent="0.3">
      <c r="A6" s="3">
        <v>44966</v>
      </c>
      <c r="B6" s="3">
        <v>45331</v>
      </c>
      <c r="C6" t="s">
        <v>407</v>
      </c>
      <c r="D6" s="89">
        <v>6470</v>
      </c>
    </row>
    <row r="7" spans="1:4" x14ac:dyDescent="0.3">
      <c r="A7" s="3">
        <v>45322</v>
      </c>
      <c r="B7" s="3">
        <v>45688</v>
      </c>
      <c r="C7" t="s">
        <v>407</v>
      </c>
      <c r="D7" s="89">
        <v>9915590</v>
      </c>
    </row>
    <row r="8" spans="1:4" x14ac:dyDescent="0.3">
      <c r="A8" s="3">
        <v>45314</v>
      </c>
      <c r="B8" s="3"/>
      <c r="C8" t="s">
        <v>408</v>
      </c>
      <c r="D8" s="50">
        <v>5064619</v>
      </c>
    </row>
    <row r="9" spans="1:4" x14ac:dyDescent="0.3">
      <c r="A9" s="3">
        <v>45323</v>
      </c>
      <c r="B9" s="3"/>
      <c r="C9" t="s">
        <v>408</v>
      </c>
      <c r="D9" s="50">
        <v>10087835</v>
      </c>
    </row>
    <row r="10" spans="1:4" x14ac:dyDescent="0.3">
      <c r="A10" s="3">
        <v>45322</v>
      </c>
      <c r="B10" s="3"/>
      <c r="C10" s="92" t="s">
        <v>363</v>
      </c>
      <c r="D10">
        <v>4195346</v>
      </c>
    </row>
    <row r="11" spans="1:4" x14ac:dyDescent="0.3">
      <c r="A11" s="3">
        <v>45322</v>
      </c>
      <c r="B11" s="3"/>
      <c r="C11" s="92" t="s">
        <v>362</v>
      </c>
      <c r="D11">
        <v>2097673</v>
      </c>
    </row>
    <row r="12" spans="1:4" x14ac:dyDescent="0.3">
      <c r="A12" s="3">
        <v>45322</v>
      </c>
      <c r="B12" s="3"/>
      <c r="C12" s="92" t="s">
        <v>360</v>
      </c>
      <c r="D12">
        <v>2097673</v>
      </c>
    </row>
    <row r="13" spans="1:4" x14ac:dyDescent="0.3">
      <c r="A13" s="3">
        <v>45322</v>
      </c>
      <c r="B13" s="3"/>
      <c r="C13" s="92" t="s">
        <v>358</v>
      </c>
      <c r="D13">
        <v>4195346</v>
      </c>
    </row>
    <row r="14" spans="1:4" x14ac:dyDescent="0.3">
      <c r="A14" s="3">
        <v>45322</v>
      </c>
      <c r="B14" s="3"/>
      <c r="C14" s="92" t="s">
        <v>356</v>
      </c>
      <c r="D14">
        <v>4195346</v>
      </c>
    </row>
    <row r="15" spans="1:4" x14ac:dyDescent="0.3">
      <c r="A15" s="3">
        <v>45323</v>
      </c>
      <c r="B15" s="3"/>
      <c r="C15" s="92" t="s">
        <v>366</v>
      </c>
      <c r="D15">
        <v>2097672</v>
      </c>
    </row>
    <row r="16" spans="1:4" x14ac:dyDescent="0.3">
      <c r="A16" s="3">
        <v>45323</v>
      </c>
      <c r="B16" s="3"/>
      <c r="C16" s="92" t="s">
        <v>365</v>
      </c>
      <c r="D16">
        <v>2097673</v>
      </c>
    </row>
    <row r="17" spans="1:4" x14ac:dyDescent="0.3">
      <c r="A17" s="3">
        <v>45324</v>
      </c>
      <c r="B17" s="3"/>
      <c r="C17" s="92" t="s">
        <v>364</v>
      </c>
      <c r="D17">
        <v>6843270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workbookViewId="0">
      <pane xSplit="4" ySplit="1" topLeftCell="E14" activePane="bottomRight" state="frozen"/>
      <selection activeCell="A59" sqref="A59"/>
      <selection pane="topRight" activeCell="F1" sqref="F1"/>
      <selection pane="bottomLeft" activeCell="A69" sqref="A69"/>
      <selection pane="bottomRight" activeCell="S37" sqref="S37"/>
    </sheetView>
  </sheetViews>
  <sheetFormatPr defaultRowHeight="16.5" x14ac:dyDescent="0.3"/>
  <cols>
    <col min="1" max="1" width="11.125" style="91" bestFit="1" customWidth="1"/>
    <col min="2" max="2" width="7" style="1" customWidth="1"/>
    <col min="3" max="3" width="10.75" style="1" customWidth="1"/>
    <col min="4" max="4" width="23.5" style="9" customWidth="1"/>
    <col min="5" max="5" width="11.125" style="38" customWidth="1"/>
    <col min="6" max="6" width="9.625" style="7" customWidth="1"/>
    <col min="7" max="7" width="8.25" style="5" customWidth="1"/>
    <col min="8" max="8" width="8.625" style="5" customWidth="1"/>
    <col min="9" max="9" width="6" style="40" customWidth="1"/>
    <col min="10" max="10" width="8.625" customWidth="1"/>
    <col min="11" max="11" width="7.625" customWidth="1"/>
    <col min="12" max="12" width="7.75" style="10" customWidth="1"/>
    <col min="14" max="14" width="9.5" customWidth="1"/>
    <col min="15" max="15" width="9.5" style="10" customWidth="1"/>
    <col min="17" max="17" width="12.5" style="7" customWidth="1"/>
    <col min="18" max="18" width="9" style="10"/>
    <col min="20" max="20" width="14" customWidth="1"/>
    <col min="21" max="21" width="11.375" customWidth="1"/>
    <col min="22" max="22" width="14.625" style="7" customWidth="1"/>
    <col min="24" max="24" width="11.875" style="5" customWidth="1"/>
    <col min="25" max="25" width="9.75" bestFit="1" customWidth="1"/>
  </cols>
  <sheetData>
    <row r="1" spans="1:19" s="2" customFormat="1" x14ac:dyDescent="0.3">
      <c r="A1" s="91" t="s">
        <v>0</v>
      </c>
      <c r="B1" s="1" t="s">
        <v>77</v>
      </c>
      <c r="C1" s="1" t="s">
        <v>1</v>
      </c>
      <c r="D1" s="1" t="s">
        <v>131</v>
      </c>
      <c r="E1" s="39" t="s">
        <v>132</v>
      </c>
      <c r="F1" s="6" t="s">
        <v>133</v>
      </c>
      <c r="G1" s="6" t="s">
        <v>55</v>
      </c>
      <c r="H1" s="6" t="s">
        <v>27</v>
      </c>
      <c r="I1" s="11" t="s">
        <v>134</v>
      </c>
      <c r="J1" s="6" t="s">
        <v>53</v>
      </c>
      <c r="K1" s="6" t="s">
        <v>57</v>
      </c>
      <c r="L1" s="6" t="s">
        <v>58</v>
      </c>
      <c r="M1" s="6" t="s">
        <v>54</v>
      </c>
      <c r="N1" s="6" t="s">
        <v>60</v>
      </c>
      <c r="O1" s="6" t="s">
        <v>59</v>
      </c>
      <c r="P1" s="6" t="s">
        <v>28</v>
      </c>
      <c r="Q1" s="16" t="s">
        <v>65</v>
      </c>
      <c r="R1" s="4" t="s">
        <v>61</v>
      </c>
      <c r="S1" s="4" t="s">
        <v>62</v>
      </c>
    </row>
    <row r="2" spans="1:19" s="2" customFormat="1" x14ac:dyDescent="0.3">
      <c r="A2" s="91">
        <v>45292</v>
      </c>
      <c r="B2" s="46" t="s">
        <v>113</v>
      </c>
      <c r="C2" s="1" t="str">
        <f>VLOOKUP(불리오[[#This Row],[종목코드]],표3[],2,FALSE)</f>
        <v>금</v>
      </c>
      <c r="D2" s="9" t="str">
        <f>VLOOKUP(불리오[[#This Row],[종목코드]],표3[],4,FALSE)</f>
        <v>ABRDN PHYSICAL GOLD SHARES ETF</v>
      </c>
      <c r="E2" s="39">
        <v>8</v>
      </c>
      <c r="F2" s="6">
        <v>150.4</v>
      </c>
      <c r="G2" s="61">
        <v>150.4</v>
      </c>
      <c r="H2" s="61">
        <f>불리오[[#This Row],[현금지출]]-불리오[[#This Row],[매입액]]</f>
        <v>0</v>
      </c>
      <c r="I2" s="12">
        <v>0</v>
      </c>
      <c r="J2" s="6">
        <v>0</v>
      </c>
      <c r="K2" s="6">
        <v>0</v>
      </c>
      <c r="L2" s="11">
        <v>0</v>
      </c>
      <c r="M2" s="6">
        <v>0</v>
      </c>
      <c r="N2" s="11">
        <f>불리오[[#This Row],[매도액]]-불리오[[#This Row],[매도원금]]</f>
        <v>0</v>
      </c>
      <c r="O2" s="11">
        <f>불리오[[#This Row],[매도액]]+불리오[[#This Row],[이자배당액]]-불리오[[#This Row],[현금수입]]</f>
        <v>0</v>
      </c>
      <c r="P2" s="11">
        <f>불리오[[#This Row],[매매수익]]+불리오[[#This Row],[이자배당액]]-불리오[[#This Row],[매도비용]]-불리오[[#This Row],[매입비용]]</f>
        <v>0</v>
      </c>
      <c r="Q2">
        <v>150.4</v>
      </c>
      <c r="R2" s="12">
        <f>불리오[[#This Row],[입출금]]+불리오[[#This Row],[현금수입]]-불리오[[#This Row],[현금지출]]</f>
        <v>0</v>
      </c>
      <c r="S2" s="12">
        <f>SUM($R$2:R2)</f>
        <v>0</v>
      </c>
    </row>
    <row r="3" spans="1:19" s="2" customFormat="1" x14ac:dyDescent="0.3">
      <c r="A3" s="91">
        <v>45292</v>
      </c>
      <c r="B3" s="46" t="s">
        <v>114</v>
      </c>
      <c r="C3" s="1" t="str">
        <f>VLOOKUP(불리오[[#This Row],[종목코드]],표3[],2,FALSE)</f>
        <v>원자재</v>
      </c>
      <c r="D3" s="9" t="str">
        <f>VLOOKUP(불리오[[#This Row],[종목코드]],표3[],4,FALSE)</f>
        <v>INVESCO ACT MANAGE EXCH TR CMDTY FD OPTIMUM YIELD DIVERSIFIE</v>
      </c>
      <c r="E3" s="39">
        <v>6</v>
      </c>
      <c r="F3" s="6">
        <v>79.960000000000008</v>
      </c>
      <c r="G3" s="61">
        <v>79.960000000000008</v>
      </c>
      <c r="H3" s="61">
        <f>불리오[[#This Row],[현금지출]]-불리오[[#This Row],[매입액]]</f>
        <v>0</v>
      </c>
      <c r="I3" s="12">
        <v>0</v>
      </c>
      <c r="J3" s="6">
        <v>0</v>
      </c>
      <c r="K3" s="6">
        <v>0</v>
      </c>
      <c r="L3" s="11">
        <v>0</v>
      </c>
      <c r="M3" s="6">
        <v>0</v>
      </c>
      <c r="N3" s="11">
        <f>불리오[[#This Row],[매도액]]-불리오[[#This Row],[매도원금]]</f>
        <v>0</v>
      </c>
      <c r="O3" s="11">
        <f>불리오[[#This Row],[매도액]]+불리오[[#This Row],[이자배당액]]-불리오[[#This Row],[현금수입]]</f>
        <v>0</v>
      </c>
      <c r="P3" s="11">
        <f>불리오[[#This Row],[매매수익]]+불리오[[#This Row],[이자배당액]]-불리오[[#This Row],[매도비용]]-불리오[[#This Row],[매입비용]]</f>
        <v>0</v>
      </c>
      <c r="Q3">
        <v>79.960000000000008</v>
      </c>
      <c r="R3" s="12">
        <f>불리오[[#This Row],[입출금]]+불리오[[#This Row],[현금수입]]-불리오[[#This Row],[현금지출]]</f>
        <v>0</v>
      </c>
      <c r="S3" s="12">
        <f>SUM($R$2:R3)</f>
        <v>0</v>
      </c>
    </row>
    <row r="4" spans="1:19" s="2" customFormat="1" x14ac:dyDescent="0.3">
      <c r="A4" s="91">
        <v>45292</v>
      </c>
      <c r="B4" s="46" t="s">
        <v>115</v>
      </c>
      <c r="C4" s="1" t="str">
        <f>VLOOKUP(불리오[[#This Row],[종목코드]],표3[],2,FALSE)</f>
        <v>중국주식</v>
      </c>
      <c r="D4" s="9" t="str">
        <f>VLOOKUP(불리오[[#This Row],[종목코드]],표3[],4,FALSE)</f>
        <v>ISHARES CHINA LARGE-CAP ETF</v>
      </c>
      <c r="E4" s="39">
        <v>9</v>
      </c>
      <c r="F4" s="6">
        <v>233</v>
      </c>
      <c r="G4" s="61">
        <v>233</v>
      </c>
      <c r="H4" s="61">
        <f>불리오[[#This Row],[현금지출]]-불리오[[#This Row],[매입액]]</f>
        <v>0</v>
      </c>
      <c r="I4" s="12">
        <v>0</v>
      </c>
      <c r="J4" s="6">
        <v>0</v>
      </c>
      <c r="K4" s="6">
        <v>0</v>
      </c>
      <c r="L4" s="11">
        <v>0</v>
      </c>
      <c r="M4" s="6">
        <v>0</v>
      </c>
      <c r="N4" s="11">
        <f>불리오[[#This Row],[매도액]]-불리오[[#This Row],[매도원금]]</f>
        <v>0</v>
      </c>
      <c r="O4" s="11">
        <f>불리오[[#This Row],[매도액]]+불리오[[#This Row],[이자배당액]]-불리오[[#This Row],[현금수입]]</f>
        <v>0</v>
      </c>
      <c r="P4" s="11">
        <f>불리오[[#This Row],[매매수익]]+불리오[[#This Row],[이자배당액]]-불리오[[#This Row],[매도비용]]-불리오[[#This Row],[매입비용]]</f>
        <v>0</v>
      </c>
      <c r="Q4">
        <v>233</v>
      </c>
      <c r="R4" s="12">
        <f>불리오[[#This Row],[입출금]]+불리오[[#This Row],[현금수입]]-불리오[[#This Row],[현금지출]]</f>
        <v>0</v>
      </c>
      <c r="S4" s="12">
        <f>SUM($R$2:R4)</f>
        <v>0</v>
      </c>
    </row>
    <row r="5" spans="1:19" s="2" customFormat="1" x14ac:dyDescent="0.3">
      <c r="A5" s="91">
        <v>45292</v>
      </c>
      <c r="B5" s="46" t="s">
        <v>116</v>
      </c>
      <c r="C5" s="1" t="str">
        <f>VLOOKUP(불리오[[#This Row],[종목코드]],표3[],2,FALSE)</f>
        <v>브라질주식</v>
      </c>
      <c r="D5" s="9" t="str">
        <f>VLOOKUP(불리오[[#This Row],[종목코드]],표3[],4,FALSE)</f>
        <v>ISHARES INC MSCI Brazil ETF</v>
      </c>
      <c r="E5" s="39">
        <v>6</v>
      </c>
      <c r="F5" s="6">
        <v>213.54</v>
      </c>
      <c r="G5" s="61">
        <v>213.54</v>
      </c>
      <c r="H5" s="61">
        <f>불리오[[#This Row],[현금지출]]-불리오[[#This Row],[매입액]]</f>
        <v>0</v>
      </c>
      <c r="I5" s="12">
        <v>0</v>
      </c>
      <c r="J5" s="6">
        <v>0</v>
      </c>
      <c r="K5" s="6">
        <v>0</v>
      </c>
      <c r="L5" s="11">
        <v>0</v>
      </c>
      <c r="M5" s="6">
        <v>0</v>
      </c>
      <c r="N5" s="11">
        <f>불리오[[#This Row],[매도액]]-불리오[[#This Row],[매도원금]]</f>
        <v>0</v>
      </c>
      <c r="O5" s="11">
        <f>불리오[[#This Row],[매도액]]+불리오[[#This Row],[이자배당액]]-불리오[[#This Row],[현금수입]]</f>
        <v>0</v>
      </c>
      <c r="P5" s="11">
        <f>불리오[[#This Row],[매매수익]]+불리오[[#This Row],[이자배당액]]-불리오[[#This Row],[매도비용]]-불리오[[#This Row],[매입비용]]</f>
        <v>0</v>
      </c>
      <c r="Q5">
        <v>213.54</v>
      </c>
      <c r="R5" s="12">
        <f>불리오[[#This Row],[입출금]]+불리오[[#This Row],[현금수입]]-불리오[[#This Row],[현금지출]]</f>
        <v>0</v>
      </c>
      <c r="S5" s="12">
        <f>SUM($R$2:R5)</f>
        <v>0</v>
      </c>
    </row>
    <row r="6" spans="1:19" s="2" customFormat="1" x14ac:dyDescent="0.3">
      <c r="A6" s="91">
        <v>45292</v>
      </c>
      <c r="B6" s="46" t="s">
        <v>117</v>
      </c>
      <c r="C6" s="1" t="str">
        <f>VLOOKUP(불리오[[#This Row],[종목코드]],표3[],2,FALSE)</f>
        <v>홍콩주식</v>
      </c>
      <c r="D6" s="9" t="str">
        <f>VLOOKUP(불리오[[#This Row],[종목코드]],표3[],4,FALSE)</f>
        <v>ISHARES INC MSCI HONG KONG ETF</v>
      </c>
      <c r="E6" s="39">
        <v>13</v>
      </c>
      <c r="F6" s="6">
        <v>241.01</v>
      </c>
      <c r="G6" s="61">
        <v>241.01</v>
      </c>
      <c r="H6" s="61">
        <f>불리오[[#This Row],[현금지출]]-불리오[[#This Row],[매입액]]</f>
        <v>0</v>
      </c>
      <c r="I6" s="12">
        <v>0</v>
      </c>
      <c r="J6" s="6">
        <v>0</v>
      </c>
      <c r="K6" s="6">
        <v>0</v>
      </c>
      <c r="L6" s="11">
        <v>0</v>
      </c>
      <c r="M6" s="6">
        <v>0</v>
      </c>
      <c r="N6" s="11">
        <f>불리오[[#This Row],[매도액]]-불리오[[#This Row],[매도원금]]</f>
        <v>0</v>
      </c>
      <c r="O6" s="11">
        <f>불리오[[#This Row],[매도액]]+불리오[[#This Row],[이자배당액]]-불리오[[#This Row],[현금수입]]</f>
        <v>0</v>
      </c>
      <c r="P6" s="11">
        <f>불리오[[#This Row],[매매수익]]+불리오[[#This Row],[이자배당액]]-불리오[[#This Row],[매도비용]]-불리오[[#This Row],[매입비용]]</f>
        <v>0</v>
      </c>
      <c r="Q6">
        <v>241.01</v>
      </c>
      <c r="R6" s="12">
        <f>불리오[[#This Row],[입출금]]+불리오[[#This Row],[현금수입]]-불리오[[#This Row],[현금지출]]</f>
        <v>0</v>
      </c>
      <c r="S6" s="12">
        <f>SUM($R$2:R6)</f>
        <v>0</v>
      </c>
    </row>
    <row r="7" spans="1:19" s="2" customFormat="1" x14ac:dyDescent="0.3">
      <c r="A7" s="91">
        <v>45292</v>
      </c>
      <c r="B7" s="46" t="s">
        <v>118</v>
      </c>
      <c r="C7" s="1" t="str">
        <f>VLOOKUP(불리오[[#This Row],[종목코드]],표3[],2,FALSE)</f>
        <v>일본주식</v>
      </c>
      <c r="D7" s="9" t="str">
        <f>VLOOKUP(불리오[[#This Row],[종목코드]],표3[],4,FALSE)</f>
        <v>ISHARES INC MSCI JAPAN ETF NEW(POST REV SPLT)</v>
      </c>
      <c r="E7" s="39">
        <v>2</v>
      </c>
      <c r="F7" s="6">
        <v>120.1099999999999</v>
      </c>
      <c r="G7" s="61">
        <v>120.1099999999999</v>
      </c>
      <c r="H7" s="61">
        <f>불리오[[#This Row],[현금지출]]-불리오[[#This Row],[매입액]]</f>
        <v>0</v>
      </c>
      <c r="I7" s="12">
        <v>0</v>
      </c>
      <c r="J7" s="6">
        <v>0</v>
      </c>
      <c r="K7" s="6">
        <v>0</v>
      </c>
      <c r="L7" s="11">
        <v>0</v>
      </c>
      <c r="M7" s="6">
        <v>0</v>
      </c>
      <c r="N7" s="11">
        <f>불리오[[#This Row],[매도액]]-불리오[[#This Row],[매도원금]]</f>
        <v>0</v>
      </c>
      <c r="O7" s="11">
        <f>불리오[[#This Row],[매도액]]+불리오[[#This Row],[이자배당액]]-불리오[[#This Row],[현금수입]]</f>
        <v>0</v>
      </c>
      <c r="P7" s="11">
        <f>불리오[[#This Row],[매매수익]]+불리오[[#This Row],[이자배당액]]-불리오[[#This Row],[매도비용]]-불리오[[#This Row],[매입비용]]</f>
        <v>0</v>
      </c>
      <c r="Q7">
        <v>120.1099999999999</v>
      </c>
      <c r="R7" s="12">
        <f>불리오[[#This Row],[입출금]]+불리오[[#This Row],[현금수입]]-불리오[[#This Row],[현금지출]]</f>
        <v>0</v>
      </c>
      <c r="S7" s="12">
        <f>SUM($R$2:R7)</f>
        <v>0</v>
      </c>
    </row>
    <row r="8" spans="1:19" s="2" customFormat="1" x14ac:dyDescent="0.3">
      <c r="A8" s="91">
        <v>45292</v>
      </c>
      <c r="B8" s="46" t="s">
        <v>119</v>
      </c>
      <c r="C8" s="1" t="str">
        <f>VLOOKUP(불리오[[#This Row],[종목코드]],표3[],2,FALSE)</f>
        <v>멕시코주식</v>
      </c>
      <c r="D8" s="9" t="str">
        <f>VLOOKUP(불리오[[#This Row],[종목코드]],표3[],4,FALSE)</f>
        <v>ISHARES INC MSCI MEXICO ETF</v>
      </c>
      <c r="E8" s="39">
        <v>1</v>
      </c>
      <c r="F8" s="6">
        <v>69.140000000000015</v>
      </c>
      <c r="G8" s="61">
        <v>69.140000000000015</v>
      </c>
      <c r="H8" s="61">
        <f>불리오[[#This Row],[현금지출]]-불리오[[#This Row],[매입액]]</f>
        <v>0</v>
      </c>
      <c r="I8" s="12">
        <v>0</v>
      </c>
      <c r="J8" s="6">
        <v>0</v>
      </c>
      <c r="K8" s="6">
        <v>0</v>
      </c>
      <c r="L8" s="11">
        <v>0</v>
      </c>
      <c r="M8" s="6">
        <v>0</v>
      </c>
      <c r="N8" s="11">
        <f>불리오[[#This Row],[매도액]]-불리오[[#This Row],[매도원금]]</f>
        <v>0</v>
      </c>
      <c r="O8" s="11">
        <f>불리오[[#This Row],[매도액]]+불리오[[#This Row],[이자배당액]]-불리오[[#This Row],[현금수입]]</f>
        <v>0</v>
      </c>
      <c r="P8" s="11">
        <f>불리오[[#This Row],[매매수익]]+불리오[[#This Row],[이자배당액]]-불리오[[#This Row],[매도비용]]-불리오[[#This Row],[매입비용]]</f>
        <v>0</v>
      </c>
      <c r="Q8">
        <v>69.140000000000015</v>
      </c>
      <c r="R8" s="12">
        <f>불리오[[#This Row],[입출금]]+불리오[[#This Row],[현금수입]]-불리오[[#This Row],[현금지출]]</f>
        <v>0</v>
      </c>
      <c r="S8" s="12">
        <f>SUM($R$2:R8)</f>
        <v>0</v>
      </c>
    </row>
    <row r="9" spans="1:19" s="2" customFormat="1" x14ac:dyDescent="0.3">
      <c r="A9" s="91">
        <v>45292</v>
      </c>
      <c r="B9" s="46" t="s">
        <v>121</v>
      </c>
      <c r="C9" s="1" t="str">
        <f>VLOOKUP(불리오[[#This Row],[종목코드]],표3[],2,FALSE)</f>
        <v>남아프리카주식</v>
      </c>
      <c r="D9" s="9" t="str">
        <f>VLOOKUP(불리오[[#This Row],[종목코드]],표3[],4,FALSE)</f>
        <v>ISHARES MSCI SOUTH AFRICA FUND</v>
      </c>
      <c r="E9" s="39">
        <v>6</v>
      </c>
      <c r="F9" s="6">
        <v>228.99</v>
      </c>
      <c r="G9" s="61">
        <v>228.99</v>
      </c>
      <c r="H9" s="61">
        <f>불리오[[#This Row],[현금지출]]-불리오[[#This Row],[매입액]]</f>
        <v>0</v>
      </c>
      <c r="I9" s="12">
        <v>0</v>
      </c>
      <c r="J9" s="6">
        <v>0</v>
      </c>
      <c r="K9" s="6">
        <v>0</v>
      </c>
      <c r="L9" s="11">
        <v>0</v>
      </c>
      <c r="M9" s="6">
        <v>0</v>
      </c>
      <c r="N9" s="11">
        <f>불리오[[#This Row],[매도액]]-불리오[[#This Row],[매도원금]]</f>
        <v>0</v>
      </c>
      <c r="O9" s="11">
        <f>불리오[[#This Row],[매도액]]+불리오[[#This Row],[이자배당액]]-불리오[[#This Row],[현금수입]]</f>
        <v>0</v>
      </c>
      <c r="P9" s="11">
        <f>불리오[[#This Row],[매매수익]]+불리오[[#This Row],[이자배당액]]-불리오[[#This Row],[매도비용]]-불리오[[#This Row],[매입비용]]</f>
        <v>0</v>
      </c>
      <c r="Q9">
        <v>228.99</v>
      </c>
      <c r="R9" s="12">
        <f>불리오[[#This Row],[입출금]]+불리오[[#This Row],[현금수입]]-불리오[[#This Row],[현금지출]]</f>
        <v>0</v>
      </c>
      <c r="S9" s="12">
        <f>SUM($R$2:R9)</f>
        <v>0</v>
      </c>
    </row>
    <row r="10" spans="1:19" s="2" customFormat="1" x14ac:dyDescent="0.3">
      <c r="A10" s="91">
        <v>45292</v>
      </c>
      <c r="B10" s="46" t="s">
        <v>122</v>
      </c>
      <c r="C10" s="1" t="str">
        <f>VLOOKUP(불리오[[#This Row],[종목코드]],표3[],2,FALSE)</f>
        <v>신흥국주식</v>
      </c>
      <c r="D10" s="9" t="str">
        <f>VLOOKUP(불리오[[#This Row],[종목코드]],표3[],4,FALSE)</f>
        <v>SCHWAB EMERGING MARKETS EQUITY ETF</v>
      </c>
      <c r="E10" s="39">
        <v>16</v>
      </c>
      <c r="F10" s="6">
        <v>387.21</v>
      </c>
      <c r="G10" s="61">
        <v>387.21</v>
      </c>
      <c r="H10" s="61">
        <f>불리오[[#This Row],[현금지출]]-불리오[[#This Row],[매입액]]</f>
        <v>0</v>
      </c>
      <c r="I10" s="12">
        <v>0</v>
      </c>
      <c r="J10" s="6">
        <v>0</v>
      </c>
      <c r="K10" s="6">
        <v>0</v>
      </c>
      <c r="L10" s="11">
        <v>0</v>
      </c>
      <c r="M10" s="6">
        <v>0</v>
      </c>
      <c r="N10" s="11">
        <f>불리오[[#This Row],[매도액]]-불리오[[#This Row],[매도원금]]</f>
        <v>0</v>
      </c>
      <c r="O10" s="11">
        <f>불리오[[#This Row],[매도액]]+불리오[[#This Row],[이자배당액]]-불리오[[#This Row],[현금수입]]</f>
        <v>0</v>
      </c>
      <c r="P10" s="11">
        <f>불리오[[#This Row],[매매수익]]+불리오[[#This Row],[이자배당액]]-불리오[[#This Row],[매도비용]]-불리오[[#This Row],[매입비용]]</f>
        <v>0</v>
      </c>
      <c r="Q10">
        <v>387.21</v>
      </c>
      <c r="R10" s="12">
        <f>불리오[[#This Row],[입출금]]+불리오[[#This Row],[현금수입]]-불리오[[#This Row],[현금지출]]</f>
        <v>0</v>
      </c>
      <c r="S10" s="12">
        <f>SUM($R$2:R10)</f>
        <v>0</v>
      </c>
    </row>
    <row r="11" spans="1:19" s="2" customFormat="1" x14ac:dyDescent="0.3">
      <c r="A11" s="91">
        <v>45292</v>
      </c>
      <c r="B11" s="46" t="s">
        <v>123</v>
      </c>
      <c r="C11" s="1" t="str">
        <f>VLOOKUP(불리오[[#This Row],[종목코드]],표3[],2,FALSE)</f>
        <v>전세계주식</v>
      </c>
      <c r="D11" s="9" t="str">
        <f>VLOOKUP(불리오[[#This Row],[종목코드]],표3[],4,FALSE)</f>
        <v>SPDR INDEX SHARES FUNDS PORTFOLIO MSCI GLOBAL STOCK MARKET E</v>
      </c>
      <c r="E11" s="39">
        <v>10</v>
      </c>
      <c r="F11" s="6">
        <v>516.64</v>
      </c>
      <c r="G11" s="61">
        <v>516.64</v>
      </c>
      <c r="H11" s="61">
        <f>불리오[[#This Row],[현금지출]]-불리오[[#This Row],[매입액]]</f>
        <v>0</v>
      </c>
      <c r="I11" s="12">
        <v>0</v>
      </c>
      <c r="J11" s="6">
        <v>0</v>
      </c>
      <c r="K11" s="6">
        <v>0</v>
      </c>
      <c r="L11" s="11">
        <v>0</v>
      </c>
      <c r="M11" s="6">
        <v>0</v>
      </c>
      <c r="N11" s="11">
        <f>불리오[[#This Row],[매도액]]-불리오[[#This Row],[매도원금]]</f>
        <v>0</v>
      </c>
      <c r="O11" s="11">
        <f>불리오[[#This Row],[매도액]]+불리오[[#This Row],[이자배당액]]-불리오[[#This Row],[현금수입]]</f>
        <v>0</v>
      </c>
      <c r="P11" s="11">
        <f>불리오[[#This Row],[매매수익]]+불리오[[#This Row],[이자배당액]]-불리오[[#This Row],[매도비용]]-불리오[[#This Row],[매입비용]]</f>
        <v>0</v>
      </c>
      <c r="Q11">
        <v>516.64</v>
      </c>
      <c r="R11" s="12">
        <f>불리오[[#This Row],[입출금]]+불리오[[#This Row],[현금수입]]-불리오[[#This Row],[현금지출]]</f>
        <v>0</v>
      </c>
      <c r="S11" s="12">
        <f>SUM($R$2:R11)</f>
        <v>0</v>
      </c>
    </row>
    <row r="12" spans="1:19" s="2" customFormat="1" x14ac:dyDescent="0.3">
      <c r="A12" s="91">
        <v>45292</v>
      </c>
      <c r="B12" s="46" t="s">
        <v>124</v>
      </c>
      <c r="C12" s="1" t="str">
        <f>VLOOKUP(불리오[[#This Row],[종목코드]],표3[],2,FALSE)</f>
        <v>미국장기채</v>
      </c>
      <c r="D12" s="9" t="str">
        <f>VLOOKUP(불리오[[#This Row],[종목코드]],표3[],4,FALSE)</f>
        <v>SPDR LONG TERM TREASURY ETF</v>
      </c>
      <c r="E12" s="39">
        <v>13</v>
      </c>
      <c r="F12" s="6">
        <v>386.09</v>
      </c>
      <c r="G12" s="61">
        <v>386.09</v>
      </c>
      <c r="H12" s="61">
        <f>불리오[[#This Row],[현금지출]]-불리오[[#This Row],[매입액]]</f>
        <v>0</v>
      </c>
      <c r="I12" s="12">
        <v>0</v>
      </c>
      <c r="J12" s="6">
        <v>0</v>
      </c>
      <c r="K12" s="6">
        <v>0</v>
      </c>
      <c r="L12" s="11">
        <v>0</v>
      </c>
      <c r="M12" s="6">
        <v>0</v>
      </c>
      <c r="N12" s="11">
        <f>불리오[[#This Row],[매도액]]-불리오[[#This Row],[매도원금]]</f>
        <v>0</v>
      </c>
      <c r="O12" s="11">
        <f>불리오[[#This Row],[매도액]]+불리오[[#This Row],[이자배당액]]-불리오[[#This Row],[현금수입]]</f>
        <v>0</v>
      </c>
      <c r="P12" s="11">
        <f>불리오[[#This Row],[매매수익]]+불리오[[#This Row],[이자배당액]]-불리오[[#This Row],[매도비용]]-불리오[[#This Row],[매입비용]]</f>
        <v>0</v>
      </c>
      <c r="Q12">
        <v>386.09</v>
      </c>
      <c r="R12" s="12">
        <f>불리오[[#This Row],[입출금]]+불리오[[#This Row],[현금수입]]-불리오[[#This Row],[현금지출]]</f>
        <v>0</v>
      </c>
      <c r="S12" s="12">
        <f>SUM($R$2:R12)</f>
        <v>0</v>
      </c>
    </row>
    <row r="13" spans="1:19" s="2" customFormat="1" x14ac:dyDescent="0.3">
      <c r="A13" s="91">
        <v>45292</v>
      </c>
      <c r="B13" s="46" t="s">
        <v>125</v>
      </c>
      <c r="C13" s="1" t="str">
        <f>VLOOKUP(불리오[[#This Row],[종목코드]],표3[],2,FALSE)</f>
        <v>미국주식</v>
      </c>
      <c r="D13" s="9" t="str">
        <f>VLOOKUP(불리오[[#This Row],[종목코드]],표3[],4,FALSE)</f>
        <v>SPDR PORTFOLIO S&amp;P 500 ETF</v>
      </c>
      <c r="E13" s="39">
        <v>12</v>
      </c>
      <c r="F13" s="6">
        <v>627.46</v>
      </c>
      <c r="G13" s="61">
        <v>627.46</v>
      </c>
      <c r="H13" s="61">
        <f>불리오[[#This Row],[현금지출]]-불리오[[#This Row],[매입액]]</f>
        <v>0</v>
      </c>
      <c r="I13" s="12">
        <v>0</v>
      </c>
      <c r="J13" s="6">
        <v>0</v>
      </c>
      <c r="K13" s="6">
        <v>0</v>
      </c>
      <c r="L13" s="11">
        <v>0</v>
      </c>
      <c r="M13" s="6">
        <v>0</v>
      </c>
      <c r="N13" s="11">
        <f>불리오[[#This Row],[매도액]]-불리오[[#This Row],[매도원금]]</f>
        <v>0</v>
      </c>
      <c r="O13" s="11">
        <f>불리오[[#This Row],[매도액]]+불리오[[#This Row],[이자배당액]]-불리오[[#This Row],[현금수입]]</f>
        <v>0</v>
      </c>
      <c r="P13" s="11">
        <f>불리오[[#This Row],[매매수익]]+불리오[[#This Row],[이자배당액]]-불리오[[#This Row],[매도비용]]-불리오[[#This Row],[매입비용]]</f>
        <v>0</v>
      </c>
      <c r="Q13">
        <v>627.46</v>
      </c>
      <c r="R13" s="12">
        <f>불리오[[#This Row],[입출금]]+불리오[[#This Row],[현금수입]]-불리오[[#This Row],[현금지출]]</f>
        <v>0</v>
      </c>
      <c r="S13" s="12">
        <f>SUM($R$2:R13)</f>
        <v>0</v>
      </c>
    </row>
    <row r="14" spans="1:19" s="2" customFormat="1" x14ac:dyDescent="0.3">
      <c r="A14" s="91">
        <v>45292</v>
      </c>
      <c r="B14" s="46" t="s">
        <v>128</v>
      </c>
      <c r="C14" s="1" t="str">
        <f>VLOOKUP(불리오[[#This Row],[종목코드]],표3[],2,FALSE)</f>
        <v>신흥국채권</v>
      </c>
      <c r="D14" s="9" t="str">
        <f>VLOOKUP(불리오[[#This Row],[종목코드]],표3[],4,FALSE)</f>
        <v>VANGUARD EMERGING MARKETS GOVERNMENT BOND ETF</v>
      </c>
      <c r="E14" s="39">
        <v>6</v>
      </c>
      <c r="F14" s="6">
        <v>380.28</v>
      </c>
      <c r="G14" s="61">
        <v>380.28</v>
      </c>
      <c r="H14" s="61">
        <f>불리오[[#This Row],[현금지출]]-불리오[[#This Row],[매입액]]</f>
        <v>0</v>
      </c>
      <c r="I14" s="12">
        <v>0</v>
      </c>
      <c r="J14" s="6">
        <v>0</v>
      </c>
      <c r="K14" s="6">
        <v>0</v>
      </c>
      <c r="L14" s="11">
        <v>0</v>
      </c>
      <c r="M14" s="6">
        <v>0</v>
      </c>
      <c r="N14" s="11">
        <f>불리오[[#This Row],[매도액]]-불리오[[#This Row],[매도원금]]</f>
        <v>0</v>
      </c>
      <c r="O14" s="11">
        <f>불리오[[#This Row],[매도액]]+불리오[[#This Row],[이자배당액]]-불리오[[#This Row],[현금수입]]</f>
        <v>0</v>
      </c>
      <c r="P14" s="11">
        <f>불리오[[#This Row],[매매수익]]+불리오[[#This Row],[이자배당액]]-불리오[[#This Row],[매도비용]]-불리오[[#This Row],[매입비용]]</f>
        <v>0</v>
      </c>
      <c r="Q14">
        <v>380.28</v>
      </c>
      <c r="R14" s="12">
        <f>불리오[[#This Row],[입출금]]+불리오[[#This Row],[현금수입]]-불리오[[#This Row],[현금지출]]</f>
        <v>0</v>
      </c>
      <c r="S14" s="12">
        <f>SUM($R$2:R14)</f>
        <v>0</v>
      </c>
    </row>
    <row r="15" spans="1:19" s="2" customFormat="1" x14ac:dyDescent="0.3">
      <c r="A15" s="91">
        <v>45292</v>
      </c>
      <c r="B15" s="46" t="s">
        <v>87</v>
      </c>
      <c r="C15" s="1" t="str">
        <f>VLOOKUP(불리오[[#This Row],[종목코드]],표3[],2,FALSE)</f>
        <v>불리오달러</v>
      </c>
      <c r="D15" s="9" t="str">
        <f>VLOOKUP(불리오[[#This Row],[종목코드]],표3[],4,FALSE)</f>
        <v>한국투자증권 불리오계좌 달러예수금</v>
      </c>
      <c r="E15" s="39">
        <v>1</v>
      </c>
      <c r="F15" s="6">
        <v>0</v>
      </c>
      <c r="G15" s="61">
        <v>0</v>
      </c>
      <c r="H15" s="61">
        <f>불리오[[#This Row],[현금지출]]-불리오[[#This Row],[매입액]]</f>
        <v>0</v>
      </c>
      <c r="I15" s="12">
        <v>0</v>
      </c>
      <c r="J15" s="6">
        <v>0</v>
      </c>
      <c r="K15" s="6">
        <v>0</v>
      </c>
      <c r="L15" s="11">
        <v>0</v>
      </c>
      <c r="M15" s="6">
        <v>0</v>
      </c>
      <c r="N15" s="11">
        <f>불리오[[#This Row],[매도액]]-불리오[[#This Row],[매도원금]]</f>
        <v>0</v>
      </c>
      <c r="O15" s="11">
        <f>불리오[[#This Row],[매도액]]+불리오[[#This Row],[이자배당액]]-불리오[[#This Row],[현금수입]]</f>
        <v>0</v>
      </c>
      <c r="P15" s="11">
        <f>불리오[[#This Row],[매매수익]]+불리오[[#This Row],[이자배당액]]-불리오[[#This Row],[매도비용]]-불리오[[#This Row],[매입비용]]</f>
        <v>0</v>
      </c>
      <c r="Q15">
        <v>212.15999999999991</v>
      </c>
      <c r="R15" s="12">
        <f>불리오[[#This Row],[입출금]]+불리오[[#This Row],[현금수입]]-불리오[[#This Row],[현금지출]]</f>
        <v>212.15999999999991</v>
      </c>
      <c r="S15" s="11">
        <f>SUM($R$2:R15)</f>
        <v>212.15999999999991</v>
      </c>
    </row>
    <row r="16" spans="1:19" x14ac:dyDescent="0.3">
      <c r="A16" s="91">
        <v>45328</v>
      </c>
      <c r="B16" s="46" t="s">
        <v>122</v>
      </c>
      <c r="C16" s="1" t="str">
        <f>VLOOKUP(불리오[[#This Row],[종목코드]],표3[],2,FALSE)</f>
        <v>신흥국주식</v>
      </c>
      <c r="D16" s="9" t="str">
        <f>VLOOKUP(불리오[[#This Row],[종목코드]],표3[],4,FALSE)</f>
        <v>SCHWAB EMERGING MARKETS EQUITY ETF</v>
      </c>
      <c r="E16" s="38">
        <v>0</v>
      </c>
      <c r="F16" s="7">
        <v>0</v>
      </c>
      <c r="G16" s="8">
        <v>0</v>
      </c>
      <c r="H16" s="8">
        <f>불리오[[#This Row],[현금지출]]-불리오[[#This Row],[매입액]]</f>
        <v>0</v>
      </c>
      <c r="I16" s="12">
        <v>6</v>
      </c>
      <c r="J16" s="7">
        <v>145.19999999999999</v>
      </c>
      <c r="K16" s="7">
        <v>143.52000000000001</v>
      </c>
      <c r="L16" s="11">
        <v>0</v>
      </c>
      <c r="M16" s="7">
        <v>143.28</v>
      </c>
      <c r="N16" s="11">
        <f>불리오[[#This Row],[매도액]]-불리오[[#This Row],[매도원금]]</f>
        <v>-1.6799999999999784</v>
      </c>
      <c r="O16" s="11">
        <f>불리오[[#This Row],[매도액]]+불리오[[#This Row],[이자배당액]]-불리오[[#This Row],[현금수입]]</f>
        <v>0.24000000000000909</v>
      </c>
      <c r="P16" s="11">
        <f>불리오[[#This Row],[매매수익]]+불리오[[#This Row],[이자배당액]]-불리오[[#This Row],[매도비용]]-불리오[[#This Row],[매입비용]]</f>
        <v>-1.9199999999999875</v>
      </c>
      <c r="Q16" s="90">
        <v>0</v>
      </c>
      <c r="R16" s="12">
        <f>불리오[[#This Row],[입출금]]+불리오[[#This Row],[현금수입]]-불리오[[#This Row],[현금지출]]</f>
        <v>143.28</v>
      </c>
      <c r="S16" s="11">
        <f>SUM($R$2:R16)</f>
        <v>355.43999999999994</v>
      </c>
    </row>
    <row r="17" spans="1:19" x14ac:dyDescent="0.3">
      <c r="A17" s="91">
        <v>45328</v>
      </c>
      <c r="B17" s="46" t="s">
        <v>123</v>
      </c>
      <c r="C17" s="1" t="str">
        <f>VLOOKUP(불리오[[#This Row],[종목코드]],표3[],2,FALSE)</f>
        <v>전세계주식</v>
      </c>
      <c r="D17" s="9" t="str">
        <f>VLOOKUP(불리오[[#This Row],[종목코드]],표3[],4,FALSE)</f>
        <v>SPDR INDEX SHARES FUNDS PORTFOLIO MSCI GLOBAL STOCK MARKET E</v>
      </c>
      <c r="E17" s="38">
        <v>0</v>
      </c>
      <c r="F17" s="7">
        <v>0</v>
      </c>
      <c r="G17" s="8">
        <v>0</v>
      </c>
      <c r="H17" s="8">
        <f>불리오[[#This Row],[현금지출]]-불리오[[#This Row],[매입액]]</f>
        <v>0</v>
      </c>
      <c r="I17" s="12">
        <v>5</v>
      </c>
      <c r="J17" s="7">
        <v>258.32</v>
      </c>
      <c r="K17" s="7">
        <v>278.10000000000002</v>
      </c>
      <c r="L17" s="11">
        <v>0</v>
      </c>
      <c r="M17" s="7">
        <v>277.63</v>
      </c>
      <c r="N17" s="11">
        <f>불리오[[#This Row],[매도액]]-불리오[[#This Row],[매도원금]]</f>
        <v>19.78000000000003</v>
      </c>
      <c r="O17" s="11">
        <f>불리오[[#This Row],[매도액]]+불리오[[#This Row],[이자배당액]]-불리오[[#This Row],[현금수입]]</f>
        <v>0.47000000000002728</v>
      </c>
      <c r="P17" s="11">
        <f>불리오[[#This Row],[매매수익]]+불리오[[#This Row],[이자배당액]]-불리오[[#This Row],[매도비용]]-불리오[[#This Row],[매입비용]]</f>
        <v>19.310000000000002</v>
      </c>
      <c r="Q17" s="90">
        <v>0</v>
      </c>
      <c r="R17" s="12">
        <f>불리오[[#This Row],[입출금]]+불리오[[#This Row],[현금수입]]-불리오[[#This Row],[현금지출]]</f>
        <v>277.63</v>
      </c>
      <c r="S17" s="11">
        <f>SUM($R$2:R17)</f>
        <v>633.06999999999994</v>
      </c>
    </row>
    <row r="18" spans="1:19" x14ac:dyDescent="0.3">
      <c r="A18" s="91">
        <v>45328</v>
      </c>
      <c r="B18" s="46" t="s">
        <v>125</v>
      </c>
      <c r="C18" s="1" t="str">
        <f>VLOOKUP(불리오[[#This Row],[종목코드]],표3[],2,FALSE)</f>
        <v>미국주식</v>
      </c>
      <c r="D18" s="9" t="str">
        <f>VLOOKUP(불리오[[#This Row],[종목코드]],표3[],4,FALSE)</f>
        <v>SPDR PORTFOLIO S&amp;P 500 ETF</v>
      </c>
      <c r="E18" s="38">
        <v>0</v>
      </c>
      <c r="F18" s="7">
        <v>0</v>
      </c>
      <c r="G18" s="8">
        <v>0</v>
      </c>
      <c r="H18" s="8">
        <f>불리오[[#This Row],[현금지출]]-불리오[[#This Row],[매입액]]</f>
        <v>0</v>
      </c>
      <c r="I18" s="12">
        <v>5</v>
      </c>
      <c r="J18" s="7">
        <v>261.44</v>
      </c>
      <c r="K18" s="7">
        <v>285.13</v>
      </c>
      <c r="L18" s="11">
        <v>0</v>
      </c>
      <c r="M18" s="7">
        <v>284.64999999999998</v>
      </c>
      <c r="N18" s="11">
        <f>불리오[[#This Row],[매도액]]-불리오[[#This Row],[매도원금]]</f>
        <v>23.689999999999998</v>
      </c>
      <c r="O18" s="11">
        <f>불리오[[#This Row],[매도액]]+불리오[[#This Row],[이자배당액]]-불리오[[#This Row],[현금수입]]</f>
        <v>0.48000000000001819</v>
      </c>
      <c r="P18" s="11">
        <f>불리오[[#This Row],[매매수익]]+불리오[[#This Row],[이자배당액]]-불리오[[#This Row],[매도비용]]-불리오[[#This Row],[매입비용]]</f>
        <v>23.20999999999998</v>
      </c>
      <c r="Q18" s="90">
        <v>0</v>
      </c>
      <c r="R18" s="12">
        <f>불리오[[#This Row],[입출금]]+불리오[[#This Row],[현금수입]]-불리오[[#This Row],[현금지출]]</f>
        <v>284.64999999999998</v>
      </c>
      <c r="S18" s="11">
        <f>SUM($R$2:R18)</f>
        <v>917.71999999999991</v>
      </c>
    </row>
    <row r="19" spans="1:19" x14ac:dyDescent="0.3">
      <c r="A19" s="91">
        <v>45328</v>
      </c>
      <c r="B19" s="46" t="s">
        <v>128</v>
      </c>
      <c r="C19" s="1" t="str">
        <f>VLOOKUP(불리오[[#This Row],[종목코드]],표3[],2,FALSE)</f>
        <v>신흥국채권</v>
      </c>
      <c r="D19" s="9" t="str">
        <f>VLOOKUP(불리오[[#This Row],[종목코드]],표3[],4,FALSE)</f>
        <v>VANGUARD EMERGING MARKETS GOVERNMENT BOND ETF</v>
      </c>
      <c r="E19" s="38">
        <v>0</v>
      </c>
      <c r="F19" s="7">
        <v>0</v>
      </c>
      <c r="G19" s="8">
        <v>0</v>
      </c>
      <c r="H19" s="8">
        <f>불리오[[#This Row],[현금지출]]-불리오[[#This Row],[매입액]]</f>
        <v>0</v>
      </c>
      <c r="I19" s="12">
        <v>5</v>
      </c>
      <c r="J19" s="7">
        <v>316.89999999999998</v>
      </c>
      <c r="K19" s="7">
        <v>314.45</v>
      </c>
      <c r="L19" s="11">
        <v>0</v>
      </c>
      <c r="M19" s="7">
        <v>313.92</v>
      </c>
      <c r="N19" s="11">
        <f>불리오[[#This Row],[매도액]]-불리오[[#This Row],[매도원금]]</f>
        <v>-2.4499999999999886</v>
      </c>
      <c r="O19" s="11">
        <f>불리오[[#This Row],[매도액]]+불리오[[#This Row],[이자배당액]]-불리오[[#This Row],[현금수입]]</f>
        <v>0.52999999999997272</v>
      </c>
      <c r="P19" s="11">
        <f>불리오[[#This Row],[매매수익]]+불리오[[#This Row],[이자배당액]]-불리오[[#This Row],[매도비용]]-불리오[[#This Row],[매입비용]]</f>
        <v>-2.9799999999999613</v>
      </c>
      <c r="Q19" s="90">
        <v>0</v>
      </c>
      <c r="R19" s="12">
        <f>불리오[[#This Row],[입출금]]+불리오[[#This Row],[현금수입]]-불리오[[#This Row],[현금지출]]</f>
        <v>313.92</v>
      </c>
      <c r="S19" s="11">
        <f>SUM($R$2:R19)</f>
        <v>1231.6399999999999</v>
      </c>
    </row>
    <row r="20" spans="1:19" x14ac:dyDescent="0.3">
      <c r="A20" s="91">
        <v>45328</v>
      </c>
      <c r="B20" s="46" t="s">
        <v>128</v>
      </c>
      <c r="C20" s="1" t="str">
        <f>VLOOKUP(불리오[[#This Row],[종목코드]],표3[],2,FALSE)</f>
        <v>신흥국채권</v>
      </c>
      <c r="D20" s="9" t="str">
        <f>VLOOKUP(불리오[[#This Row],[종목코드]],표3[],4,FALSE)</f>
        <v>VANGUARD EMERGING MARKETS GOVERNMENT BOND ETF</v>
      </c>
      <c r="E20" s="38">
        <v>0</v>
      </c>
      <c r="F20" s="7">
        <v>0</v>
      </c>
      <c r="G20" s="8">
        <v>0</v>
      </c>
      <c r="H20" s="8">
        <f>불리오[[#This Row],[현금지출]]-불리오[[#This Row],[매입액]]</f>
        <v>0</v>
      </c>
      <c r="I20" s="12">
        <v>0</v>
      </c>
      <c r="J20" s="7">
        <v>0</v>
      </c>
      <c r="K20" s="7">
        <v>0</v>
      </c>
      <c r="L20" s="11">
        <v>1.65</v>
      </c>
      <c r="M20" s="7">
        <v>1.41</v>
      </c>
      <c r="N20" s="11">
        <f>불리오[[#This Row],[매도액]]-불리오[[#This Row],[매도원금]]</f>
        <v>0</v>
      </c>
      <c r="O20" s="11">
        <f>불리오[[#This Row],[매도액]]+불리오[[#This Row],[이자배당액]]-불리오[[#This Row],[현금수입]]</f>
        <v>0.24</v>
      </c>
      <c r="P20" s="11">
        <f>불리오[[#This Row],[매매수익]]+불리오[[#This Row],[이자배당액]]-불리오[[#This Row],[매도비용]]-불리오[[#This Row],[매입비용]]</f>
        <v>1.41</v>
      </c>
      <c r="Q20" s="90">
        <v>0</v>
      </c>
      <c r="R20" s="12">
        <f>불리오[[#This Row],[입출금]]+불리오[[#This Row],[현금수입]]-불리오[[#This Row],[현금지출]]</f>
        <v>1.41</v>
      </c>
      <c r="S20" s="11">
        <f>SUM($R$2:R20)</f>
        <v>1233.05</v>
      </c>
    </row>
    <row r="21" spans="1:19" x14ac:dyDescent="0.3">
      <c r="A21" s="91">
        <v>45329</v>
      </c>
      <c r="B21" s="46" t="s">
        <v>156</v>
      </c>
      <c r="C21" s="1" t="str">
        <f>VLOOKUP(불리오[[#This Row],[종목코드]],표3[],2,FALSE)</f>
        <v>캐나다주식</v>
      </c>
      <c r="D21" s="9" t="str">
        <f>VLOOKUP(불리오[[#This Row],[종목코드]],표3[],4,FALSE)</f>
        <v>ISHARES MSCI CANADA FUND</v>
      </c>
      <c r="E21" s="38">
        <v>2</v>
      </c>
      <c r="F21" s="7">
        <v>72.84</v>
      </c>
      <c r="G21" s="8">
        <v>72.95</v>
      </c>
      <c r="H21" s="8">
        <f>불리오[[#This Row],[현금지출]]-불리오[[#This Row],[매입액]]</f>
        <v>0.10999999999999943</v>
      </c>
      <c r="I21" s="12">
        <v>0</v>
      </c>
      <c r="J21" s="7">
        <v>0</v>
      </c>
      <c r="K21" s="7">
        <v>0</v>
      </c>
      <c r="L21" s="11">
        <v>0</v>
      </c>
      <c r="M21" s="7">
        <v>0</v>
      </c>
      <c r="N21" s="11">
        <f>불리오[[#This Row],[매도액]]-불리오[[#This Row],[매도원금]]</f>
        <v>0</v>
      </c>
      <c r="O21" s="11">
        <f>불리오[[#This Row],[매도액]]+불리오[[#This Row],[이자배당액]]-불리오[[#This Row],[현금수입]]</f>
        <v>0</v>
      </c>
      <c r="P21" s="11">
        <f>불리오[[#This Row],[매매수익]]+불리오[[#This Row],[이자배당액]]-불리오[[#This Row],[매도비용]]-불리오[[#This Row],[매입비용]]</f>
        <v>-0.10999999999999943</v>
      </c>
      <c r="Q21" s="90">
        <v>0</v>
      </c>
      <c r="R21" s="12">
        <f>불리오[[#This Row],[입출금]]+불리오[[#This Row],[현금수입]]-불리오[[#This Row],[현금지출]]</f>
        <v>-72.95</v>
      </c>
      <c r="S21" s="11">
        <f>SUM($R$2:R21)</f>
        <v>1160.0999999999999</v>
      </c>
    </row>
    <row r="22" spans="1:19" x14ac:dyDescent="0.3">
      <c r="A22" s="91">
        <v>45329</v>
      </c>
      <c r="B22" s="46" t="s">
        <v>117</v>
      </c>
      <c r="C22" s="1" t="str">
        <f>VLOOKUP(불리오[[#This Row],[종목코드]],표3[],2,FALSE)</f>
        <v>홍콩주식</v>
      </c>
      <c r="D22" s="9" t="str">
        <f>VLOOKUP(불리오[[#This Row],[종목코드]],표3[],4,FALSE)</f>
        <v>ISHARES INC MSCI HONG KONG ETF</v>
      </c>
      <c r="E22" s="38">
        <v>2</v>
      </c>
      <c r="F22" s="7">
        <v>31.18</v>
      </c>
      <c r="G22" s="8">
        <v>31.22</v>
      </c>
      <c r="H22" s="8">
        <f>불리오[[#This Row],[현금지출]]-불리오[[#This Row],[매입액]]</f>
        <v>3.9999999999999147E-2</v>
      </c>
      <c r="I22" s="12">
        <v>0</v>
      </c>
      <c r="J22" s="7">
        <v>0</v>
      </c>
      <c r="K22" s="7">
        <v>0</v>
      </c>
      <c r="L22" s="11">
        <v>0</v>
      </c>
      <c r="M22" s="7">
        <v>0</v>
      </c>
      <c r="N22" s="11">
        <f>불리오[[#This Row],[매도액]]-불리오[[#This Row],[매도원금]]</f>
        <v>0</v>
      </c>
      <c r="O22" s="11">
        <f>불리오[[#This Row],[매도액]]+불리오[[#This Row],[이자배당액]]-불리오[[#This Row],[현금수입]]</f>
        <v>0</v>
      </c>
      <c r="P22" s="11">
        <f>불리오[[#This Row],[매매수익]]+불리오[[#This Row],[이자배당액]]-불리오[[#This Row],[매도비용]]-불리오[[#This Row],[매입비용]]</f>
        <v>-3.9999999999999147E-2</v>
      </c>
      <c r="Q22" s="90">
        <v>0</v>
      </c>
      <c r="R22" s="12">
        <f>불리오[[#This Row],[입출금]]+불리오[[#This Row],[현금수입]]-불리오[[#This Row],[현금지출]]</f>
        <v>-31.22</v>
      </c>
      <c r="S22" s="11">
        <f>SUM($R$2:R22)</f>
        <v>1128.8799999999999</v>
      </c>
    </row>
    <row r="23" spans="1:19" x14ac:dyDescent="0.3">
      <c r="A23" s="91">
        <v>45329</v>
      </c>
      <c r="B23" s="46" t="s">
        <v>118</v>
      </c>
      <c r="C23" s="1" t="str">
        <f>VLOOKUP(불리오[[#This Row],[종목코드]],표3[],2,FALSE)</f>
        <v>일본주식</v>
      </c>
      <c r="D23" s="9" t="str">
        <f>VLOOKUP(불리오[[#This Row],[종목코드]],표3[],4,FALSE)</f>
        <v>ISHARES INC MSCI JAPAN ETF NEW(POST REV SPLT)</v>
      </c>
      <c r="E23" s="38">
        <v>4</v>
      </c>
      <c r="F23" s="7">
        <v>265.24</v>
      </c>
      <c r="G23" s="8">
        <v>265.67</v>
      </c>
      <c r="H23" s="8">
        <f>불리오[[#This Row],[현금지출]]-불리오[[#This Row],[매입액]]</f>
        <v>0.43000000000000682</v>
      </c>
      <c r="I23" s="12">
        <v>0</v>
      </c>
      <c r="J23" s="7">
        <v>0</v>
      </c>
      <c r="K23" s="7">
        <v>0</v>
      </c>
      <c r="L23" s="11">
        <v>0</v>
      </c>
      <c r="M23" s="7">
        <v>0</v>
      </c>
      <c r="N23" s="11">
        <f>불리오[[#This Row],[매도액]]-불리오[[#This Row],[매도원금]]</f>
        <v>0</v>
      </c>
      <c r="O23" s="11">
        <f>불리오[[#This Row],[매도액]]+불리오[[#This Row],[이자배당액]]-불리오[[#This Row],[현금수입]]</f>
        <v>0</v>
      </c>
      <c r="P23" s="11">
        <f>불리오[[#This Row],[매매수익]]+불리오[[#This Row],[이자배당액]]-불리오[[#This Row],[매도비용]]-불리오[[#This Row],[매입비용]]</f>
        <v>-0.43000000000000682</v>
      </c>
      <c r="Q23" s="90">
        <v>0</v>
      </c>
      <c r="R23" s="12">
        <f>불리오[[#This Row],[입출금]]+불리오[[#This Row],[현금수입]]-불리오[[#This Row],[현금지출]]</f>
        <v>-265.67</v>
      </c>
      <c r="S23" s="11">
        <f>SUM($R$2:R23)</f>
        <v>863.20999999999981</v>
      </c>
    </row>
    <row r="24" spans="1:19" x14ac:dyDescent="0.3">
      <c r="A24" s="91">
        <v>45329</v>
      </c>
      <c r="B24" s="46" t="s">
        <v>119</v>
      </c>
      <c r="C24" s="1" t="str">
        <f>VLOOKUP(불리오[[#This Row],[종목코드]],표3[],2,FALSE)</f>
        <v>멕시코주식</v>
      </c>
      <c r="D24" s="9" t="str">
        <f>VLOOKUP(불리오[[#This Row],[종목코드]],표3[],4,FALSE)</f>
        <v>ISHARES INC MSCI MEXICO ETF</v>
      </c>
      <c r="E24" s="38">
        <v>1</v>
      </c>
      <c r="F24" s="7">
        <v>67.36</v>
      </c>
      <c r="G24" s="8">
        <v>67.47</v>
      </c>
      <c r="H24" s="8">
        <f>불리오[[#This Row],[현금지출]]-불리오[[#This Row],[매입액]]</f>
        <v>0.10999999999999943</v>
      </c>
      <c r="I24" s="12">
        <v>0</v>
      </c>
      <c r="J24" s="7">
        <v>0</v>
      </c>
      <c r="K24" s="7">
        <v>0</v>
      </c>
      <c r="L24" s="11">
        <v>0</v>
      </c>
      <c r="M24" s="7">
        <v>0</v>
      </c>
      <c r="N24" s="11">
        <f>불리오[[#This Row],[매도액]]-불리오[[#This Row],[매도원금]]</f>
        <v>0</v>
      </c>
      <c r="O24" s="11">
        <f>불리오[[#This Row],[매도액]]+불리오[[#This Row],[이자배당액]]-불리오[[#This Row],[현금수입]]</f>
        <v>0</v>
      </c>
      <c r="P24" s="11">
        <f>불리오[[#This Row],[매매수익]]+불리오[[#This Row],[이자배당액]]-불리오[[#This Row],[매도비용]]-불리오[[#This Row],[매입비용]]</f>
        <v>-0.10999999999999943</v>
      </c>
      <c r="Q24" s="90">
        <v>0</v>
      </c>
      <c r="R24" s="12">
        <f>불리오[[#This Row],[입출금]]+불리오[[#This Row],[현금수입]]-불리오[[#This Row],[현금지출]]</f>
        <v>-67.47</v>
      </c>
      <c r="S24" s="11">
        <f>SUM($R$2:R24)</f>
        <v>795.73999999999978</v>
      </c>
    </row>
    <row r="25" spans="1:19" x14ac:dyDescent="0.3">
      <c r="A25" s="91">
        <v>45329</v>
      </c>
      <c r="B25" s="46" t="s">
        <v>115</v>
      </c>
      <c r="C25" s="1" t="str">
        <f>VLOOKUP(불리오[[#This Row],[종목코드]],표3[],2,FALSE)</f>
        <v>중국주식</v>
      </c>
      <c r="D25" s="9" t="str">
        <f>VLOOKUP(불리오[[#This Row],[종목코드]],표3[],4,FALSE)</f>
        <v>ISHARES CHINA LARGE-CAP ETF</v>
      </c>
      <c r="E25" s="38">
        <v>2</v>
      </c>
      <c r="F25" s="7">
        <v>42.93</v>
      </c>
      <c r="G25" s="8">
        <v>43</v>
      </c>
      <c r="H25" s="8">
        <f>불리오[[#This Row],[현금지출]]-불리오[[#This Row],[매입액]]</f>
        <v>7.0000000000000284E-2</v>
      </c>
      <c r="I25" s="12">
        <v>0</v>
      </c>
      <c r="J25" s="7">
        <v>0</v>
      </c>
      <c r="K25" s="7">
        <v>0</v>
      </c>
      <c r="L25" s="11">
        <v>0</v>
      </c>
      <c r="M25" s="7">
        <v>0</v>
      </c>
      <c r="N25" s="11">
        <f>불리오[[#This Row],[매도액]]-불리오[[#This Row],[매도원금]]</f>
        <v>0</v>
      </c>
      <c r="O25" s="11">
        <f>불리오[[#This Row],[매도액]]+불리오[[#This Row],[이자배당액]]-불리오[[#This Row],[현금수입]]</f>
        <v>0</v>
      </c>
      <c r="P25" s="11">
        <f>불리오[[#This Row],[매매수익]]+불리오[[#This Row],[이자배당액]]-불리오[[#This Row],[매도비용]]-불리오[[#This Row],[매입비용]]</f>
        <v>-7.0000000000000284E-2</v>
      </c>
      <c r="Q25" s="90">
        <v>0</v>
      </c>
      <c r="R25" s="12">
        <f>불리오[[#This Row],[입출금]]+불리오[[#This Row],[현금수입]]-불리오[[#This Row],[현금지출]]</f>
        <v>-43</v>
      </c>
      <c r="S25" s="11">
        <f>SUM($R$2:R25)</f>
        <v>752.73999999999978</v>
      </c>
    </row>
    <row r="26" spans="1:19" x14ac:dyDescent="0.3">
      <c r="A26" s="91">
        <v>45329</v>
      </c>
      <c r="B26" s="46" t="s">
        <v>126</v>
      </c>
      <c r="C26" s="1" t="str">
        <f>VLOOKUP(불리오[[#This Row],[종목코드]],표3[],2,FALSE)</f>
        <v>하이일드</v>
      </c>
      <c r="D26" s="9" t="str">
        <f>VLOOKUP(불리오[[#This Row],[종목코드]],표3[],4,FALSE)</f>
        <v>SPDR SERIES TRUST Portfolio High Yield Bond ETF</v>
      </c>
      <c r="E26" s="38">
        <v>20</v>
      </c>
      <c r="F26" s="7">
        <v>465.4</v>
      </c>
      <c r="G26" s="8">
        <v>466.17</v>
      </c>
      <c r="H26" s="8">
        <f>불리오[[#This Row],[현금지출]]-불리오[[#This Row],[매입액]]</f>
        <v>0.77000000000003865</v>
      </c>
      <c r="I26" s="12">
        <v>0</v>
      </c>
      <c r="J26" s="7">
        <v>0</v>
      </c>
      <c r="K26" s="7">
        <v>0</v>
      </c>
      <c r="L26" s="11">
        <v>0</v>
      </c>
      <c r="M26" s="7">
        <v>0</v>
      </c>
      <c r="N26" s="11">
        <f>불리오[[#This Row],[매도액]]-불리오[[#This Row],[매도원금]]</f>
        <v>0</v>
      </c>
      <c r="O26" s="11">
        <f>불리오[[#This Row],[매도액]]+불리오[[#This Row],[이자배당액]]-불리오[[#This Row],[현금수입]]</f>
        <v>0</v>
      </c>
      <c r="P26" s="11">
        <f>불리오[[#This Row],[매매수익]]+불리오[[#This Row],[이자배당액]]-불리오[[#This Row],[매도비용]]-불리오[[#This Row],[매입비용]]</f>
        <v>-0.77000000000003865</v>
      </c>
      <c r="Q26" s="90">
        <v>0</v>
      </c>
      <c r="R26" s="12">
        <f>불리오[[#This Row],[입출금]]+불리오[[#This Row],[현금수입]]-불리오[[#This Row],[현금지출]]</f>
        <v>-466.17</v>
      </c>
      <c r="S26" s="11">
        <f>SUM($R$2:R26)</f>
        <v>286.56999999999977</v>
      </c>
    </row>
    <row r="27" spans="1:19" x14ac:dyDescent="0.3">
      <c r="A27" s="91">
        <v>45329</v>
      </c>
      <c r="B27" s="46" t="s">
        <v>127</v>
      </c>
      <c r="C27" s="1" t="str">
        <f>VLOOKUP(불리오[[#This Row],[종목코드]],표3[],2,FALSE)</f>
        <v>물가연동채</v>
      </c>
      <c r="D27" s="9" t="str">
        <f>VLOOKUP(불리오[[#This Row],[종목코드]],표3[],4,FALSE)</f>
        <v>SPDR SERIES TRUST Portfolio TIPS ETF</v>
      </c>
      <c r="E27" s="38">
        <v>9</v>
      </c>
      <c r="F27" s="7">
        <v>231.08</v>
      </c>
      <c r="G27" s="8">
        <v>231.46</v>
      </c>
      <c r="H27" s="8">
        <f>불리오[[#This Row],[현금지출]]-불리오[[#This Row],[매입액]]</f>
        <v>0.37999999999999545</v>
      </c>
      <c r="I27" s="12">
        <v>0</v>
      </c>
      <c r="J27" s="7">
        <v>0</v>
      </c>
      <c r="K27" s="7">
        <v>0</v>
      </c>
      <c r="L27" s="11">
        <v>0</v>
      </c>
      <c r="M27" s="7">
        <v>0</v>
      </c>
      <c r="N27" s="11">
        <f>불리오[[#This Row],[매도액]]-불리오[[#This Row],[매도원금]]</f>
        <v>0</v>
      </c>
      <c r="O27" s="11">
        <f>불리오[[#This Row],[매도액]]+불리오[[#This Row],[이자배당액]]-불리오[[#This Row],[현금수입]]</f>
        <v>0</v>
      </c>
      <c r="P27" s="11">
        <f>불리오[[#This Row],[매매수익]]+불리오[[#This Row],[이자배당액]]-불리오[[#This Row],[매도비용]]-불리오[[#This Row],[매입비용]]</f>
        <v>-0.37999999999999545</v>
      </c>
      <c r="Q27" s="90">
        <v>0</v>
      </c>
      <c r="R27" s="12">
        <f>불리오[[#This Row],[입출금]]+불리오[[#This Row],[현금수입]]-불리오[[#This Row],[현금지출]]</f>
        <v>-231.46</v>
      </c>
      <c r="S27" s="11">
        <f>SUM($R$2:R27)</f>
        <v>55.109999999999758</v>
      </c>
    </row>
    <row r="28" spans="1:19" x14ac:dyDescent="0.3">
      <c r="A28" s="91">
        <v>45329</v>
      </c>
      <c r="B28" s="46" t="s">
        <v>124</v>
      </c>
      <c r="C28" s="1" t="str">
        <f>VLOOKUP(불리오[[#This Row],[종목코드]],표3[],2,FALSE)</f>
        <v>미국장기채</v>
      </c>
      <c r="D28" s="9" t="str">
        <f>VLOOKUP(불리오[[#This Row],[종목코드]],표3[],4,FALSE)</f>
        <v>SPDR LONG TERM TREASURY ETF</v>
      </c>
      <c r="E28" s="38">
        <v>0</v>
      </c>
      <c r="F28" s="7">
        <v>0</v>
      </c>
      <c r="G28" s="8">
        <v>0</v>
      </c>
      <c r="H28" s="8">
        <f>불리오[[#This Row],[현금지출]]-불리오[[#This Row],[매입액]]</f>
        <v>0</v>
      </c>
      <c r="I28" s="12">
        <v>0</v>
      </c>
      <c r="J28" s="7">
        <v>0</v>
      </c>
      <c r="K28" s="7">
        <v>0</v>
      </c>
      <c r="L28" s="11">
        <v>1.1599999999999999</v>
      </c>
      <c r="M28" s="7">
        <v>0.99</v>
      </c>
      <c r="N28" s="11">
        <f>불리오[[#This Row],[매도액]]-불리오[[#This Row],[매도원금]]</f>
        <v>0</v>
      </c>
      <c r="O28" s="11">
        <f>불리오[[#This Row],[매도액]]+불리오[[#This Row],[이자배당액]]-불리오[[#This Row],[현금수입]]</f>
        <v>0.16999999999999993</v>
      </c>
      <c r="P28" s="11">
        <f>불리오[[#This Row],[매매수익]]+불리오[[#This Row],[이자배당액]]-불리오[[#This Row],[매도비용]]-불리오[[#This Row],[매입비용]]</f>
        <v>0.99</v>
      </c>
      <c r="Q28" s="90">
        <v>0</v>
      </c>
      <c r="R28" s="12">
        <f>불리오[[#This Row],[입출금]]+불리오[[#This Row],[현금수입]]-불리오[[#This Row],[현금지출]]</f>
        <v>0.99</v>
      </c>
      <c r="S28" s="11">
        <f>SUM($R$2:R28)</f>
        <v>56.09999999999976</v>
      </c>
    </row>
    <row r="29" spans="1:19" x14ac:dyDescent="0.3">
      <c r="A29" s="91">
        <v>45344</v>
      </c>
      <c r="B29" s="46" t="s">
        <v>439</v>
      </c>
      <c r="C29" s="1" t="str">
        <f>VLOOKUP(불리오[[#This Row],[종목코드]],표3[],2,FALSE)</f>
        <v>홍콩주식</v>
      </c>
      <c r="D29" s="9" t="str">
        <f>VLOOKUP(불리오[[#This Row],[종목코드]],표3[],4,FALSE)</f>
        <v>ISHARES INC MSCI HONG KONG ETF</v>
      </c>
      <c r="E29" s="38">
        <v>0</v>
      </c>
      <c r="F29" s="93">
        <v>0</v>
      </c>
      <c r="G29" s="94">
        <v>0</v>
      </c>
      <c r="H29" s="94">
        <f>불리오[[#This Row],[현금지출]]-불리오[[#This Row],[매입액]]</f>
        <v>0</v>
      </c>
      <c r="I29" s="109">
        <v>1</v>
      </c>
      <c r="J29" s="93">
        <v>18.149999999999999</v>
      </c>
      <c r="K29" s="93">
        <v>16.36</v>
      </c>
      <c r="L29" s="110">
        <v>0</v>
      </c>
      <c r="M29" s="93">
        <v>16.350000000000001</v>
      </c>
      <c r="N29" s="110">
        <f>불리오[[#This Row],[매도액]]-불리오[[#This Row],[매도원금]]</f>
        <v>-1.7899999999999991</v>
      </c>
      <c r="O29" s="110">
        <f>불리오[[#This Row],[매도액]]+불리오[[#This Row],[이자배당액]]-불리오[[#This Row],[현금수입]]</f>
        <v>9.9999999999980105E-3</v>
      </c>
      <c r="P29" s="110">
        <f>불리오[[#This Row],[매매수익]]+불리오[[#This Row],[이자배당액]]-불리오[[#This Row],[매도비용]]-불리오[[#This Row],[매입비용]]</f>
        <v>-1.7999999999999972</v>
      </c>
      <c r="Q29" s="90">
        <v>0</v>
      </c>
      <c r="R29" s="109">
        <f>불리오[[#This Row],[입출금]]+불리오[[#This Row],[현금수입]]-불리오[[#This Row],[현금지출]]</f>
        <v>16.350000000000001</v>
      </c>
      <c r="S29" s="11">
        <f>SUM($R$2:R29)</f>
        <v>72.449999999999761</v>
      </c>
    </row>
    <row r="30" spans="1:19" x14ac:dyDescent="0.3">
      <c r="A30" s="91">
        <v>45344</v>
      </c>
      <c r="B30" s="46" t="s">
        <v>440</v>
      </c>
      <c r="C30" s="1" t="str">
        <f>VLOOKUP(불리오[[#This Row],[종목코드]],표3[],2,FALSE)</f>
        <v>브라질주식</v>
      </c>
      <c r="D30" s="9" t="str">
        <f>VLOOKUP(불리오[[#This Row],[종목코드]],표3[],4,FALSE)</f>
        <v>ISHARES INC MSCI Brazil ETF</v>
      </c>
      <c r="E30" s="38">
        <v>0</v>
      </c>
      <c r="F30" s="93">
        <v>0</v>
      </c>
      <c r="G30" s="94">
        <v>0</v>
      </c>
      <c r="H30" s="94">
        <f>불리오[[#This Row],[현금지출]]-불리오[[#This Row],[매입액]]</f>
        <v>0</v>
      </c>
      <c r="I30" s="109">
        <v>1</v>
      </c>
      <c r="J30" s="93">
        <v>35.590000000000003</v>
      </c>
      <c r="K30" s="93">
        <v>32.86</v>
      </c>
      <c r="L30" s="110">
        <v>0</v>
      </c>
      <c r="M30" s="93">
        <v>32.82</v>
      </c>
      <c r="N30" s="110">
        <f>불리오[[#This Row],[매도액]]-불리오[[#This Row],[매도원금]]</f>
        <v>-2.730000000000004</v>
      </c>
      <c r="O30" s="110">
        <f>불리오[[#This Row],[매도액]]+불리오[[#This Row],[이자배당액]]-불리오[[#This Row],[현금수입]]</f>
        <v>3.9999999999999147E-2</v>
      </c>
      <c r="P30" s="110">
        <f>불리오[[#This Row],[매매수익]]+불리오[[#This Row],[이자배당액]]-불리오[[#This Row],[매도비용]]-불리오[[#This Row],[매입비용]]</f>
        <v>-2.7700000000000031</v>
      </c>
      <c r="Q30" s="90">
        <v>0</v>
      </c>
      <c r="R30" s="109">
        <f>불리오[[#This Row],[입출금]]+불리오[[#This Row],[현금수입]]-불리오[[#This Row],[현금지출]]</f>
        <v>32.82</v>
      </c>
      <c r="S30" s="11">
        <f>SUM($R$2:R30)</f>
        <v>105.26999999999975</v>
      </c>
    </row>
    <row r="31" spans="1:19" x14ac:dyDescent="0.3">
      <c r="A31" s="91">
        <v>45344</v>
      </c>
      <c r="B31" s="46" t="s">
        <v>441</v>
      </c>
      <c r="C31" s="1" t="str">
        <f>VLOOKUP(불리오[[#This Row],[종목코드]],표3[],2,FALSE)</f>
        <v>중국주식</v>
      </c>
      <c r="D31" s="9" t="str">
        <f>VLOOKUP(불리오[[#This Row],[종목코드]],표3[],4,FALSE)</f>
        <v>ISHARES CHINA LARGE-CAP ETF</v>
      </c>
      <c r="E31" s="38">
        <v>0</v>
      </c>
      <c r="F31" s="93">
        <v>0</v>
      </c>
      <c r="G31" s="94">
        <v>0</v>
      </c>
      <c r="H31" s="94">
        <f>불리오[[#This Row],[현금지출]]-불리오[[#This Row],[매입액]]</f>
        <v>0</v>
      </c>
      <c r="I31" s="109">
        <v>1</v>
      </c>
      <c r="J31" s="93">
        <v>25.08</v>
      </c>
      <c r="K31" s="93">
        <v>23.23</v>
      </c>
      <c r="L31" s="110">
        <v>0</v>
      </c>
      <c r="M31" s="93">
        <v>23.21</v>
      </c>
      <c r="N31" s="110">
        <f>불리오[[#This Row],[매도액]]-불리오[[#This Row],[매도원금]]</f>
        <v>-1.8499999999999979</v>
      </c>
      <c r="O31" s="110">
        <f>불리오[[#This Row],[매도액]]+불리오[[#This Row],[이자배당액]]-불리오[[#This Row],[현금수입]]</f>
        <v>1.9999999999999574E-2</v>
      </c>
      <c r="P31" s="110">
        <f>불리오[[#This Row],[매매수익]]+불리오[[#This Row],[이자배당액]]-불리오[[#This Row],[매도비용]]-불리오[[#This Row],[매입비용]]</f>
        <v>-1.8699999999999974</v>
      </c>
      <c r="Q31" s="90">
        <v>0</v>
      </c>
      <c r="R31" s="109">
        <f>불리오[[#This Row],[입출금]]+불리오[[#This Row],[현금수입]]-불리오[[#This Row],[현금지출]]</f>
        <v>23.21</v>
      </c>
      <c r="S31" s="11">
        <f>SUM($R$2:R31)</f>
        <v>128.47999999999976</v>
      </c>
    </row>
    <row r="32" spans="1:19" x14ac:dyDescent="0.3">
      <c r="A32" s="91">
        <v>45344</v>
      </c>
      <c r="B32" s="46" t="s">
        <v>442</v>
      </c>
      <c r="C32" s="1" t="str">
        <f>VLOOKUP(불리오[[#This Row],[종목코드]],표3[],2,FALSE)</f>
        <v>신흥국주식</v>
      </c>
      <c r="D32" s="9" t="str">
        <f>VLOOKUP(불리오[[#This Row],[종목코드]],표3[],4,FALSE)</f>
        <v>SCHWAB EMERGING MARKETS EQUITY ETF</v>
      </c>
      <c r="E32" s="38">
        <v>0</v>
      </c>
      <c r="F32" s="93">
        <v>0</v>
      </c>
      <c r="G32" s="94">
        <v>0</v>
      </c>
      <c r="H32" s="94">
        <f>불리오[[#This Row],[현금지출]]-불리오[[#This Row],[매입액]]</f>
        <v>0</v>
      </c>
      <c r="I32" s="109">
        <v>1</v>
      </c>
      <c r="J32" s="93">
        <v>24.2</v>
      </c>
      <c r="K32" s="93">
        <v>24.65</v>
      </c>
      <c r="L32" s="110">
        <v>0</v>
      </c>
      <c r="M32" s="93">
        <v>24.62</v>
      </c>
      <c r="N32" s="110">
        <f>불리오[[#This Row],[매도액]]-불리오[[#This Row],[매도원금]]</f>
        <v>0.44999999999999929</v>
      </c>
      <c r="O32" s="110">
        <f>불리오[[#This Row],[매도액]]+불리오[[#This Row],[이자배당액]]-불리오[[#This Row],[현금수입]]</f>
        <v>2.9999999999997584E-2</v>
      </c>
      <c r="P32" s="110">
        <f>불리오[[#This Row],[매매수익]]+불리오[[#This Row],[이자배당액]]-불리오[[#This Row],[매도비용]]-불리오[[#This Row],[매입비용]]</f>
        <v>0.42000000000000171</v>
      </c>
      <c r="Q32" s="90">
        <v>0</v>
      </c>
      <c r="R32" s="109">
        <f>불리오[[#This Row],[입출금]]+불리오[[#This Row],[현금수입]]-불리오[[#This Row],[현금지출]]</f>
        <v>24.62</v>
      </c>
      <c r="S32" s="11">
        <f>SUM($R$2:R32)</f>
        <v>153.09999999999977</v>
      </c>
    </row>
    <row r="33" spans="1:19" x14ac:dyDescent="0.3">
      <c r="A33" s="91">
        <v>45344</v>
      </c>
      <c r="B33" s="46" t="s">
        <v>443</v>
      </c>
      <c r="C33" s="1" t="str">
        <f>VLOOKUP(불리오[[#This Row],[종목코드]],표3[],2,FALSE)</f>
        <v>하이일드</v>
      </c>
      <c r="D33" s="9" t="str">
        <f>VLOOKUP(불리오[[#This Row],[종목코드]],표3[],4,FALSE)</f>
        <v>SPDR SERIES TRUST Portfolio High Yield Bond ETF</v>
      </c>
      <c r="E33" s="38">
        <v>0</v>
      </c>
      <c r="F33" s="93">
        <v>0</v>
      </c>
      <c r="G33" s="94">
        <v>0</v>
      </c>
      <c r="H33" s="94">
        <f>불리오[[#This Row],[현금지출]]-불리오[[#This Row],[매입액]]</f>
        <v>0</v>
      </c>
      <c r="I33" s="109">
        <v>17</v>
      </c>
      <c r="J33" s="93">
        <v>395.59</v>
      </c>
      <c r="K33" s="93">
        <v>394.91</v>
      </c>
      <c r="L33" s="110">
        <v>0</v>
      </c>
      <c r="M33" s="93">
        <v>394.25</v>
      </c>
      <c r="N33" s="110">
        <f>불리오[[#This Row],[매도액]]-불리오[[#This Row],[매도원금]]</f>
        <v>-0.67999999999994998</v>
      </c>
      <c r="O33" s="110">
        <f>불리오[[#This Row],[매도액]]+불리오[[#This Row],[이자배당액]]-불리오[[#This Row],[현금수입]]</f>
        <v>0.66000000000002501</v>
      </c>
      <c r="P33" s="110">
        <f>불리오[[#This Row],[매매수익]]+불리오[[#This Row],[이자배당액]]-불리오[[#This Row],[매도비용]]-불리오[[#This Row],[매입비용]]</f>
        <v>-1.339999999999975</v>
      </c>
      <c r="Q33" s="90">
        <v>0</v>
      </c>
      <c r="R33" s="109">
        <f>불리오[[#This Row],[입출금]]+불리오[[#This Row],[현금수입]]-불리오[[#This Row],[현금지출]]</f>
        <v>394.25</v>
      </c>
      <c r="S33" s="11">
        <f>SUM($R$2:R33)</f>
        <v>547.3499999999998</v>
      </c>
    </row>
    <row r="34" spans="1:19" x14ac:dyDescent="0.3">
      <c r="A34" s="91">
        <v>45345</v>
      </c>
      <c r="B34" s="46" t="s">
        <v>444</v>
      </c>
      <c r="C34" s="1" t="str">
        <f>VLOOKUP(불리오[[#This Row],[종목코드]],표3[],2,FALSE)</f>
        <v>멕시코주식</v>
      </c>
      <c r="D34" s="9" t="str">
        <f>VLOOKUP(불리오[[#This Row],[종목코드]],표3[],4,FALSE)</f>
        <v>ISHARES INC MSCI MEXICO ETF</v>
      </c>
      <c r="E34" s="38">
        <v>1</v>
      </c>
      <c r="F34" s="93">
        <v>67.81</v>
      </c>
      <c r="G34" s="94">
        <v>67.92</v>
      </c>
      <c r="H34" s="94">
        <f>불리오[[#This Row],[현금지출]]-불리오[[#This Row],[매입액]]</f>
        <v>0.10999999999999943</v>
      </c>
      <c r="I34" s="109">
        <v>0</v>
      </c>
      <c r="J34" s="93">
        <v>0</v>
      </c>
      <c r="K34" s="93">
        <v>0</v>
      </c>
      <c r="L34" s="110">
        <v>0</v>
      </c>
      <c r="M34" s="93">
        <v>0</v>
      </c>
      <c r="N34" s="110">
        <f>불리오[[#This Row],[매도액]]-불리오[[#This Row],[매도원금]]</f>
        <v>0</v>
      </c>
      <c r="O34" s="110">
        <f>불리오[[#This Row],[매도액]]+불리오[[#This Row],[이자배당액]]-불리오[[#This Row],[현금수입]]</f>
        <v>0</v>
      </c>
      <c r="P34" s="110">
        <f>불리오[[#This Row],[매매수익]]+불리오[[#This Row],[이자배당액]]-불리오[[#This Row],[매도비용]]-불리오[[#This Row],[매입비용]]</f>
        <v>-0.10999999999999943</v>
      </c>
      <c r="Q34" s="112">
        <v>0</v>
      </c>
      <c r="R34" s="109">
        <f>불리오[[#This Row],[입출금]]+불리오[[#This Row],[현금수입]]-불리오[[#This Row],[현금지출]]</f>
        <v>-67.92</v>
      </c>
      <c r="S34" s="11">
        <f>SUM($R$2:R34)</f>
        <v>479.42999999999978</v>
      </c>
    </row>
    <row r="35" spans="1:19" x14ac:dyDescent="0.3">
      <c r="A35" s="91">
        <v>45345</v>
      </c>
      <c r="B35" s="46" t="s">
        <v>445</v>
      </c>
      <c r="C35" s="1" t="str">
        <f>VLOOKUP(불리오[[#This Row],[종목코드]],표3[],2,FALSE)</f>
        <v>미국장기채</v>
      </c>
      <c r="D35" s="9" t="str">
        <f>VLOOKUP(불리오[[#This Row],[종목코드]],표3[],4,FALSE)</f>
        <v>SPDR LONG TERM TREASURY ETF</v>
      </c>
      <c r="E35" s="38">
        <v>1</v>
      </c>
      <c r="F35" s="93">
        <v>27.4</v>
      </c>
      <c r="G35" s="94">
        <v>27.439999999999998</v>
      </c>
      <c r="H35" s="94">
        <f>불리오[[#This Row],[현금지출]]-불리오[[#This Row],[매입액]]</f>
        <v>3.9999999999999147E-2</v>
      </c>
      <c r="I35" s="109">
        <v>0</v>
      </c>
      <c r="J35" s="93">
        <v>0</v>
      </c>
      <c r="K35" s="93">
        <v>0</v>
      </c>
      <c r="L35" s="110">
        <v>0</v>
      </c>
      <c r="M35" s="93">
        <v>0</v>
      </c>
      <c r="N35" s="110">
        <f>불리오[[#This Row],[매도액]]-불리오[[#This Row],[매도원금]]</f>
        <v>0</v>
      </c>
      <c r="O35" s="110">
        <f>불리오[[#This Row],[매도액]]+불리오[[#This Row],[이자배당액]]-불리오[[#This Row],[현금수입]]</f>
        <v>0</v>
      </c>
      <c r="P35" s="110">
        <f>불리오[[#This Row],[매매수익]]+불리오[[#This Row],[이자배당액]]-불리오[[#This Row],[매도비용]]-불리오[[#This Row],[매입비용]]</f>
        <v>-3.9999999999999147E-2</v>
      </c>
      <c r="Q35" s="112">
        <v>0</v>
      </c>
      <c r="R35" s="109">
        <f>불리오[[#This Row],[입출금]]+불리오[[#This Row],[현금수입]]-불리오[[#This Row],[현금지출]]</f>
        <v>-27.439999999999998</v>
      </c>
      <c r="S35" s="11">
        <f>SUM($R$2:R35)</f>
        <v>451.98999999999978</v>
      </c>
    </row>
    <row r="36" spans="1:19" x14ac:dyDescent="0.3">
      <c r="A36" s="91">
        <v>45345</v>
      </c>
      <c r="B36" s="46" t="s">
        <v>446</v>
      </c>
      <c r="C36" s="1" t="str">
        <f>VLOOKUP(불리오[[#This Row],[종목코드]],표3[],2,FALSE)</f>
        <v>캐나다주식</v>
      </c>
      <c r="D36" s="9" t="str">
        <f>VLOOKUP(불리오[[#This Row],[종목코드]],표3[],4,FALSE)</f>
        <v>ISHARES MSCI CANADA FUND</v>
      </c>
      <c r="E36" s="38">
        <v>1</v>
      </c>
      <c r="F36" s="93">
        <v>36.68</v>
      </c>
      <c r="G36" s="94">
        <v>36.74</v>
      </c>
      <c r="H36" s="94">
        <f>불리오[[#This Row],[현금지출]]-불리오[[#This Row],[매입액]]</f>
        <v>6.0000000000002274E-2</v>
      </c>
      <c r="I36" s="109">
        <v>0</v>
      </c>
      <c r="J36" s="93">
        <v>0</v>
      </c>
      <c r="K36" s="93">
        <v>0</v>
      </c>
      <c r="L36" s="110">
        <v>0</v>
      </c>
      <c r="M36" s="93">
        <v>0</v>
      </c>
      <c r="N36" s="110">
        <f>불리오[[#This Row],[매도액]]-불리오[[#This Row],[매도원금]]</f>
        <v>0</v>
      </c>
      <c r="O36" s="110">
        <f>불리오[[#This Row],[매도액]]+불리오[[#This Row],[이자배당액]]-불리오[[#This Row],[현금수입]]</f>
        <v>0</v>
      </c>
      <c r="P36" s="110">
        <f>불리오[[#This Row],[매매수익]]+불리오[[#This Row],[이자배당액]]-불리오[[#This Row],[매도비용]]-불리오[[#This Row],[매입비용]]</f>
        <v>-6.0000000000002274E-2</v>
      </c>
      <c r="Q36" s="112">
        <v>0</v>
      </c>
      <c r="R36" s="109">
        <f>불리오[[#This Row],[입출금]]+불리오[[#This Row],[현금수입]]-불리오[[#This Row],[현금지출]]</f>
        <v>-36.74</v>
      </c>
      <c r="S36" s="11">
        <f>SUM($R$2:R36)</f>
        <v>415.24999999999977</v>
      </c>
    </row>
    <row r="37" spans="1:19" x14ac:dyDescent="0.3">
      <c r="A37" s="91">
        <v>45345</v>
      </c>
      <c r="B37" s="46" t="s">
        <v>447</v>
      </c>
      <c r="C37" s="1" t="str">
        <f>VLOOKUP(불리오[[#This Row],[종목코드]],표3[],2,FALSE)</f>
        <v>유로존주식</v>
      </c>
      <c r="D37" s="9" t="str">
        <f>VLOOKUP(불리오[[#This Row],[종목코드]],표3[],4,FALSE)</f>
        <v>ISHARES MSCI EUROZONE ETF</v>
      </c>
      <c r="E37" s="38">
        <v>8</v>
      </c>
      <c r="F37" s="93">
        <f>8*48.05</f>
        <v>384.4</v>
      </c>
      <c r="G37" s="94">
        <v>385.04999999999995</v>
      </c>
      <c r="H37" s="94">
        <f>불리오[[#This Row],[현금지출]]-불리오[[#This Row],[매입액]]</f>
        <v>0.64999999999997726</v>
      </c>
      <c r="I37" s="109">
        <v>0</v>
      </c>
      <c r="J37" s="93">
        <v>0</v>
      </c>
      <c r="K37" s="93">
        <v>0</v>
      </c>
      <c r="L37" s="110">
        <v>0</v>
      </c>
      <c r="M37" s="93">
        <v>0</v>
      </c>
      <c r="N37" s="110">
        <f>불리오[[#This Row],[매도액]]-불리오[[#This Row],[매도원금]]</f>
        <v>0</v>
      </c>
      <c r="O37" s="110">
        <f>불리오[[#This Row],[매도액]]+불리오[[#This Row],[이자배당액]]-불리오[[#This Row],[현금수입]]</f>
        <v>0</v>
      </c>
      <c r="P37" s="110">
        <f>불리오[[#This Row],[매매수익]]+불리오[[#This Row],[이자배당액]]-불리오[[#This Row],[매도비용]]-불리오[[#This Row],[매입비용]]</f>
        <v>-0.64999999999997726</v>
      </c>
      <c r="Q37" s="112">
        <v>0</v>
      </c>
      <c r="R37" s="109">
        <f>불리오[[#This Row],[입출금]]+불리오[[#This Row],[현금수입]]-불리오[[#This Row],[현금지출]]</f>
        <v>-385.04999999999995</v>
      </c>
      <c r="S37" s="11">
        <f>SUM($R$2:R37)</f>
        <v>30.199999999999818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pane xSplit="4" ySplit="1" topLeftCell="E2" activePane="bottomRight" state="frozen"/>
      <selection activeCell="A46" sqref="A46"/>
      <selection pane="topRight" activeCell="O1" sqref="O1"/>
      <selection pane="bottomLeft" activeCell="A2" sqref="A2"/>
      <selection pane="bottomRight" activeCell="S11" sqref="S11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40" customWidth="1"/>
    <col min="6" max="6" width="8.625" customWidth="1"/>
    <col min="7" max="7" width="10.25" customWidth="1"/>
    <col min="8" max="8" width="7.125" customWidth="1"/>
    <col min="9" max="9" width="6" style="40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style="7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4" t="s">
        <v>26</v>
      </c>
      <c r="E1" s="42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53" t="s">
        <v>62</v>
      </c>
    </row>
    <row r="2" spans="1:19" x14ac:dyDescent="0.3">
      <c r="A2" s="3">
        <v>45292</v>
      </c>
      <c r="B2" t="s">
        <v>255</v>
      </c>
      <c r="C2" s="1" t="str">
        <f>VLOOKUP(표4[[#This Row],[종목코드]],표3[],2,FALSE)</f>
        <v>(약정)한투외화발행어음</v>
      </c>
      <c r="D2" s="9" t="str">
        <f>VLOOKUP(표4[[#This Row],[종목코드]],표3[],4,FALSE)</f>
        <v>한국투자증권 직접투자계좌 외화발행어음(약정)</v>
      </c>
      <c r="E2">
        <v>1</v>
      </c>
      <c r="F2">
        <v>3095.73</v>
      </c>
      <c r="G2">
        <v>3095.73</v>
      </c>
      <c r="H2">
        <f>표4[[#This Row],[현금지출]]-표4[[#This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표4[[#This Row],[매도액]]-표4[[#This Row],[매도원금]]</f>
        <v>0</v>
      </c>
      <c r="O2">
        <f>표4[[#This Row],[매도액]]+표4[[#This Row],[이자배당액]]-표4[[#This Row],[현금수입]]</f>
        <v>0</v>
      </c>
      <c r="P2">
        <f>표4[[#This Row],[매매수익]]+표4[[#This Row],[이자배당액]]-표4[[#This Row],[매도비용]]-표4[[#This Row],[매입비용]]</f>
        <v>0</v>
      </c>
      <c r="Q2">
        <v>3095.73</v>
      </c>
      <c r="R2">
        <f>표4[[#This Row],[입출금]]+표4[[#This Row],[현금수입]]-표4[[#This Row],[현금지출]]</f>
        <v>0</v>
      </c>
      <c r="S2">
        <f>SUM($R$2:R2)</f>
        <v>0</v>
      </c>
    </row>
    <row r="3" spans="1:19" x14ac:dyDescent="0.3">
      <c r="A3" s="3">
        <v>45292</v>
      </c>
      <c r="B3" t="s">
        <v>257</v>
      </c>
      <c r="C3" s="1" t="str">
        <f>VLOOKUP(표4[[#This Row],[종목코드]],표3[],2,FALSE)</f>
        <v>(수시)한투외화발행어음</v>
      </c>
      <c r="D3" s="9" t="str">
        <f>VLOOKUP(표4[[#This Row],[종목코드]],표3[],4,FALSE)</f>
        <v>한국투자증권 직접투자계좌 외화발행어음(수시)</v>
      </c>
      <c r="E3">
        <v>1</v>
      </c>
      <c r="F3">
        <v>5835.8600000000006</v>
      </c>
      <c r="G3">
        <v>5835.8600000000006</v>
      </c>
      <c r="H3">
        <f>표4[[#This Row],[현금지출]]-표4[[#This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표4[[#This Row],[매도액]]-표4[[#This Row],[매도원금]]</f>
        <v>0</v>
      </c>
      <c r="O3">
        <f>표4[[#This Row],[매도액]]+표4[[#This Row],[이자배당액]]-표4[[#This Row],[현금수입]]</f>
        <v>0</v>
      </c>
      <c r="P3">
        <f>표4[[#This Row],[매매수익]]+표4[[#This Row],[이자배당액]]-표4[[#This Row],[매도비용]]-표4[[#This Row],[매입비용]]</f>
        <v>0</v>
      </c>
      <c r="Q3">
        <v>5835.8600000000006</v>
      </c>
      <c r="R3">
        <f>표4[[#This Row],[입출금]]+표4[[#This Row],[현금수입]]-표4[[#This Row],[현금지출]]</f>
        <v>0</v>
      </c>
      <c r="S3">
        <f>SUM($R$2:R3)</f>
        <v>0</v>
      </c>
    </row>
    <row r="4" spans="1:19" x14ac:dyDescent="0.3">
      <c r="A4" s="3">
        <v>45292</v>
      </c>
      <c r="B4" t="s">
        <v>202</v>
      </c>
      <c r="C4" s="1" t="str">
        <f>VLOOKUP(표4[[#This Row],[종목코드]],표3[],2,FALSE)</f>
        <v>금2</v>
      </c>
      <c r="D4" s="9" t="str">
        <f>VLOOKUP(표4[[#This Row],[종목코드]],표3[],4,FALSE)</f>
        <v>SPDR GOLD TRUST SHARES NPV</v>
      </c>
      <c r="E4">
        <v>15</v>
      </c>
      <c r="F4">
        <v>2837.55</v>
      </c>
      <c r="G4">
        <v>2837.55</v>
      </c>
      <c r="H4">
        <f>표4[[#This Row],[현금지출]]-표4[[#This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표4[[#This Row],[매도액]]-표4[[#This Row],[매도원금]]</f>
        <v>0</v>
      </c>
      <c r="O4">
        <f>표4[[#This Row],[매도액]]+표4[[#This Row],[이자배당액]]-표4[[#This Row],[현금수입]]</f>
        <v>0</v>
      </c>
      <c r="P4">
        <f>표4[[#This Row],[매매수익]]+표4[[#This Row],[이자배당액]]-표4[[#This Row],[매도비용]]-표4[[#This Row],[매입비용]]</f>
        <v>0</v>
      </c>
      <c r="Q4">
        <v>2837.55</v>
      </c>
      <c r="R4">
        <f>표4[[#This Row],[입출금]]+표4[[#This Row],[현금수입]]-표4[[#This Row],[현금지출]]</f>
        <v>0</v>
      </c>
      <c r="S4">
        <f>SUM($R$2:R4)</f>
        <v>0</v>
      </c>
    </row>
    <row r="5" spans="1:19" x14ac:dyDescent="0.3">
      <c r="A5" s="3">
        <v>45292</v>
      </c>
      <c r="B5" s="31" t="s">
        <v>458</v>
      </c>
      <c r="C5" s="1" t="str">
        <f>VLOOKUP(표4[[#This Row],[종목코드]],표3[],2,FALSE)</f>
        <v>한투외화채권2</v>
      </c>
      <c r="D5" s="9" t="str">
        <f>VLOOKUP(표4[[#This Row],[종목코드]],표3[],4,FALSE)</f>
        <v>미국채 0.25 06/15/24</v>
      </c>
      <c r="E5">
        <v>1</v>
      </c>
      <c r="F5">
        <v>1956.13</v>
      </c>
      <c r="G5">
        <v>1956.13</v>
      </c>
      <c r="H5">
        <f>표4[[#This Row],[현금지출]]-표4[[#This Row],[매입액]]</f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표4[[#This Row],[매도액]]-표4[[#This Row],[매도원금]]</f>
        <v>0</v>
      </c>
      <c r="O5">
        <f>표4[[#This Row],[매도액]]+표4[[#This Row],[이자배당액]]-표4[[#This Row],[현금수입]]</f>
        <v>0</v>
      </c>
      <c r="P5">
        <f>표4[[#This Row],[매매수익]]+표4[[#This Row],[이자배당액]]-표4[[#This Row],[매도비용]]-표4[[#This Row],[매입비용]]</f>
        <v>0</v>
      </c>
      <c r="Q5">
        <v>1956.13</v>
      </c>
      <c r="R5">
        <f>표4[[#This Row],[입출금]]+표4[[#This Row],[현금수입]]-표4[[#This Row],[현금지출]]</f>
        <v>0</v>
      </c>
      <c r="S5">
        <f>SUM($R$2:R5)</f>
        <v>0</v>
      </c>
    </row>
    <row r="6" spans="1:19" x14ac:dyDescent="0.3">
      <c r="A6" s="3">
        <v>45292</v>
      </c>
      <c r="B6" s="97" t="s">
        <v>459</v>
      </c>
      <c r="C6" s="115" t="str">
        <f>VLOOKUP(표4[[#This Row],[종목코드]],표3[],2,FALSE)</f>
        <v>직접운용달러</v>
      </c>
      <c r="D6" s="116" t="str">
        <f>VLOOKUP(표4[[#This Row],[종목코드]],표3[],4,FALSE)</f>
        <v>한국투자증권 직접투자계좌 달러예수금</v>
      </c>
      <c r="E6" s="111"/>
      <c r="F6" s="117"/>
      <c r="G6" s="118"/>
      <c r="H6" s="118">
        <f>표4[[#This Row],[현금지출]]-표4[[#This Row],[매입액]]</f>
        <v>0</v>
      </c>
      <c r="I6" s="98"/>
      <c r="J6" s="117"/>
      <c r="K6" s="117"/>
      <c r="L6" s="117"/>
      <c r="M6" s="117"/>
      <c r="N6" s="117">
        <f>표4[[#This Row],[매도액]]-표4[[#This Row],[매도원금]]</f>
        <v>0</v>
      </c>
      <c r="O6" s="117">
        <f>표4[[#This Row],[매도액]]+표4[[#This Row],[이자배당액]]-표4[[#This Row],[현금수입]]</f>
        <v>0</v>
      </c>
      <c r="P6" s="120">
        <f>표4[[#This Row],[매매수익]]+표4[[#This Row],[이자배당액]]-표4[[#This Row],[매도비용]]-표4[[#This Row],[매입비용]]</f>
        <v>0</v>
      </c>
      <c r="Q6" s="26">
        <v>0</v>
      </c>
      <c r="R6" s="26">
        <f>표4[[#This Row],[입출금]]+표4[[#This Row],[현금수입]]-표4[[#This Row],[현금지출]]</f>
        <v>0</v>
      </c>
      <c r="S6" s="122">
        <f>SUM($R$2:R6)</f>
        <v>0</v>
      </c>
    </row>
    <row r="7" spans="1:19" x14ac:dyDescent="0.3">
      <c r="A7" s="99">
        <v>45341</v>
      </c>
      <c r="B7" t="s">
        <v>257</v>
      </c>
      <c r="C7" s="1" t="str">
        <f>VLOOKUP(표4[[#This Row],[종목코드]],표3[],2,FALSE)</f>
        <v>(수시)한투외화발행어음</v>
      </c>
      <c r="D7" s="9" t="str">
        <f>VLOOKUP(표4[[#This Row],[종목코드]],표3[],4,FALSE)</f>
        <v>한국투자증권 직접투자계좌 외화발행어음(수시)</v>
      </c>
      <c r="E7" s="43">
        <v>0</v>
      </c>
      <c r="F7" s="101">
        <v>0</v>
      </c>
      <c r="G7" s="102">
        <v>0</v>
      </c>
      <c r="H7" s="102">
        <f>표4[[#This Row],[현금지출]]-표4[[#This Row],[매입액]]</f>
        <v>0</v>
      </c>
      <c r="I7" s="98">
        <v>1</v>
      </c>
      <c r="J7" s="101">
        <v>5835.86</v>
      </c>
      <c r="K7" s="101">
        <f>3884.79+2023.91</f>
        <v>5908.7</v>
      </c>
      <c r="L7" s="101">
        <v>0</v>
      </c>
      <c r="M7" s="101">
        <v>5897.5</v>
      </c>
      <c r="N7" s="101">
        <f>표4[[#This Row],[매도액]]-표4[[#This Row],[매도원금]]</f>
        <v>72.840000000000146</v>
      </c>
      <c r="O7" s="101">
        <f>표4[[#This Row],[매도액]]+표4[[#This Row],[이자배당액]]-표4[[#This Row],[현금수입]]</f>
        <v>11.199999999999818</v>
      </c>
      <c r="P7" s="103">
        <f>표4[[#This Row],[매매수익]]+표4[[#This Row],[이자배당액]]-표4[[#This Row],[매도비용]]-표4[[#This Row],[매입비용]]</f>
        <v>61.640000000000327</v>
      </c>
      <c r="Q7" s="30">
        <v>0</v>
      </c>
      <c r="R7" s="30">
        <f>표4[[#This Row],[입출금]]+표4[[#This Row],[현금수입]]-표4[[#This Row],[현금지출]]</f>
        <v>5897.5</v>
      </c>
      <c r="S7">
        <f>SUM($R$2:R7)</f>
        <v>5897.5</v>
      </c>
    </row>
    <row r="8" spans="1:19" x14ac:dyDescent="0.3">
      <c r="A8" s="99">
        <v>45341</v>
      </c>
      <c r="B8" s="97" t="s">
        <v>89</v>
      </c>
      <c r="C8" s="104" t="str">
        <f>VLOOKUP(표4[[#This Row],[종목코드]],표3[],2,FALSE)</f>
        <v>한투외화RP</v>
      </c>
      <c r="D8" s="105" t="str">
        <f>VLOOKUP(표4[[#This Row],[종목코드]],표3[],4,FALSE)</f>
        <v>한국투자증권 직접투자계좌 외화RP</v>
      </c>
      <c r="E8" s="43">
        <v>1</v>
      </c>
      <c r="F8" s="101">
        <v>5897.5</v>
      </c>
      <c r="G8" s="101">
        <v>5897.5</v>
      </c>
      <c r="H8" s="102">
        <f>표4[[#This Row],[현금지출]]-표4[[#This Row],[매입액]]</f>
        <v>0</v>
      </c>
      <c r="I8" s="98">
        <v>0</v>
      </c>
      <c r="J8" s="101">
        <v>0</v>
      </c>
      <c r="K8" s="101">
        <v>0</v>
      </c>
      <c r="L8" s="101">
        <v>0</v>
      </c>
      <c r="M8" s="101">
        <v>0</v>
      </c>
      <c r="N8" s="101">
        <f>표4[[#This Row],[매도액]]-표4[[#This Row],[매도원금]]</f>
        <v>0</v>
      </c>
      <c r="O8" s="101">
        <f>표4[[#This Row],[매도액]]+표4[[#This Row],[이자배당액]]-표4[[#This Row],[현금수입]]</f>
        <v>0</v>
      </c>
      <c r="P8" s="103">
        <f>표4[[#This Row],[매매수익]]+표4[[#This Row],[이자배당액]]-표4[[#This Row],[매도비용]]-표4[[#This Row],[매입비용]]</f>
        <v>0</v>
      </c>
      <c r="Q8" s="30">
        <v>0</v>
      </c>
      <c r="R8" s="30">
        <f>표4[[#This Row],[입출금]]+표4[[#This Row],[현금수입]]-표4[[#This Row],[현금지출]]</f>
        <v>-5897.5</v>
      </c>
      <c r="S8">
        <f>SUM($R$2:R8)</f>
        <v>0</v>
      </c>
    </row>
    <row r="9" spans="1:19" x14ac:dyDescent="0.3">
      <c r="A9" s="121">
        <v>45342</v>
      </c>
      <c r="B9" s="97" t="s">
        <v>89</v>
      </c>
      <c r="C9" s="115" t="str">
        <f>VLOOKUP(표4[[#This Row],[종목코드]],표3[],2,FALSE)</f>
        <v>한투외화RP</v>
      </c>
      <c r="D9" s="116" t="str">
        <f>VLOOKUP(표4[[#This Row],[종목코드]],표3[],4,FALSE)</f>
        <v>한국투자증권 직접투자계좌 외화RP</v>
      </c>
      <c r="E9" s="43">
        <v>0</v>
      </c>
      <c r="F9" s="117">
        <v>0</v>
      </c>
      <c r="G9" s="118">
        <v>0</v>
      </c>
      <c r="H9" s="118">
        <f>표4[[#This Row],[현금지출]]-표4[[#This Row],[매입액]]</f>
        <v>0</v>
      </c>
      <c r="I9" s="98">
        <v>1</v>
      </c>
      <c r="J9" s="117">
        <v>5897.5</v>
      </c>
      <c r="K9" s="117">
        <v>5898.02</v>
      </c>
      <c r="L9" s="117">
        <v>0</v>
      </c>
      <c r="M9" s="117">
        <v>5897.95</v>
      </c>
      <c r="N9" s="117">
        <f>표4[[#This Row],[매도액]]-표4[[#This Row],[매도원금]]</f>
        <v>0.52000000000043656</v>
      </c>
      <c r="O9" s="117">
        <f>표4[[#This Row],[매도액]]+표4[[#This Row],[이자배당액]]-표4[[#This Row],[현금수입]]</f>
        <v>7.0000000000618456E-2</v>
      </c>
      <c r="P9" s="120">
        <f>표4[[#This Row],[매매수익]]+표4[[#This Row],[이자배당액]]-표4[[#This Row],[매도비용]]-표4[[#This Row],[매입비용]]</f>
        <v>0.4499999999998181</v>
      </c>
      <c r="Q9" s="30">
        <v>0</v>
      </c>
      <c r="R9" s="30">
        <f>표4[[#This Row],[입출금]]+표4[[#This Row],[현금수입]]-표4[[#This Row],[현금지출]]</f>
        <v>5897.95</v>
      </c>
      <c r="S9">
        <f>SUM($R$2:R9)</f>
        <v>5897.95</v>
      </c>
    </row>
    <row r="10" spans="1:19" x14ac:dyDescent="0.3">
      <c r="A10" s="113">
        <v>45345</v>
      </c>
      <c r="B10" s="97" t="s">
        <v>448</v>
      </c>
      <c r="C10" s="115" t="str">
        <f>VLOOKUP(표4[[#This Row],[종목코드]],표3[],2,FALSE)</f>
        <v>미국인프라</v>
      </c>
      <c r="D10" s="116" t="str">
        <f>VLOOKUP(표4[[#This Row],[종목코드]],표3[],4,FALSE)</f>
        <v>GLOBAL X US INFRASTRUCTURE DEVELOPMENT ETF</v>
      </c>
      <c r="E10" s="43">
        <v>89</v>
      </c>
      <c r="F10" s="117">
        <v>3220.02</v>
      </c>
      <c r="G10" s="118">
        <v>3228.06</v>
      </c>
      <c r="H10" s="118">
        <f>표4[[#This Row],[현금지출]]-표4[[#This Row],[매입액]]</f>
        <v>8.0399999999999636</v>
      </c>
      <c r="I10" s="98">
        <v>0</v>
      </c>
      <c r="J10" s="117">
        <v>0</v>
      </c>
      <c r="K10" s="117">
        <v>0</v>
      </c>
      <c r="L10" s="117">
        <v>0</v>
      </c>
      <c r="M10" s="117">
        <v>0</v>
      </c>
      <c r="N10" s="117">
        <f>표4[[#This Row],[매도액]]-표4[[#This Row],[매도원금]]</f>
        <v>0</v>
      </c>
      <c r="O10" s="117">
        <f>표4[[#This Row],[매도액]]+표4[[#This Row],[이자배당액]]-표4[[#This Row],[현금수입]]</f>
        <v>0</v>
      </c>
      <c r="P10" s="120">
        <f>표4[[#This Row],[매매수익]]+표4[[#This Row],[이자배당액]]-표4[[#This Row],[매도비용]]-표4[[#This Row],[매입비용]]</f>
        <v>-8.0399999999999636</v>
      </c>
      <c r="Q10" s="30">
        <v>0</v>
      </c>
      <c r="R10" s="30">
        <f>표4[[#This Row],[입출금]]+표4[[#This Row],[현금수입]]-표4[[#This Row],[현금지출]]</f>
        <v>-3228.06</v>
      </c>
      <c r="S10">
        <f>SUM($R$2:R10)</f>
        <v>2669.89</v>
      </c>
    </row>
    <row r="11" spans="1:19" x14ac:dyDescent="0.3">
      <c r="A11" s="113">
        <v>45345</v>
      </c>
      <c r="B11" s="114" t="s">
        <v>449</v>
      </c>
      <c r="C11" s="104" t="str">
        <f>VLOOKUP(표4[[#This Row],[종목코드]],표3[],2,FALSE)</f>
        <v>미국부동산</v>
      </c>
      <c r="D11" s="105" t="str">
        <f>VLOOKUP(표4[[#This Row],[종목코드]],표3[],4,FALSE)</f>
        <v>VANGUARD REAL ESTATE ETF</v>
      </c>
      <c r="E11" s="43">
        <v>31</v>
      </c>
      <c r="F11" s="101">
        <v>2607.7200000000003</v>
      </c>
      <c r="G11" s="102">
        <v>2614.2300000000005</v>
      </c>
      <c r="H11" s="102">
        <f>표4[[#This Row],[현금지출]]-표4[[#This Row],[매입액]]</f>
        <v>6.5100000000002183</v>
      </c>
      <c r="I11" s="119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f>표4[[#This Row],[매도액]]-표4[[#This Row],[매도원금]]</f>
        <v>0</v>
      </c>
      <c r="O11" s="101">
        <f>표4[[#This Row],[매도액]]+표4[[#This Row],[이자배당액]]-표4[[#This Row],[현금수입]]</f>
        <v>0</v>
      </c>
      <c r="P11" s="103">
        <f>표4[[#This Row],[매매수익]]+표4[[#This Row],[이자배당액]]-표4[[#This Row],[매도비용]]-표4[[#This Row],[매입비용]]</f>
        <v>-6.5100000000002183</v>
      </c>
      <c r="Q11" s="30">
        <v>0</v>
      </c>
      <c r="R11" s="30">
        <f>표4[[#This Row],[입출금]]+표4[[#This Row],[현금수입]]-표4[[#This Row],[현금지출]]</f>
        <v>-2614.2300000000005</v>
      </c>
      <c r="S11">
        <f>SUM($R$2:R11)</f>
        <v>55.6599999999994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자산정보</vt:lpstr>
      <vt:lpstr>연금종목정보</vt:lpstr>
      <vt:lpstr>농협IRP</vt:lpstr>
      <vt:lpstr>농협IRP (2)</vt:lpstr>
      <vt:lpstr>삼성DC</vt:lpstr>
      <vt:lpstr>엔투저축연금</vt:lpstr>
      <vt:lpstr>삼성DC (2)</vt:lpstr>
      <vt:lpstr>불리오달러</vt:lpstr>
      <vt:lpstr>한투달러</vt:lpstr>
      <vt:lpstr>한투엔화</vt:lpstr>
      <vt:lpstr>외화자산평가</vt:lpstr>
      <vt:lpstr>한투원화</vt:lpstr>
      <vt:lpstr>한투ISA</vt:lpstr>
      <vt:lpstr>별도원화</vt:lpstr>
      <vt:lpstr>한투CMA</vt:lpstr>
      <vt:lpstr>나무원화</vt:lpstr>
      <vt:lpstr>현금흐름</vt:lpstr>
      <vt:lpstr>급여및지출</vt:lpstr>
      <vt:lpstr>각종정보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최희명</dc:creator>
  <cp:lastModifiedBy>최희명</cp:lastModifiedBy>
  <dcterms:created xsi:type="dcterms:W3CDTF">2023-07-30T03:48:56Z</dcterms:created>
  <dcterms:modified xsi:type="dcterms:W3CDTF">2024-02-28T15:07:33Z</dcterms:modified>
</cp:coreProperties>
</file>