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1"/>
  </bookViews>
  <sheets>
    <sheet name="자산정보" sheetId="2" r:id="rId1"/>
    <sheet name="연금종목정보" sheetId="15" r:id="rId2"/>
    <sheet name="농협IRP" sheetId="18" r:id="rId3"/>
    <sheet name="삼성DC" sheetId="17" r:id="rId4"/>
    <sheet name="엔투저축연금" sheetId="16" r:id="rId5"/>
    <sheet name="농협IRP (2)" sheetId="19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6" l="1"/>
  <c r="H3" i="16"/>
  <c r="H4" i="16"/>
  <c r="H5" i="16"/>
  <c r="H6" i="16"/>
  <c r="H7" i="16"/>
  <c r="H8" i="16"/>
  <c r="H9" i="16"/>
  <c r="H10" i="16"/>
  <c r="H11" i="16"/>
  <c r="H12" i="16"/>
  <c r="H13" i="16"/>
  <c r="C13" i="16"/>
  <c r="D13" i="16"/>
  <c r="S13" i="16"/>
  <c r="S2" i="16"/>
  <c r="S3" i="16"/>
  <c r="S4" i="16"/>
  <c r="S5" i="16"/>
  <c r="S6" i="16"/>
  <c r="S7" i="16"/>
  <c r="C12" i="16"/>
  <c r="D12" i="16"/>
  <c r="S12" i="16"/>
  <c r="C11" i="16"/>
  <c r="D11" i="16"/>
  <c r="S11" i="16"/>
  <c r="C10" i="16"/>
  <c r="D10" i="16"/>
  <c r="S10" i="16"/>
  <c r="C9" i="16"/>
  <c r="D9" i="16"/>
  <c r="S9" i="16"/>
  <c r="C8" i="16"/>
  <c r="D8" i="16"/>
  <c r="S8" i="16"/>
  <c r="C7" i="16"/>
  <c r="D7" i="16"/>
  <c r="C6" i="16"/>
  <c r="D6" i="16"/>
  <c r="C5" i="16"/>
  <c r="D5" i="16"/>
  <c r="C4" i="16"/>
  <c r="D4" i="16"/>
  <c r="C3" i="16"/>
  <c r="D3" i="16"/>
  <c r="C6" i="4" l="1"/>
  <c r="D6" i="4"/>
  <c r="H6" i="4"/>
  <c r="P6" i="4" s="1"/>
  <c r="N6" i="4"/>
  <c r="O6" i="4"/>
  <c r="R6" i="4"/>
  <c r="C42" i="2" l="1"/>
  <c r="C29" i="11"/>
  <c r="D29" i="11"/>
  <c r="H29" i="11"/>
  <c r="N29" i="11"/>
  <c r="P29" i="11" s="1"/>
  <c r="O29" i="11"/>
  <c r="R29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28" i="11" l="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2" i="11"/>
  <c r="R31" i="11"/>
  <c r="C32" i="11"/>
  <c r="D32" i="11"/>
  <c r="N32" i="11"/>
  <c r="O32" i="11"/>
  <c r="R32" i="11"/>
  <c r="C31" i="11"/>
  <c r="D31" i="11"/>
  <c r="N31" i="11"/>
  <c r="O31" i="11"/>
  <c r="C30" i="11"/>
  <c r="D30" i="11"/>
  <c r="H30" i="11"/>
  <c r="N30" i="11"/>
  <c r="O30" i="11"/>
  <c r="R30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2" i="11"/>
  <c r="H31" i="11"/>
  <c r="P31" i="11" s="1"/>
  <c r="P30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5" i="18"/>
  <c r="R2" i="18"/>
  <c r="R3" i="18"/>
  <c r="R4" i="18"/>
  <c r="R5" i="18"/>
  <c r="O2" i="18"/>
  <c r="O3" i="18"/>
  <c r="O4" i="18"/>
  <c r="O5" i="18"/>
  <c r="N2" i="18"/>
  <c r="N3" i="18"/>
  <c r="N4" i="18"/>
  <c r="N5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P2" i="18" l="1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5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5" i="18"/>
  <c r="C2" i="16"/>
  <c r="B36" i="19" l="1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5" i="18"/>
  <c r="C3" i="17"/>
  <c r="C4" i="17"/>
  <c r="C5" i="17"/>
  <c r="C6" i="17"/>
  <c r="C7" i="17"/>
  <c r="C8" i="17"/>
  <c r="C9" i="17"/>
  <c r="C10" i="17"/>
  <c r="C11" i="17"/>
  <c r="C12" i="17"/>
  <c r="C2" i="17"/>
  <c r="S4" i="18" l="1"/>
  <c r="S3" i="18"/>
  <c r="S5" i="18"/>
  <c r="S2" i="18"/>
  <c r="C5" i="12" l="1"/>
  <c r="D5" i="12"/>
  <c r="H5" i="12"/>
  <c r="N5" i="12"/>
  <c r="O5" i="12"/>
  <c r="P5" i="12" s="1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R13" i="11" l="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29" i="11" l="1"/>
  <c r="S28" i="11"/>
  <c r="S21" i="11"/>
  <c r="S26" i="11"/>
  <c r="S22" i="11"/>
  <c r="S30" i="11"/>
  <c r="S23" i="11"/>
  <c r="S31" i="11"/>
  <c r="S24" i="11"/>
  <c r="S32" i="11"/>
  <c r="S25" i="11"/>
  <c r="S27" i="11"/>
  <c r="S2" i="6"/>
  <c r="S3" i="6"/>
  <c r="S4" i="6"/>
  <c r="S6" i="11"/>
  <c r="S12" i="11"/>
  <c r="S18" i="11"/>
  <c r="S7" i="11"/>
  <c r="S13" i="11"/>
  <c r="S19" i="11"/>
  <c r="S8" i="11"/>
  <c r="S14" i="11"/>
  <c r="S4" i="11"/>
  <c r="S10" i="11"/>
  <c r="S16" i="11"/>
  <c r="S5" i="11"/>
  <c r="S11" i="11"/>
  <c r="S17" i="11"/>
  <c r="S2" i="11"/>
  <c r="S20" i="11"/>
  <c r="S3" i="11"/>
  <c r="S9" i="11"/>
  <c r="S15" i="11"/>
  <c r="S3" i="12"/>
  <c r="S4" i="12"/>
  <c r="S5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6" i="4" l="1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37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F3" i="13" l="1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P2" i="3"/>
  <c r="S2" i="10"/>
</calcChain>
</file>

<file path=xl/sharedStrings.xml><?xml version="1.0" encoding="utf-8"?>
<sst xmlns="http://schemas.openxmlformats.org/spreadsheetml/2006/main" count="1476" uniqueCount="507">
  <si>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</si>
  <si>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</si>
  <si>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</si>
  <si>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</si>
  <si>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</si>
  <si>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</si>
  <si>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</si>
  <si>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</si>
  <si>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</si>
  <si>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</si>
  <si>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</si>
  <si>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</si>
  <si>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</si>
  <si>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</si>
  <si>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</si>
  <si>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</si>
  <si>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</si>
  <si>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</si>
  <si>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</si>
  <si>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</si>
  <si>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</si>
  <si>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</si>
  <si>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</si>
  <si>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</si>
  <si>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</si>
  <si>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</si>
  <si>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</si>
  <si>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</si>
  <si>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</si>
  <si>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</si>
  <si>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</si>
  <si>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</si>
  <si>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</si>
  <si>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</si>
  <si>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</si>
  <si>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</si>
  <si>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</si>
  <si>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</si>
  <si>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</si>
  <si>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</si>
  <si>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</si>
  <si>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</si>
  <si>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</si>
  <si>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</si>
  <si>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</si>
  <si>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</si>
  <si>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</si>
  <si>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</si>
  <si>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</si>
  <si>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</si>
  <si>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</si>
  <si>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</si>
  <si>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</si>
  <si>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</si>
  <si>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</si>
  <si>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</si>
  <si>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</si>
  <si>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</si>
  <si>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</si>
  <si>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</si>
  <si>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</si>
  <si>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</si>
  <si>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</si>
  <si>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</si>
  <si>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</si>
  <si>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</si>
  <si>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</si>
  <si>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</si>
  <si>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</si>
  <si>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</si>
  <si>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</si>
  <si>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</si>
  <si>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</si>
  <si>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</si>
  <si>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</si>
  <si>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</si>
  <si>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</si>
  <si>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</si>
  <si>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</si>
  <si>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</si>
  <si>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</si>
  <si>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</si>
  <si>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</si>
  <si>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</si>
  <si>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</si>
  <si>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</si>
  <si>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</si>
  <si>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</si>
  <si>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</si>
  <si>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</si>
  <si>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</si>
  <si>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</si>
  <si>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</si>
  <si>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</si>
  <si>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</si>
  <si>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</si>
  <si>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</si>
  <si>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</si>
  <si>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</si>
  <si>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</si>
  <si>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</si>
  <si>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</si>
  <si>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</si>
  <si>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</si>
  <si>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</si>
  <si>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</si>
  <si>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</si>
  <si>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</si>
  <si>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</si>
  <si>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</si>
  <si>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</si>
  <si>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</si>
  <si>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</si>
  <si>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</si>
  <si>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</si>
  <si>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</si>
  <si>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</si>
  <si>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</si>
  <si>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</si>
  <si>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</si>
  <si>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</si>
  <si>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</si>
  <si>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</si>
  <si>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</si>
  <si>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</si>
  <si>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</si>
  <si>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</si>
  <si>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</si>
  <si>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</si>
  <si>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</si>
  <si>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</si>
  <si>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</si>
  <si>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</si>
  <si>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</si>
  <si>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</si>
  <si>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</si>
  <si>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</si>
  <si>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</si>
  <si>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</si>
  <si>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</si>
  <si>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</si>
  <si>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</si>
  <si>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</si>
  <si>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</si>
  <si>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</si>
  <si>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</si>
  <si>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</si>
  <si>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</si>
  <si>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</si>
  <si>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</si>
  <si>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</si>
  <si>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</si>
  <si>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</si>
  <si>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</si>
  <si>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</si>
  <si>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</si>
  <si>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</si>
  <si>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</si>
  <si>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</si>
  <si>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</si>
  <si>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</si>
  <si>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</si>
  <si>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</si>
  <si>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</si>
  <si>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</si>
  <si>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</si>
  <si>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</si>
  <si>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</si>
  <si>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</si>
  <si>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</si>
  <si>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</si>
  <si>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</si>
  <si>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</si>
  <si>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</si>
  <si>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</si>
  <si>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</si>
  <si>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</si>
  <si>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</si>
  <si>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</si>
  <si>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</si>
  <si>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</si>
  <si>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</si>
  <si>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</si>
  <si>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</si>
  <si>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</si>
  <si>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</si>
  <si>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</si>
  <si>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</si>
  <si>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</si>
  <si>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</si>
  <si>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</si>
  <si>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</si>
  <si>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</si>
  <si>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</si>
  <si>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</si>
  <si>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</si>
  <si>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</si>
  <si>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</si>
  <si>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</si>
  <si>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</si>
  <si>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</si>
  <si>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</si>
  <si>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</si>
  <si>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</si>
  <si>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</si>
  <si>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</si>
  <si>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</si>
  <si>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</si>
  <si>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</si>
  <si>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</si>
  <si>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</si>
  <si>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</si>
  <si>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</si>
  <si>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</si>
  <si>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</si>
  <si>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</si>
  <si>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</si>
  <si>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</si>
  <si>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</si>
  <si>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</si>
  <si>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</si>
  <si>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</si>
  <si>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</si>
  <si>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</si>
  <si>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</si>
  <si>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</si>
  <si>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</si>
  <si>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</si>
  <si>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</si>
  <si>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</si>
  <si>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</si>
  <si>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</si>
  <si>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</si>
  <si>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</si>
  <si>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</si>
  <si>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</si>
  <si>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</si>
  <si>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</si>
  <si>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</si>
  <si>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</si>
  <si>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</si>
  <si>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</si>
  <si>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</si>
  <si>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</si>
  <si>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</si>
  <si>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</si>
  <si>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</si>
  <si>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</si>
  <si>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</si>
  <si>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</si>
  <si>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</si>
  <si>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</si>
  <si>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</si>
  <si>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</si>
  <si>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</si>
  <si>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</si>
  <si>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</si>
  <si>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</si>
  <si>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</si>
  <si>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</si>
  <si>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</si>
  <si>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</si>
  <si>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</si>
  <si>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</si>
  <si>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</si>
  <si>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</si>
  <si>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</si>
  <si>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</si>
  <si>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</si>
  <si>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</si>
  <si>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</si>
  <si>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</si>
  <si>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</si>
  <si>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</si>
  <si>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</si>
  <si>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</si>
  <si>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</si>
  <si>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</si>
  <si>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</si>
  <si>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</si>
  <si>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</si>
  <si>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</si>
  <si>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</si>
  <si>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</si>
  <si>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</si>
  <si>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</si>
  <si>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</si>
  <si>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</si>
  <si>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</si>
  <si>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</si>
  <si>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</si>
  <si>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</si>
  <si>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</si>
  <si>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</si>
  <si>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</si>
  <si>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</si>
  <si>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</si>
  <si>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</si>
  <si>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</si>
  <si>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</si>
  <si>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</si>
  <si>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</si>
  <si>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</si>
  <si>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</si>
  <si>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</si>
  <si>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</si>
  <si>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</si>
  <si>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</si>
  <si>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</si>
  <si>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</si>
  <si>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</si>
  <si>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</si>
  <si>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</si>
  <si>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</si>
  <si>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</si>
  <si>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</si>
  <si>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</si>
  <si>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</si>
  <si>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</si>
  <si>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</si>
  <si>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</si>
  <si>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</si>
  <si>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</si>
  <si>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</si>
  <si>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</si>
  <si>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</si>
  <si>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</si>
  <si>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</si>
  <si>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</si>
  <si>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</si>
  <si>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</si>
  <si>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</si>
  <si>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</si>
  <si>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</si>
  <si>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</si>
  <si>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삼성 KODEX 코스피증권상장지수투자신탁(주식)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</si>
  <si>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</si>
  <si>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</si>
  <si>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</si>
  <si>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</si>
  <si>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</si>
  <si>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</si>
  <si>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</si>
  <si>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</si>
  <si>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</si>
  <si>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</si>
  <si>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</si>
  <si>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</si>
  <si>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</si>
  <si>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</si>
  <si>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</si>
  <si>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</si>
  <si>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</si>
  <si>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</si>
  <si>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</si>
  <si>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</si>
  <si>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</si>
  <si>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</si>
  <si>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</si>
  <si>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</si>
  <si>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</si>
  <si>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</si>
  <si>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</si>
  <si>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</si>
  <si>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</si>
  <si>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</si>
  <si>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</si>
  <si>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</si>
  <si>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</si>
  <si>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</si>
  <si>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</si>
  <si>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</si>
  <si>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</si>
  <si>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</si>
  <si>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</si>
  <si>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</si>
  <si>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</si>
  <si>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</si>
  <si>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</si>
  <si>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</si>
  <si>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</si>
  <si>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</si>
  <si>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</si>
  <si>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</si>
  <si>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</si>
  <si>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</si>
  <si>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</si>
  <si>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</si>
  <si>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</si>
  <si>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</si>
  <si>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</si>
  <si>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</si>
  <si>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</si>
  <si>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</si>
  <si>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</si>
  <si>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</si>
  <si>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</si>
  <si>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</si>
  <si>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</si>
  <si>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</si>
  <si>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</si>
  <si>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</si>
  <si>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</si>
  <si>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</si>
  <si>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</si>
  <si>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</si>
  <si>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</si>
  <si>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</si>
  <si>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</si>
  <si>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</si>
  <si>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</si>
  <si>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</si>
  <si>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</si>
  <si>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</si>
  <si>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</si>
  <si>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</si>
  <si>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</si>
  <si>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</si>
  <si>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</si>
  <si>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</si>
  <si>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</si>
  <si>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</si>
  <si>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</si>
  <si>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</si>
  <si>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</si>
  <si>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</si>
  <si>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</si>
  <si>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</si>
  <si>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</si>
  <si>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</si>
  <si>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</si>
  <si>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</si>
  <si>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</si>
  <si>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</si>
  <si>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</si>
  <si>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</si>
  <si>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</si>
  <si>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</si>
  <si>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</si>
  <si>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</si>
  <si>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</si>
  <si>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</si>
  <si>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</si>
  <si>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</si>
  <si>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</si>
  <si>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</si>
  <si>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</si>
  <si>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</si>
  <si>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</si>
  <si>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</si>
  <si>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</si>
  <si>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</si>
  <si>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</si>
  <si>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</si>
  <si>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</si>
  <si>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</si>
  <si>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</si>
  <si>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</si>
  <si>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</si>
  <si>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</si>
  <si>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</si>
  <si>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KODEX 국고채3년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</si>
  <si>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</si>
  <si>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</si>
  <si>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</si>
  <si>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</si>
  <si>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</si>
  <si>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</si>
  <si>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</si>
  <si>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</si>
  <si>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</si>
  <si>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</si>
  <si>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</si>
  <si>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</si>
  <si>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</si>
  <si>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</si>
  <si>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</si>
  <si>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</si>
  <si>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</si>
  <si>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</si>
  <si>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</si>
  <si>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</si>
  <si>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</si>
  <si>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</si>
  <si>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</si>
  <si>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</si>
  <si>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중기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</si>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</sst>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2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49">
    <dxf>
      <numFmt numFmtId="0" formatCode="General"/>
    </dxf>
    <dxf>
      <numFmt numFmtId="30" formatCode="@"/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4" totalsRowShown="0">
  <autoFilter ref="A1:J64"/>
  <tableColumns count="10">
    <tableColumn id="8" name="종목코드" dataDxfId="248"/>
    <tableColumn id="9" name="종목명" dataDxfId="247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32" totalsRowShown="0" headerRowDxfId="84" headerRowCellStyle="쉼표 [0]">
  <autoFilter ref="A1:S32"/>
  <tableColumns count="19">
    <tableColumn id="1" name="거래일자" dataDxfId="83"/>
    <tableColumn id="5" name="종목코드" dataDxfId="82"/>
    <tableColumn id="9" name="종목명" dataDxfId="81">
      <calculatedColumnFormula>VLOOKUP(CMA_한투183611[[#This Row],[종목코드]],표3[],2,FALSE)</calculatedColumnFormula>
    </tableColumn>
    <tableColumn id="10" name="상품명" dataDxfId="80">
      <calculatedColumnFormula>VLOOKUP(CMA_한투183611[[#This Row],[종목코드]],표3[],4,FALSE)</calculatedColumnFormula>
    </tableColumn>
    <tableColumn id="6" name="매입수량" dataDxfId="79"/>
    <tableColumn id="2" name="매입액" dataDxfId="78" dataCellStyle="쉼표 [0]"/>
    <tableColumn id="12" name="현금지출" dataDxfId="77" dataCellStyle="쉼표 [0]"/>
    <tableColumn id="16" name="매입비용" dataDxfId="76">
      <calculatedColumnFormula>CMA_한투183611[[#This Row],[현금지출]]-CMA_한투183611[[#This Row],[매입액]]</calculatedColumnFormula>
    </tableColumn>
    <tableColumn id="7" name="매도수량" dataDxfId="75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4">
      <calculatedColumnFormula>CMA_한투183611[[#This Row],[입출금]]+CMA_한투183611[[#This Row],[현금수입]]-CMA_한투183611[[#This Row],[현금지출]]</calculatedColumnFormula>
    </tableColumn>
    <tableColumn id="22" name="누적" dataDxfId="73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5" totalsRowShown="0" headerRowDxfId="72" headerRowCellStyle="쉼표 [0]">
  <autoFilter ref="A1:S5"/>
  <tableColumns count="19">
    <tableColumn id="1" name="거래일자" dataDxfId="71"/>
    <tableColumn id="5" name="종목코드" dataDxfId="70"/>
    <tableColumn id="9" name="종목명" dataDxfId="69">
      <calculatedColumnFormula>VLOOKUP(CMA_한투18361112[[#This Row],[종목코드]],표3[],2,FALSE)</calculatedColumnFormula>
    </tableColumn>
    <tableColumn id="10" name="상품명" dataDxfId="68">
      <calculatedColumnFormula>VLOOKUP(CMA_한투18361112[[#This Row],[종목코드]],표3[],4,FALSE)</calculatedColumnFormula>
    </tableColumn>
    <tableColumn id="6" name="매입수량" dataDxfId="67"/>
    <tableColumn id="2" name="매입액"/>
    <tableColumn id="12" name="현금지출"/>
    <tableColumn id="16" name="매입비용" dataDxfId="66">
      <calculatedColumnFormula>CMA_한투18361112[[#This Row],[현금지출]]-CMA_한투18361112[[#This Row],[매입액]]</calculatedColumnFormula>
    </tableColumn>
    <tableColumn id="7" name="매도수량" dataDxfId="65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4">
      <calculatedColumnFormula>CMA_한투18361112[[#This Row],[입출금]]+CMA_한투18361112[[#This Row],[현금수입]]-CMA_한투18361112[[#This Row],[현금지출]]</calculatedColumnFormula>
    </tableColumn>
    <tableColumn id="22" name="누적" dataDxfId="63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2" dataDxfId="61" headerRowCellStyle="쉼표 [0]" dataCellStyle="쉼표 [0]">
  <autoFilter ref="A1:S2"/>
  <tableColumns count="19">
    <tableColumn id="1" name="거래일자" dataDxfId="60"/>
    <tableColumn id="5" name="종목코드" dataDxfId="59"/>
    <tableColumn id="9" name="종목명" dataDxfId="58">
      <calculatedColumnFormula>VLOOKUP(CMA_한투183[[#This Row],[종목코드]],표3[],2,FALSE)</calculatedColumnFormula>
    </tableColumn>
    <tableColumn id="10" name="상품명" dataDxfId="57">
      <calculatedColumnFormula>VLOOKUP(CMA_한투183[[#This Row],[종목코드]],표3[],4,FALSE)</calculatedColumnFormula>
    </tableColumn>
    <tableColumn id="6" name="매입수량" dataDxfId="56"/>
    <tableColumn id="2" name="매입액" dataDxfId="55" dataCellStyle="쉼표 [0]"/>
    <tableColumn id="12" name="현금지출" dataDxfId="54" dataCellStyle="쉼표 [0]"/>
    <tableColumn id="16" name="매입비용" dataDxfId="53" dataCellStyle="쉼표 [0]">
      <calculatedColumnFormula>CMA_한투183[[#This Row],[현금지출]]-CMA_한투183[[#This Row],[매입액]]</calculatedColumnFormula>
    </tableColumn>
    <tableColumn id="7" name="매도수량" dataDxfId="52" dataCellStyle="쉼표 [0]"/>
    <tableColumn id="3" name="매도원금" dataDxfId="51" dataCellStyle="쉼표 [0]"/>
    <tableColumn id="15" name="매도액" dataDxfId="50" dataCellStyle="쉼표 [0]"/>
    <tableColumn id="14" name="이자배당액" dataDxfId="49" dataCellStyle="쉼표 [0]"/>
    <tableColumn id="13" name="현금수입" dataDxfId="48" dataCellStyle="쉼표 [0]"/>
    <tableColumn id="17" name="매매수익" dataDxfId="47" dataCellStyle="쉼표 [0]">
      <calculatedColumnFormula>CMA_한투183[[#This Row],[매도액]]-CMA_한투183[[#This Row],[매도원금]]</calculatedColumnFormula>
    </tableColumn>
    <tableColumn id="18" name="매도비용" dataDxfId="46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45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44" dataCellStyle="쉼표 [0]"/>
    <tableColumn id="21" name="순현금수입" dataDxfId="43" dataCellStyle="쉼표 [0]">
      <calculatedColumnFormula>CMA_한투183[[#This Row],[입출금]]+CMA_한투183[[#This Row],[현금수입]]-CMA_한투183[[#This Row],[현금지출]]</calculatedColumnFormula>
    </tableColumn>
    <tableColumn id="22" name="누적" dataDxfId="42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41" headerRowCellStyle="쉼표 [0]">
  <autoFilter ref="A1:S2"/>
  <tableColumns count="19">
    <tableColumn id="1" name="거래일자" dataDxfId="40"/>
    <tableColumn id="5" name="종목코드" dataDxfId="39"/>
    <tableColumn id="9" name="종목명" dataDxfId="38">
      <calculatedColumnFormula>VLOOKUP(CMA_한투1836[[#This Row],[종목코드]],표3[],2,FALSE)</calculatedColumnFormula>
    </tableColumn>
    <tableColumn id="10" name="상품명" dataDxfId="37">
      <calculatedColumnFormula>VLOOKUP(CMA_한투1836[[#This Row],[종목코드]],표3[],4,FALSE)</calculatedColumnFormula>
    </tableColumn>
    <tableColumn id="6" name="매입수량" dataDxfId="36"/>
    <tableColumn id="2" name="매입액"/>
    <tableColumn id="12" name="현금지출"/>
    <tableColumn id="16" name="매입비용" dataDxfId="35">
      <calculatedColumnFormula>CMA_한투1836[[#This Row],[현금지출]]-CMA_한투1836[[#This Row],[매입액]]</calculatedColumnFormula>
    </tableColumn>
    <tableColumn id="7" name="매도수량" dataDxfId="34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3">
      <calculatedColumnFormula>CMA_한투1836[[#This Row],[입출금]]+CMA_한투1836[[#This Row],[현금수입]]-CMA_한투1836[[#This Row],[현금지출]]</calculatedColumnFormula>
    </tableColumn>
    <tableColumn id="22" name="누적" dataDxfId="3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31" dataDxfId="30" headerRowCellStyle="쉼표 [0]" dataCellStyle="쉼표 [0]">
  <autoFilter ref="A1:S2"/>
  <tableColumns count="19">
    <tableColumn id="1" name="거래일자" dataDxfId="29"/>
    <tableColumn id="5" name="종목코드" dataDxfId="28"/>
    <tableColumn id="9" name="종목명" dataDxfId="27">
      <calculatedColumnFormula>VLOOKUP(CMA_한투1838[[#This Row],[종목코드]],표3[],2,FALSE)</calculatedColumnFormula>
    </tableColumn>
    <tableColumn id="10" name="상품명" dataDxfId="26">
      <calculatedColumnFormula>VLOOKUP(CMA_한투1838[[#This Row],[종목코드]],표3[],4,FALSE)</calculatedColumnFormula>
    </tableColumn>
    <tableColumn id="6" name="매입수량" dataDxfId="25"/>
    <tableColumn id="2" name="매입액" dataDxfId="24" dataCellStyle="쉼표 [0]"/>
    <tableColumn id="12" name="현금지출" dataDxfId="23" dataCellStyle="쉼표 [0]"/>
    <tableColumn id="16" name="매입비용" dataDxfId="22" dataCellStyle="쉼표 [0]">
      <calculatedColumnFormula>CMA_한투1838[[#This Row],[현금지출]]-CMA_한투1838[[#This Row],[매입액]]</calculatedColumnFormula>
    </tableColumn>
    <tableColumn id="7" name="매도수량" dataDxfId="21" dataCellStyle="쉼표 [0]"/>
    <tableColumn id="3" name="매도원금" dataDxfId="20" dataCellStyle="쉼표 [0]"/>
    <tableColumn id="15" name="매도액" dataDxfId="19" dataCellStyle="쉼표 [0]"/>
    <tableColumn id="14" name="이자배당액" dataDxfId="18" dataCellStyle="쉼표 [0]"/>
    <tableColumn id="13" name="현금수입" dataDxfId="17" dataCellStyle="쉼표 [0]"/>
    <tableColumn id="17" name="매매수익" dataDxfId="16" dataCellStyle="쉼표 [0]">
      <calculatedColumnFormula>CMA_한투1838[[#This Row],[매도액]]-CMA_한투1838[[#This Row],[매도원금]]</calculatedColumnFormula>
    </tableColumn>
    <tableColumn id="18" name="매도비용" dataDxfId="15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4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3" dataCellStyle="쉼표 [0]"/>
    <tableColumn id="21" name="순현금수입" dataDxfId="12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1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10">
  <autoFilter ref="A1:F340"/>
  <tableColumns count="6">
    <tableColumn id="1" name="거래일자" dataDxfId="9"/>
    <tableColumn id="4" name="원화자금유입" dataDxfId="8"/>
    <tableColumn id="2" name="원화투자회수" dataDxfId="7" dataCellStyle="쉼표 [0]"/>
    <tableColumn id="6" name="원화투자지출" dataDxfId="6" dataCellStyle="쉼표 [0]">
      <calculatedColumnFormula>IF(WEEKDAY(표8[[#This Row],[거래일자]])=4, 2000000,0)</calculatedColumnFormula>
    </tableColumn>
    <tableColumn id="3" name="원화자금유출" dataDxfId="5" dataCellStyle="쉼표 [0]"/>
    <tableColumn id="5" name="달러투자회수" dataDxfId="4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3">
  <autoFilter ref="A1:T57"/>
  <tableColumns count="20">
    <tableColumn id="2" name="종목코드"/>
    <tableColumn id="3" name="거래일자" dataDxfId="2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1"/>
    <tableColumn id="2" name="종목명"/>
    <tableColumn id="8" name="평가금액" dataDxfId="245" dataCellStyle="쉼표 [0]"/>
    <tableColumn id="3" name="상품명"/>
    <tableColumn id="4" name="계좌"/>
    <tableColumn id="11" name="통화"/>
    <tableColumn id="5" name="자산군"/>
    <tableColumn id="6" name="세부자산군"/>
    <tableColumn id="13" name="세부자산군2"/>
    <tableColumn id="12" name="기초평가손익" dataDxfId="244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5" totalsRowShown="0" headerRowDxfId="243" headerRowBorderDxfId="242" tableBorderDxfId="241" totalsRowBorderDxfId="240" headerRowCellStyle="쉼표 [0]">
  <autoFilter ref="A1:S5"/>
  <tableColumns count="19">
    <tableColumn id="1" name="거래일자" dataDxfId="239"/>
    <tableColumn id="2" name="종목코드" dataDxfId="238"/>
    <tableColumn id="3" name="종목명" dataDxfId="237">
      <calculatedColumnFormula>VLOOKUP(농협IRP[[#This Row],[종목코드]],연금종목정보[],2,FALSE)</calculatedColumnFormula>
    </tableColumn>
    <tableColumn id="4" name="상품명" dataDxfId="236">
      <calculatedColumnFormula>VLOOKUP(농협IRP[[#This Row],[종목코드]],연금종목정보[],4,FALSE)</calculatedColumnFormula>
    </tableColumn>
    <tableColumn id="5" name="매입수량" dataDxfId="235" dataCellStyle="쉼표 [0]"/>
    <tableColumn id="6" name="매입액" dataDxfId="234" dataCellStyle="쉼표 [0]"/>
    <tableColumn id="7" name="현금지출" dataDxfId="233" dataCellStyle="쉼표 [0]"/>
    <tableColumn id="8" name="매입비용" dataDxfId="232" dataCellStyle="쉼표 [0]">
      <calculatedColumnFormula>농협IRP[[#This Row],[현금지출]]-농협IRP[[#This Row],[매입액]]</calculatedColumnFormula>
    </tableColumn>
    <tableColumn id="9" name="매도수량" dataDxfId="231" dataCellStyle="쉼표 [0]"/>
    <tableColumn id="10" name="매도원금" dataDxfId="230" dataCellStyle="쉼표 [0]"/>
    <tableColumn id="11" name="매도액" dataDxfId="229" dataCellStyle="쉼표 [0]"/>
    <tableColumn id="12" name="이자배당액" dataDxfId="228" dataCellStyle="쉼표 [0]"/>
    <tableColumn id="13" name="현금수입" dataDxfId="227" dataCellStyle="쉼표 [0]"/>
    <tableColumn id="14" name="매매수익" dataDxfId="226" dataCellStyle="쉼표 [0]">
      <calculatedColumnFormula>농협IRP[[#This Row],[매도액]]-농협IRP[[#This Row],[매도원금]]</calculatedColumnFormula>
    </tableColumn>
    <tableColumn id="15" name="매도비용" dataDxfId="225" dataCellStyle="쉼표 [0]">
      <calculatedColumnFormula>농협IRP[[#This Row],[매도액]]+농협IRP[[#This Row],[이자배당액]]-농협IRP[[#This Row],[현금수입]]</calculatedColumnFormula>
    </tableColumn>
    <tableColumn id="16" name="순수익" dataDxfId="224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3"/>
    <tableColumn id="18" name="순현금수입" dataDxfId="222" dataCellStyle="쉼표 [0]">
      <calculatedColumnFormula>농협IRP[[#This Row],[입출금]]+농협IRP[[#This Row],[현금수입]]-농협IRP[[#This Row],[현금지출]]</calculatedColumnFormula>
    </tableColumn>
    <tableColumn id="19" name="누적" dataDxfId="22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0" headerRowBorderDxfId="219" tableBorderDxfId="218" totalsRowBorderDxfId="217" headerRowCellStyle="쉼표 [0]">
  <autoFilter ref="A1:S12"/>
  <tableColumns count="19">
    <tableColumn id="1" name="거래일자" dataDxfId="216"/>
    <tableColumn id="2" name="종목코드" dataDxfId="215"/>
    <tableColumn id="3" name="종목명" dataDxfId="214">
      <calculatedColumnFormula>VLOOKUP(삼성DC[[#This Row],[종목코드]],연금종목정보[],2,FALSE)</calculatedColumnFormula>
    </tableColumn>
    <tableColumn id="4" name="상품명" dataDxfId="213">
      <calculatedColumnFormula>VLOOKUP(삼성DC[[#This Row],[종목코드]],연금종목정보[],4,FALSE)</calculatedColumnFormula>
    </tableColumn>
    <tableColumn id="5" name="매입수량" dataDxfId="212" dataCellStyle="쉼표 [0]"/>
    <tableColumn id="6" name="매입액" dataDxfId="211" dataCellStyle="쉼표 [0]"/>
    <tableColumn id="7" name="현금지출" dataDxfId="210" dataCellStyle="쉼표 [0]"/>
    <tableColumn id="8" name="매입비용" dataDxfId="209" dataCellStyle="쉼표 [0]">
      <calculatedColumnFormula>삼성DC[[#This Row],[현금지출]]-삼성DC[[#This Row],[매입액]]</calculatedColumnFormula>
    </tableColumn>
    <tableColumn id="9" name="매도수량" dataDxfId="208" dataCellStyle="쉼표 [0]"/>
    <tableColumn id="10" name="매도원금" dataDxfId="207" dataCellStyle="쉼표 [0]"/>
    <tableColumn id="11" name="매도액" dataDxfId="206" dataCellStyle="쉼표 [0]"/>
    <tableColumn id="12" name="이자배당액" dataDxfId="205" dataCellStyle="쉼표 [0]"/>
    <tableColumn id="13" name="현금수입" dataDxfId="204" dataCellStyle="쉼표 [0]"/>
    <tableColumn id="14" name="매매수익" dataDxfId="203" dataCellStyle="쉼표 [0]">
      <calculatedColumnFormula>삼성DC[[#This Row],[매도액]]-삼성DC[[#This Row],[매도원금]]</calculatedColumnFormula>
    </tableColumn>
    <tableColumn id="15" name="매도비용" dataDxfId="202" dataCellStyle="쉼표 [0]">
      <calculatedColumnFormula>삼성DC[[#This Row],[매도액]]+삼성DC[[#This Row],[이자배당액]]-삼성DC[[#This Row],[현금수입]]</calculatedColumnFormula>
    </tableColumn>
    <tableColumn id="16" name="순수익" dataDxfId="201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0"/>
    <tableColumn id="18" name="순현금수입" dataDxfId="199" dataCellStyle="쉼표 [0]">
      <calculatedColumnFormula>삼성DC[[#This Row],[입출금]]+삼성DC[[#This Row],[현금수입]]-삼성DC[[#This Row],[현금지출]]</calculatedColumnFormula>
    </tableColumn>
    <tableColumn id="19" name="누적" dataDxfId="19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3" totalsRowShown="0" headerRowDxfId="197" headerRowBorderDxfId="196" tableBorderDxfId="195" totalsRowBorderDxfId="194" headerRowCellStyle="쉼표 [0]">
  <autoFilter ref="A1:S13"/>
  <tableColumns count="19">
    <tableColumn id="1" name="거래일자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0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/>
    <tableColumn id="15" name="매도비용"/>
    <tableColumn id="16" name="순수익"/>
    <tableColumn id="17" name="입출금"/>
    <tableColumn id="18" name="순현금수입"/>
    <tableColumn id="19" name="누적">
      <calculatedColumnFormula>SUM($R$2:R13)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37" totalsRowShown="0" headerRowDxfId="193" dataDxfId="192" headerRowCellStyle="쉼표 [0]" dataCellStyle="쉼표 [0]">
  <autoFilter ref="A1:S37"/>
  <tableColumns count="19">
    <tableColumn id="1" name="거래일자" dataDxfId="191"/>
    <tableColumn id="4" name="종목코드" dataDxfId="190"/>
    <tableColumn id="9" name="종목명" dataDxfId="189">
      <calculatedColumnFormula>VLOOKUP(불리오[[#This Row],[종목코드]],표3[],2,FALSE)</calculatedColumnFormula>
    </tableColumn>
    <tableColumn id="10" name="상품명" dataDxfId="188">
      <calculatedColumnFormula>VLOOKUP(불리오[[#This Row],[종목코드]],표3[],4,FALSE)</calculatedColumnFormula>
    </tableColumn>
    <tableColumn id="6" name="매입수량" dataDxfId="187"/>
    <tableColumn id="2" name="매입액" dataDxfId="186" dataCellStyle="쉼표 [0]"/>
    <tableColumn id="16" name="현금지출" dataDxfId="185" dataCellStyle="쉼표 [0]"/>
    <tableColumn id="12" name="매입비용" dataDxfId="184" dataCellStyle="쉼표 [0]">
      <calculatedColumnFormula>불리오[[#This Row],[현금지출]]-불리오[[#This Row],[매입액]]</calculatedColumnFormula>
    </tableColumn>
    <tableColumn id="7" name="매도수량" dataDxfId="183" dataCellStyle="쉼표 [0]"/>
    <tableColumn id="3" name="매도원금" dataDxfId="182" dataCellStyle="쉼표 [0]"/>
    <tableColumn id="19" name="매도액" dataDxfId="181" dataCellStyle="쉼표 [0]"/>
    <tableColumn id="14" name="이자배당액" dataDxfId="180" dataCellStyle="쉼표 [0]"/>
    <tableColumn id="17" name="현금수입" dataDxfId="179" dataCellStyle="쉼표 [0]"/>
    <tableColumn id="18" name="매매수익" dataDxfId="178" dataCellStyle="쉼표 [0]">
      <calculatedColumnFormula>불리오[[#This Row],[매도액]]-불리오[[#This Row],[매도원금]]</calculatedColumnFormula>
    </tableColumn>
    <tableColumn id="15" name="매도비용" dataDxfId="177" dataCellStyle="쉼표 [0]">
      <calculatedColumnFormula>불리오[[#This Row],[매도액]]+불리오[[#This Row],[이자배당액]]-불리오[[#This Row],[현금수입]]</calculatedColumnFormula>
    </tableColumn>
    <tableColumn id="13" name="순수익" dataDxfId="176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5" dataCellStyle="쉼표 [0]"/>
    <tableColumn id="22" name="순현금수입" dataDxfId="174" dataCellStyle="쉼표 [0]">
      <calculatedColumnFormula>불리오[[#This Row],[입출금]]+불리오[[#This Row],[현금수입]]-불리오[[#This Row],[현금지출]]</calculatedColumnFormula>
    </tableColumn>
    <tableColumn id="23" name="누적" dataDxfId="17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2" dataDxfId="170" headerRowBorderDxfId="171" tableBorderDxfId="169" headerRowCellStyle="쉼표 [0]">
  <autoFilter ref="A1:S11"/>
  <tableColumns count="19">
    <tableColumn id="1" name="거래일자" dataDxfId="168"/>
    <tableColumn id="17" name="종목코드" dataDxfId="167"/>
    <tableColumn id="2" name="종목명" dataDxfId="166">
      <calculatedColumnFormula>VLOOKUP(표4[[#This Row],[종목코드]],표3[],2,FALSE)</calculatedColumnFormula>
    </tableColumn>
    <tableColumn id="3" name="상품명" dataDxfId="165">
      <calculatedColumnFormula>VLOOKUP(표4[[#This Row],[종목코드]],표3[],4,FALSE)</calculatedColumnFormula>
    </tableColumn>
    <tableColumn id="18" name="매입수량" dataDxfId="164"/>
    <tableColumn id="4" name="매입액" dataDxfId="163" dataCellStyle="쉼표 [0]"/>
    <tableColumn id="5" name="현금지출" dataDxfId="162" dataCellStyle="쉼표 [0]"/>
    <tableColumn id="6" name="매입비용" dataDxfId="161" dataCellStyle="쉼표 [0]">
      <calculatedColumnFormula>표4[[#This Row],[현금지출]]-표4[[#This Row],[매입액]]</calculatedColumnFormula>
    </tableColumn>
    <tableColumn id="19" name="매도수량" dataDxfId="160" dataCellStyle="쉼표 [0]"/>
    <tableColumn id="7" name="매도원금" dataDxfId="159" dataCellStyle="쉼표 [0]"/>
    <tableColumn id="8" name="매도액" dataDxfId="158" dataCellStyle="쉼표 [0]"/>
    <tableColumn id="9" name="이자배당액" dataDxfId="157" dataCellStyle="쉼표 [0]"/>
    <tableColumn id="10" name="현금수입" dataDxfId="156" dataCellStyle="쉼표 [0]"/>
    <tableColumn id="11" name="매매수익" dataDxfId="155" dataCellStyle="쉼표 [0]">
      <calculatedColumnFormula>표4[[#This Row],[매도액]]-표4[[#This Row],[매도원금]]</calculatedColumnFormula>
    </tableColumn>
    <tableColumn id="12" name="매도비용" dataDxfId="154" dataCellStyle="쉼표 [0]">
      <calculatedColumnFormula>표4[[#This Row],[매도액]]+표4[[#This Row],[이자배당액]]-표4[[#This Row],[현금수입]]</calculatedColumnFormula>
    </tableColumn>
    <tableColumn id="13" name="순수익" dataDxfId="153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2"/>
    <tableColumn id="15" name="순현금수입" dataDxfId="151">
      <calculatedColumnFormula>표4[[#This Row],[입출금]]+표4[[#This Row],[현금수입]]-표4[[#This Row],[현금지출]]</calculatedColumnFormula>
    </tableColumn>
    <tableColumn id="16" name="누적" dataDxfId="150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9" dataDxfId="147" headerRowBorderDxfId="148" tableBorderDxfId="146" headerRowCellStyle="쉼표 [0]">
  <autoFilter ref="A1:S4"/>
  <tableColumns count="19">
    <tableColumn id="1" name="거래일자" dataDxfId="145"/>
    <tableColumn id="17" name="종목코드" dataDxfId="144"/>
    <tableColumn id="2" name="종목명" dataDxfId="143">
      <calculatedColumnFormula>VLOOKUP(표4_10[[#This Row],[종목코드]],표3[],2,FALSE)</calculatedColumnFormula>
    </tableColumn>
    <tableColumn id="3" name="상품명" dataDxfId="142">
      <calculatedColumnFormula>VLOOKUP(표4_10[[#This Row],[종목코드]],표3[],4,FALSE)</calculatedColumnFormula>
    </tableColumn>
    <tableColumn id="18" name="매입수량" dataDxfId="141"/>
    <tableColumn id="4" name="매입액" dataDxfId="140" dataCellStyle="쉼표 [0]"/>
    <tableColumn id="5" name="현금지출" dataDxfId="139" dataCellStyle="쉼표 [0]"/>
    <tableColumn id="6" name="매입비용" dataDxfId="138" dataCellStyle="쉼표 [0]">
      <calculatedColumnFormula>표4_10[[#This Row],[현금지출]]-표4_10[[#This Row],[매입액]]</calculatedColumnFormula>
    </tableColumn>
    <tableColumn id="19" name="매도수량" dataDxfId="137" dataCellStyle="쉼표 [0]"/>
    <tableColumn id="7" name="매도원금" dataDxfId="136" dataCellStyle="쉼표 [0]"/>
    <tableColumn id="8" name="매도액" dataDxfId="135" dataCellStyle="쉼표 [0]"/>
    <tableColumn id="9" name="이자배당액" dataDxfId="134" dataCellStyle="쉼표 [0]"/>
    <tableColumn id="10" name="현금수입" dataDxfId="133" dataCellStyle="쉼표 [0]"/>
    <tableColumn id="11" name="매매수익" dataDxfId="132" dataCellStyle="쉼표 [0]">
      <calculatedColumnFormula>표4_10[[#This Row],[매도액]]-표4_10[[#This Row],[매도원금]]</calculatedColumnFormula>
    </tableColumn>
    <tableColumn id="12" name="매도비용" dataDxfId="131" dataCellStyle="쉼표 [0]">
      <calculatedColumnFormula>표4_10[[#This Row],[매도액]]+표4_10[[#This Row],[이자배당액]]-표4_10[[#This Row],[현금수입]]</calculatedColumnFormula>
    </tableColumn>
    <tableColumn id="13" name="순수익" dataDxfId="130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9"/>
    <tableColumn id="15" name="순현금수입" dataDxfId="128">
      <calculatedColumnFormula>표4_10[[#This Row],[입출금]]+표4_10[[#This Row],[현금수입]]-표4_10[[#This Row],[현금지출]]</calculatedColumnFormula>
    </tableColumn>
    <tableColumn id="16" name="누적" dataDxfId="127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6" dataDxfId="125" headerRowCellStyle="쉼표 [0]" dataCellStyle="쉼표 [0]">
  <autoFilter ref="A1:T4"/>
  <tableColumns count="20">
    <tableColumn id="1" name="거래일자" dataDxfId="124" totalsRowDxfId="123"/>
    <tableColumn id="6" name="종목코드" dataDxfId="122" totalsRowDxfId="121"/>
    <tableColumn id="9" name="종목명" dataDxfId="120" totalsRowDxfId="119">
      <calculatedColumnFormula>VLOOKUP(CMA_한투1837[[#This Row],[종목코드]],표3[],2,FALSE)</calculatedColumnFormula>
    </tableColumn>
    <tableColumn id="10" name="상품명" dataDxfId="118" totalsRowDxfId="117">
      <calculatedColumnFormula>VLOOKUP(CMA_한투1837[[#This Row],[종목코드]],표3[],4,FALSE)</calculatedColumnFormula>
    </tableColumn>
    <tableColumn id="7" name="매입수량" dataDxfId="116" totalsRowDxfId="115"/>
    <tableColumn id="2" name="매입액" dataDxfId="114" totalsRowDxfId="113" dataCellStyle="쉼표 [0]"/>
    <tableColumn id="5" name="현금지출" dataDxfId="112" totalsRowDxfId="111" dataCellStyle="쉼표 [0]"/>
    <tableColumn id="16" name="매입비용" dataDxfId="110" totalsRowDxfId="109" dataCellStyle="쉼표 [0]">
      <calculatedColumnFormula>CMA_한투1837[[#This Row],[현금지출]]-CMA_한투1837[[#This Row],[매입액]]</calculatedColumnFormula>
    </tableColumn>
    <tableColumn id="8" name="매도수량" dataDxfId="108" totalsRowDxfId="107" dataCellStyle="쉼표 [0]"/>
    <tableColumn id="3" name="매도원금" dataDxfId="106" totalsRowDxfId="105" dataCellStyle="쉼표 [0]"/>
    <tableColumn id="15" name="매도액" dataDxfId="104" totalsRowDxfId="103" dataCellStyle="쉼표 [0]"/>
    <tableColumn id="14" name="이자배당액" dataDxfId="102" totalsRowDxfId="101" dataCellStyle="쉼표 [0]"/>
    <tableColumn id="13" name="현금수입" dataDxfId="100" totalsRowDxfId="99" dataCellStyle="쉼표 [0]"/>
    <tableColumn id="17" name="매매수익" dataDxfId="98" totalsRowDxfId="97" dataCellStyle="쉼표 [0]">
      <calculatedColumnFormula>CMA_한투1837[[#This Row],[매도액]]-CMA_한투1837[[#This Row],[매도원금]]</calculatedColumnFormula>
    </tableColumn>
    <tableColumn id="18" name="매도비용" dataDxfId="96" totalsRowDxfId="95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4" totalsRowDxfId="93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2" totalsRowDxfId="91" dataCellStyle="쉼표 [0]"/>
    <tableColumn id="21" name="순현금수입" dataDxfId="90" totalsRowDxfId="89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8" totalsRowDxfId="87" dataCellStyle="쉼표 [0]">
      <calculatedColumnFormula>SUM($R$2:R2)</calculatedColumnFormula>
    </tableColumn>
    <tableColumn id="12" name="외화입출금" dataDxfId="86" totalsRowDxfId="85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37" workbookViewId="0">
      <selection activeCell="H48" sqref="H48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C39">
        <v>3118.02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C41">
        <v>5045369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C42">
        <f>5056743+4774227+604108</f>
        <v>10435078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C44">
        <v>1497062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C47">
        <v>1054767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459</v>
      </c>
      <c r="B54" s="5" t="s">
        <v>237</v>
      </c>
      <c r="C54">
        <v>1969.4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430</v>
      </c>
      <c r="B58" s="5" t="s">
        <v>312</v>
      </c>
      <c r="C58">
        <v>0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422</v>
      </c>
      <c r="B59" s="5" t="s">
        <v>424</v>
      </c>
      <c r="C59">
        <v>0</v>
      </c>
      <c r="D59" t="s">
        <v>425</v>
      </c>
      <c r="E59" t="s">
        <v>426</v>
      </c>
      <c r="F59" t="s">
        <v>427</v>
      </c>
      <c r="G59" t="s">
        <v>428</v>
      </c>
      <c r="H59" t="s">
        <v>429</v>
      </c>
      <c r="J59" s="5">
        <v>0</v>
      </c>
    </row>
    <row r="60" spans="1:10" x14ac:dyDescent="0.3">
      <c r="A60" s="31" t="s">
        <v>437</v>
      </c>
      <c r="B60" s="5" t="s">
        <v>432</v>
      </c>
      <c r="C60">
        <v>0</v>
      </c>
      <c r="D60" t="s">
        <v>431</v>
      </c>
      <c r="E60" t="s">
        <v>426</v>
      </c>
      <c r="F60" t="s">
        <v>17</v>
      </c>
      <c r="G60" t="s">
        <v>428</v>
      </c>
      <c r="H60" t="s">
        <v>429</v>
      </c>
      <c r="J60" s="5">
        <v>0</v>
      </c>
    </row>
    <row r="61" spans="1:10" x14ac:dyDescent="0.3">
      <c r="A61" s="31" t="s">
        <v>438</v>
      </c>
      <c r="B61" s="5" t="s">
        <v>433</v>
      </c>
      <c r="C61">
        <v>0</v>
      </c>
      <c r="D61" t="s">
        <v>434</v>
      </c>
      <c r="E61" t="s">
        <v>426</v>
      </c>
      <c r="F61" t="s">
        <v>17</v>
      </c>
      <c r="G61" t="s">
        <v>428</v>
      </c>
      <c r="H61" t="s">
        <v>429</v>
      </c>
      <c r="J61" s="5">
        <v>0</v>
      </c>
    </row>
    <row r="62" spans="1:10" x14ac:dyDescent="0.3">
      <c r="A62" s="31" t="s">
        <v>439</v>
      </c>
      <c r="B62" s="5" t="s">
        <v>435</v>
      </c>
      <c r="C62">
        <v>0</v>
      </c>
      <c r="D62" t="s">
        <v>436</v>
      </c>
      <c r="E62" t="s">
        <v>426</v>
      </c>
      <c r="F62" t="s">
        <v>17</v>
      </c>
      <c r="G62" t="s">
        <v>428</v>
      </c>
      <c r="H62" t="s">
        <v>429</v>
      </c>
      <c r="J62" s="5">
        <v>0</v>
      </c>
    </row>
    <row r="63" spans="1:10" x14ac:dyDescent="0.3">
      <c r="A63" s="31" t="s">
        <v>449</v>
      </c>
      <c r="B63" s="5" t="s">
        <v>458</v>
      </c>
      <c r="C63">
        <v>0</v>
      </c>
      <c r="D63" t="s">
        <v>456</v>
      </c>
      <c r="E63" t="s">
        <v>453</v>
      </c>
      <c r="F63" t="s">
        <v>18</v>
      </c>
      <c r="G63" t="s">
        <v>454</v>
      </c>
      <c r="H63" t="s">
        <v>457</v>
      </c>
      <c r="J63" s="5">
        <v>0</v>
      </c>
    </row>
    <row r="64" spans="1:10" x14ac:dyDescent="0.3">
      <c r="A64" s="31" t="s">
        <v>450</v>
      </c>
      <c r="B64" s="5" t="s">
        <v>451</v>
      </c>
      <c r="C64">
        <v>0</v>
      </c>
      <c r="D64" t="s">
        <v>452</v>
      </c>
      <c r="E64" t="s">
        <v>453</v>
      </c>
      <c r="F64" t="s">
        <v>18</v>
      </c>
      <c r="G64" t="s">
        <v>454</v>
      </c>
      <c r="H64" t="s">
        <v>455</v>
      </c>
      <c r="J64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O2" activePane="bottomRight" state="frozen"/>
      <selection activeCell="A46" sqref="A46"/>
      <selection pane="topRight" activeCell="O1" sqref="O1"/>
      <selection pane="bottomLeft" activeCell="A2" sqref="A2"/>
      <selection pane="bottomRight" activeCell="C10" sqref="C10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100">
        <v>45341</v>
      </c>
      <c r="B4" s="107" t="s">
        <v>423</v>
      </c>
      <c r="C4" s="98" t="str">
        <f>VLOOKUP(표4_10[[#This Row],[종목코드]],표3[],2,FALSE)</f>
        <v>일본배당주</v>
      </c>
      <c r="D4" s="101" t="str">
        <f>VLOOKUP(표4_10[[#This Row],[종목코드]],표3[],4,FALSE)</f>
        <v>NEXT FUNDS JAPAN HIGH DIVIDEND EQUITY ACTIVE EXCHANGE TRADED</v>
      </c>
      <c r="E4" s="43">
        <v>151</v>
      </c>
      <c r="F4" s="102">
        <v>335069</v>
      </c>
      <c r="G4" s="103">
        <v>336007</v>
      </c>
      <c r="H4" s="103">
        <f>표4_10[[#This Row],[현금지출]]-표4_10[[#This Row],[매입액]]</f>
        <v>938</v>
      </c>
      <c r="I4" s="99">
        <v>0</v>
      </c>
      <c r="J4" s="102">
        <v>0</v>
      </c>
      <c r="K4" s="102">
        <v>0</v>
      </c>
      <c r="L4" s="102">
        <v>0</v>
      </c>
      <c r="M4" s="102">
        <v>0</v>
      </c>
      <c r="N4" s="102">
        <f>표4_10[[#This Row],[매도액]]-표4_10[[#This Row],[매도원금]]</f>
        <v>0</v>
      </c>
      <c r="O4" s="102">
        <f>표4_10[[#This Row],[매도액]]+표4_10[[#This Row],[이자배당액]]-표4_10[[#This Row],[현금수입]]</f>
        <v>0</v>
      </c>
      <c r="P4" s="104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4">
        <v>2999992</v>
      </c>
      <c r="G4" s="94">
        <v>2999992</v>
      </c>
      <c r="H4" s="95">
        <f>CMA_한투1837[[#This Row],[현금지출]]-CMA_한투1837[[#This Row],[매입액]]</f>
        <v>0</v>
      </c>
      <c r="I4" s="95">
        <v>0</v>
      </c>
      <c r="J4" s="94">
        <v>0</v>
      </c>
      <c r="K4" s="94">
        <v>0</v>
      </c>
      <c r="L4" s="94">
        <v>0</v>
      </c>
      <c r="M4" s="94">
        <v>0</v>
      </c>
      <c r="N4" s="95">
        <f>CMA_한투1837[[#This Row],[매도액]]-CMA_한투1837[[#This Row],[매도원금]]</f>
        <v>0</v>
      </c>
      <c r="O4" s="95">
        <f>CMA_한투1837[[#This Row],[매도액]]+CMA_한투1837[[#This Row],[이자배당액]]-CMA_한투1837[[#This Row],[현금수입]]</f>
        <v>0</v>
      </c>
      <c r="P4" s="95">
        <f>CMA_한투1837[[#This Row],[매매수익]]+CMA_한투1837[[#This Row],[이자배당액]]-CMA_한투1837[[#This Row],[매도비용]]-CMA_한투1837[[#This Row],[매입비용]]</f>
        <v>0</v>
      </c>
      <c r="Q4" s="97">
        <v>2999992</v>
      </c>
      <c r="R4" s="95">
        <f>CMA_한투1837[[#This Row],[입출금]]+CMA_한투1837[[#This Row],[현금수입]]-CMA_한투1837[[#This Row],[현금지출]]</f>
        <v>0</v>
      </c>
      <c r="S4" s="95">
        <f>SUM($R$2:R4)</f>
        <v>0</v>
      </c>
      <c r="T4" s="96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G1" zoomScale="85" zoomScaleNormal="85" workbookViewId="0">
      <selection activeCell="S32" sqref="S32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2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8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9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430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9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SUM($R$2:R27)</f>
        <v>8710530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2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 s="5">
        <f>SUM($R$2:R28)</f>
        <v>8532120</v>
      </c>
    </row>
    <row r="29" spans="1:19" x14ac:dyDescent="0.3">
      <c r="A29" s="3">
        <v>45343</v>
      </c>
      <c r="B29" s="31" t="s">
        <v>272</v>
      </c>
      <c r="C29" s="9" t="str">
        <f>VLOOKUP(CMA_한투183611[[#This Row],[종목코드]],표3[],2,FALSE)</f>
        <v>한투예수금</v>
      </c>
      <c r="D29" s="33" t="str">
        <f>VLOOKUP(CMA_한투183611[[#This Row],[종목코드]],표3[],4,FALSE)</f>
        <v>한국투자증권 직접투자 원화예수금</v>
      </c>
      <c r="E29" s="112"/>
      <c r="H29" s="5">
        <f>CMA_한투183611[[#This Row],[현금지출]]-CMA_한투183611[[#This Row],[매입액]]</f>
        <v>0</v>
      </c>
      <c r="J29" s="50"/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0</v>
      </c>
      <c r="Q29">
        <v>8000000</v>
      </c>
      <c r="R29" s="5">
        <f>CMA_한투183611[[#This Row],[입출금]]+CMA_한투183611[[#This Row],[현금수입]]-CMA_한투183611[[#This Row],[현금지출]]</f>
        <v>8000000</v>
      </c>
      <c r="S29" s="5">
        <f>SUM($R$2:R29)</f>
        <v>16532120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미국단기회사채</v>
      </c>
      <c r="D30" s="33" t="str">
        <f>VLOOKUP(CMA_한투183611[[#This Row],[종목코드]],표3[],4,FALSE)</f>
        <v>KBSTAR 미국단기투자등급회사채액티비</v>
      </c>
      <c r="E30" s="40">
        <v>330</v>
      </c>
      <c r="F30" s="7">
        <v>3507900</v>
      </c>
      <c r="G30" s="7">
        <v>3508190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-3508190</v>
      </c>
      <c r="S30">
        <f>SUM($R$2:R30)</f>
        <v>13023930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글로벌AI주식</v>
      </c>
      <c r="D31" s="33" t="str">
        <f>VLOOKUP(CMA_한투183611[[#This Row],[종목코드]],표3[],4,FALSE)</f>
        <v>TIMEFOLIO 글로벌AI인공지능액티브</v>
      </c>
      <c r="E31" s="40">
        <v>116</v>
      </c>
      <c r="F31" s="7">
        <v>2013760</v>
      </c>
      <c r="G31" s="7">
        <v>2014050</v>
      </c>
      <c r="H31" s="5">
        <f>CMA_한투183611[[#This Row],[현금지출]]-CMA_한투183611[[#This Row],[매입액]]</f>
        <v>290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-290</v>
      </c>
      <c r="Q31">
        <v>0</v>
      </c>
      <c r="R31" s="5">
        <f>CMA_한투183611[[#This Row],[입출금]]+CMA_한투183611[[#This Row],[현금수입]]-CMA_한투183611[[#This Row],[현금지출]]</f>
        <v>-2014050</v>
      </c>
      <c r="S31">
        <f>SUM($R$2:R31)</f>
        <v>11009880</v>
      </c>
    </row>
    <row r="32" spans="1:19" x14ac:dyDescent="0.3">
      <c r="A32" s="3">
        <v>45343</v>
      </c>
      <c r="B32" s="31" t="s">
        <v>439</v>
      </c>
      <c r="C32" s="9" t="str">
        <f>VLOOKUP(CMA_한투183611[[#This Row],[종목코드]],표3[],2,FALSE)</f>
        <v>미국배당주</v>
      </c>
      <c r="D32" s="33" t="str">
        <f>VLOOKUP(CMA_한투183611[[#This Row],[종목코드]],표3[],4,FALSE)</f>
        <v>TIGER 미국배당다우존스</v>
      </c>
      <c r="E32" s="40">
        <v>183</v>
      </c>
      <c r="F32" s="7">
        <v>2009340</v>
      </c>
      <c r="G32" s="7">
        <v>2009850</v>
      </c>
      <c r="H32" s="5">
        <f>CMA_한투183611[[#This Row],[현금지출]]-CMA_한투183611[[#This Row],[매입액]]</f>
        <v>510</v>
      </c>
      <c r="I32" s="35">
        <v>0</v>
      </c>
      <c r="J32" s="7">
        <v>0</v>
      </c>
      <c r="K32">
        <v>0</v>
      </c>
      <c r="L32" s="7">
        <v>0</v>
      </c>
      <c r="M32">
        <v>0</v>
      </c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-510</v>
      </c>
      <c r="Q32">
        <v>0</v>
      </c>
      <c r="R32" s="5">
        <f>CMA_한투183611[[#This Row],[입출금]]+CMA_한투183611[[#This Row],[현금수입]]-CMA_한투183611[[#This Row],[현금지출]]</f>
        <v>-2009850</v>
      </c>
      <c r="S32">
        <f>SUM($R$2:R32)</f>
        <v>9000030</v>
      </c>
    </row>
    <row r="35" spans="10:15" x14ac:dyDescent="0.3">
      <c r="J35"/>
      <c r="L35"/>
      <c r="O35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D1" zoomScale="85" zoomScaleNormal="85" workbookViewId="0">
      <selection activeCell="N4" sqref="N4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E10" sqref="E10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10010000</v>
      </c>
      <c r="G2" s="8">
        <v>10010000</v>
      </c>
      <c r="H2" s="8">
        <f>CMA_한투183[[#This Row],[현금지출]]-CMA_한투183[[#This Row],[매입액]]</f>
        <v>0</v>
      </c>
      <c r="I2" s="12">
        <v>0</v>
      </c>
      <c r="J2" s="7">
        <v>0</v>
      </c>
      <c r="K2" s="7">
        <v>0</v>
      </c>
      <c r="L2" s="7">
        <v>0</v>
      </c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10010000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7" sqref="G7"/>
    </sheetView>
  </sheetViews>
  <sheetFormatPr defaultRowHeight="16.5" x14ac:dyDescent="0.3"/>
  <cols>
    <col min="1" max="1" width="11.125" style="31" bestFit="1" customWidth="1"/>
    <col min="2" max="2" width="21.375" bestFit="1" customWidth="1"/>
    <col min="3" max="3" width="11.5" style="50" customWidth="1"/>
    <col min="4" max="4" width="46.625" customWidth="1"/>
    <col min="7" max="7" width="11.875" bestFit="1" customWidth="1"/>
    <col min="10" max="10" width="13.75" customWidth="1"/>
    <col min="12" max="12" width="10.25" customWidth="1"/>
  </cols>
  <sheetData>
    <row r="1" spans="1:10" x14ac:dyDescent="0.3">
      <c r="A1" s="31" t="s">
        <v>318</v>
      </c>
      <c r="B1" t="s">
        <v>319</v>
      </c>
      <c r="C1" s="50" t="s">
        <v>338</v>
      </c>
      <c r="D1" t="s">
        <v>320</v>
      </c>
      <c r="E1" t="s">
        <v>321</v>
      </c>
      <c r="F1" t="s">
        <v>416</v>
      </c>
      <c r="G1" t="s">
        <v>322</v>
      </c>
      <c r="H1" t="s">
        <v>323</v>
      </c>
      <c r="I1" t="s">
        <v>421</v>
      </c>
      <c r="J1" t="s">
        <v>420</v>
      </c>
    </row>
    <row r="2" spans="1:10" x14ac:dyDescent="0.3">
      <c r="A2" s="31" t="s">
        <v>324</v>
      </c>
      <c r="B2" t="s">
        <v>385</v>
      </c>
      <c r="C2" s="50">
        <v>548019</v>
      </c>
      <c r="D2" t="s">
        <v>325</v>
      </c>
      <c r="E2" t="s">
        <v>326</v>
      </c>
      <c r="F2" t="s">
        <v>417</v>
      </c>
      <c r="G2" t="s">
        <v>21</v>
      </c>
      <c r="H2" t="s">
        <v>327</v>
      </c>
      <c r="J2" s="50">
        <v>0</v>
      </c>
    </row>
    <row r="3" spans="1:10" x14ac:dyDescent="0.3">
      <c r="A3" s="31" t="s">
        <v>332</v>
      </c>
      <c r="B3" t="s">
        <v>330</v>
      </c>
      <c r="C3" s="50">
        <v>9732471</v>
      </c>
      <c r="D3" t="s">
        <v>330</v>
      </c>
      <c r="E3" t="s">
        <v>326</v>
      </c>
      <c r="F3" t="s">
        <v>417</v>
      </c>
      <c r="G3" t="s">
        <v>328</v>
      </c>
      <c r="H3" t="s">
        <v>329</v>
      </c>
      <c r="J3" s="50">
        <v>0</v>
      </c>
    </row>
    <row r="4" spans="1:10" x14ac:dyDescent="0.3">
      <c r="A4" s="31" t="s">
        <v>333</v>
      </c>
      <c r="B4" t="s">
        <v>331</v>
      </c>
      <c r="C4" s="50">
        <v>6199116</v>
      </c>
      <c r="D4" t="s">
        <v>331</v>
      </c>
      <c r="E4" t="s">
        <v>326</v>
      </c>
      <c r="F4" t="s">
        <v>417</v>
      </c>
      <c r="G4" t="s">
        <v>328</v>
      </c>
      <c r="H4" t="s">
        <v>329</v>
      </c>
      <c r="J4" s="50">
        <v>0</v>
      </c>
    </row>
    <row r="5" spans="1:10" x14ac:dyDescent="0.3">
      <c r="A5" s="31">
        <v>226490</v>
      </c>
      <c r="B5" t="s">
        <v>334</v>
      </c>
      <c r="C5" s="50">
        <v>3575705</v>
      </c>
      <c r="D5" t="s">
        <v>335</v>
      </c>
      <c r="E5" t="s">
        <v>326</v>
      </c>
      <c r="F5" t="s">
        <v>417</v>
      </c>
      <c r="G5" t="s">
        <v>336</v>
      </c>
      <c r="H5" t="s">
        <v>337</v>
      </c>
      <c r="J5" s="50">
        <v>0</v>
      </c>
    </row>
    <row r="6" spans="1:10" x14ac:dyDescent="0.3">
      <c r="A6" s="31" t="s">
        <v>371</v>
      </c>
      <c r="B6" t="s">
        <v>375</v>
      </c>
      <c r="C6" s="50">
        <v>15156281</v>
      </c>
      <c r="D6" t="s">
        <v>339</v>
      </c>
      <c r="E6" t="s">
        <v>348</v>
      </c>
      <c r="F6" t="s">
        <v>418</v>
      </c>
      <c r="G6" t="s">
        <v>328</v>
      </c>
      <c r="H6" t="s">
        <v>329</v>
      </c>
      <c r="J6" s="50">
        <v>0</v>
      </c>
    </row>
    <row r="7" spans="1:10" x14ac:dyDescent="0.3">
      <c r="A7" s="31" t="s">
        <v>373</v>
      </c>
      <c r="B7" t="s">
        <v>374</v>
      </c>
      <c r="C7" s="50">
        <v>9950017</v>
      </c>
      <c r="D7" t="s">
        <v>340</v>
      </c>
      <c r="E7" t="s">
        <v>348</v>
      </c>
      <c r="F7" t="s">
        <v>419</v>
      </c>
      <c r="G7" t="s">
        <v>328</v>
      </c>
      <c r="H7" t="s">
        <v>329</v>
      </c>
      <c r="J7" s="50">
        <v>0</v>
      </c>
    </row>
    <row r="8" spans="1:10" x14ac:dyDescent="0.3">
      <c r="A8" s="31" t="s">
        <v>358</v>
      </c>
      <c r="B8" t="s">
        <v>376</v>
      </c>
      <c r="C8" s="50">
        <v>4252948</v>
      </c>
      <c r="D8" t="s">
        <v>350</v>
      </c>
      <c r="E8" t="s">
        <v>348</v>
      </c>
      <c r="F8" t="s">
        <v>417</v>
      </c>
      <c r="G8" t="s">
        <v>351</v>
      </c>
      <c r="H8" t="s">
        <v>352</v>
      </c>
      <c r="J8" s="50">
        <v>0</v>
      </c>
    </row>
    <row r="9" spans="1:10" x14ac:dyDescent="0.3">
      <c r="A9" s="31" t="s">
        <v>360</v>
      </c>
      <c r="B9" t="s">
        <v>377</v>
      </c>
      <c r="C9" s="50">
        <v>4200467</v>
      </c>
      <c r="D9" t="s">
        <v>341</v>
      </c>
      <c r="E9" t="s">
        <v>348</v>
      </c>
      <c r="F9" t="s">
        <v>417</v>
      </c>
      <c r="G9" t="s">
        <v>328</v>
      </c>
      <c r="H9" t="s">
        <v>329</v>
      </c>
      <c r="J9" s="50">
        <v>0</v>
      </c>
    </row>
    <row r="10" spans="1:10" x14ac:dyDescent="0.3">
      <c r="A10" s="31" t="s">
        <v>362</v>
      </c>
      <c r="B10" t="s">
        <v>378</v>
      </c>
      <c r="C10" s="50">
        <v>2109942</v>
      </c>
      <c r="D10" t="s">
        <v>342</v>
      </c>
      <c r="E10" t="s">
        <v>348</v>
      </c>
      <c r="F10" t="s">
        <v>417</v>
      </c>
      <c r="G10" t="s">
        <v>328</v>
      </c>
      <c r="H10" t="s">
        <v>329</v>
      </c>
      <c r="J10" s="50">
        <v>0</v>
      </c>
    </row>
    <row r="11" spans="1:10" x14ac:dyDescent="0.3">
      <c r="A11" s="31" t="s">
        <v>363</v>
      </c>
      <c r="B11" t="s">
        <v>379</v>
      </c>
      <c r="C11" s="50">
        <v>2107970</v>
      </c>
      <c r="D11" t="s">
        <v>343</v>
      </c>
      <c r="E11" t="s">
        <v>348</v>
      </c>
      <c r="F11" t="s">
        <v>418</v>
      </c>
      <c r="G11" t="s">
        <v>328</v>
      </c>
      <c r="H11" t="s">
        <v>329</v>
      </c>
      <c r="J11" s="50">
        <v>0</v>
      </c>
    </row>
    <row r="12" spans="1:10" x14ac:dyDescent="0.3">
      <c r="A12" s="31" t="s">
        <v>364</v>
      </c>
      <c r="B12" t="s">
        <v>380</v>
      </c>
      <c r="C12" s="50">
        <v>4245573</v>
      </c>
      <c r="D12" t="s">
        <v>344</v>
      </c>
      <c r="E12" t="s">
        <v>348</v>
      </c>
      <c r="F12" t="s">
        <v>417</v>
      </c>
      <c r="G12" t="s">
        <v>351</v>
      </c>
      <c r="H12" t="s">
        <v>352</v>
      </c>
      <c r="J12" s="50">
        <v>0</v>
      </c>
    </row>
    <row r="13" spans="1:10" x14ac:dyDescent="0.3">
      <c r="A13" s="31" t="s">
        <v>365</v>
      </c>
      <c r="B13" t="s">
        <v>381</v>
      </c>
      <c r="C13" s="50">
        <v>6843270</v>
      </c>
      <c r="D13" t="s">
        <v>345</v>
      </c>
      <c r="E13" t="s">
        <v>348</v>
      </c>
      <c r="F13" t="s">
        <v>417</v>
      </c>
      <c r="G13" t="s">
        <v>353</v>
      </c>
      <c r="H13" t="s">
        <v>354</v>
      </c>
      <c r="J13" s="50">
        <v>0</v>
      </c>
    </row>
    <row r="14" spans="1:10" x14ac:dyDescent="0.3">
      <c r="A14" s="31" t="s">
        <v>366</v>
      </c>
      <c r="B14" t="s">
        <v>382</v>
      </c>
      <c r="C14" s="50">
        <v>2056309</v>
      </c>
      <c r="D14" t="s">
        <v>346</v>
      </c>
      <c r="E14" t="s">
        <v>348</v>
      </c>
      <c r="F14" t="s">
        <v>417</v>
      </c>
      <c r="G14" t="s">
        <v>355</v>
      </c>
      <c r="H14" t="s">
        <v>356</v>
      </c>
      <c r="J14" s="50">
        <v>0</v>
      </c>
    </row>
    <row r="15" spans="1:10" x14ac:dyDescent="0.3">
      <c r="A15" s="31" t="s">
        <v>367</v>
      </c>
      <c r="B15" t="s">
        <v>383</v>
      </c>
      <c r="C15" s="50">
        <v>2065314</v>
      </c>
      <c r="D15" t="s">
        <v>347</v>
      </c>
      <c r="E15" t="s">
        <v>348</v>
      </c>
      <c r="F15" t="s">
        <v>417</v>
      </c>
      <c r="G15" t="s">
        <v>355</v>
      </c>
      <c r="H15" t="s">
        <v>356</v>
      </c>
      <c r="J15" s="50">
        <v>0</v>
      </c>
    </row>
    <row r="16" spans="1:10" x14ac:dyDescent="0.3">
      <c r="A16" s="31" t="s">
        <v>369</v>
      </c>
      <c r="B16" t="s">
        <v>384</v>
      </c>
      <c r="C16" s="50">
        <v>3086</v>
      </c>
      <c r="D16" t="s">
        <v>349</v>
      </c>
      <c r="E16" t="s">
        <v>348</v>
      </c>
      <c r="F16" t="s">
        <v>417</v>
      </c>
      <c r="G16" t="s">
        <v>21</v>
      </c>
      <c r="H16" t="s">
        <v>17</v>
      </c>
      <c r="J16" s="50">
        <v>0</v>
      </c>
    </row>
    <row r="17" spans="1:10" x14ac:dyDescent="0.3">
      <c r="A17" s="31" t="s">
        <v>413</v>
      </c>
      <c r="B17" t="s">
        <v>414</v>
      </c>
      <c r="C17" s="50">
        <v>80911</v>
      </c>
      <c r="D17" t="s">
        <v>415</v>
      </c>
      <c r="E17" t="s">
        <v>410</v>
      </c>
      <c r="F17" t="s">
        <v>417</v>
      </c>
      <c r="G17" t="s">
        <v>411</v>
      </c>
      <c r="H17" t="s">
        <v>412</v>
      </c>
      <c r="J17" s="50">
        <v>0</v>
      </c>
    </row>
    <row r="18" spans="1:10" x14ac:dyDescent="0.3">
      <c r="A18" s="31">
        <v>114260</v>
      </c>
      <c r="B18" t="s">
        <v>486</v>
      </c>
      <c r="C18" s="50">
        <v>652300</v>
      </c>
      <c r="D18" t="s">
        <v>461</v>
      </c>
      <c r="E18" t="s">
        <v>410</v>
      </c>
      <c r="F18" t="s">
        <v>17</v>
      </c>
      <c r="G18" t="s">
        <v>493</v>
      </c>
      <c r="H18" t="s">
        <v>501</v>
      </c>
      <c r="J18" s="50">
        <v>0</v>
      </c>
    </row>
    <row r="19" spans="1:10" x14ac:dyDescent="0.3">
      <c r="A19" s="31" t="s">
        <v>462</v>
      </c>
      <c r="B19" t="s">
        <v>487</v>
      </c>
      <c r="C19" s="50">
        <v>1196745</v>
      </c>
      <c r="D19" t="s">
        <v>472</v>
      </c>
      <c r="E19" t="s">
        <v>410</v>
      </c>
      <c r="F19" t="s">
        <v>17</v>
      </c>
      <c r="G19" t="s">
        <v>494</v>
      </c>
      <c r="H19" t="s">
        <v>501</v>
      </c>
      <c r="J19" s="50">
        <v>0</v>
      </c>
    </row>
    <row r="20" spans="1:10" x14ac:dyDescent="0.3">
      <c r="A20" s="31" t="s">
        <v>463</v>
      </c>
      <c r="B20" t="s">
        <v>488</v>
      </c>
      <c r="C20" s="50">
        <v>1283815</v>
      </c>
      <c r="D20" t="s">
        <v>473</v>
      </c>
      <c r="E20" t="s">
        <v>410</v>
      </c>
      <c r="F20" t="s">
        <v>17</v>
      </c>
      <c r="G20" t="s">
        <v>495</v>
      </c>
      <c r="H20" t="s">
        <v>502</v>
      </c>
      <c r="J20" s="50">
        <v>0</v>
      </c>
    </row>
    <row r="21" spans="1:10" x14ac:dyDescent="0.3">
      <c r="A21" s="31" t="s">
        <v>464</v>
      </c>
      <c r="B21" t="s">
        <v>482</v>
      </c>
      <c r="C21" s="50">
        <v>1278230</v>
      </c>
      <c r="D21" t="s">
        <v>474</v>
      </c>
      <c r="E21" t="s">
        <v>410</v>
      </c>
      <c r="F21" t="s">
        <v>17</v>
      </c>
      <c r="G21" t="s">
        <v>496</v>
      </c>
      <c r="H21" t="s">
        <v>506</v>
      </c>
      <c r="J21" s="50">
        <v>0</v>
      </c>
    </row>
    <row r="22" spans="1:10" x14ac:dyDescent="0.3">
      <c r="A22" s="31" t="s">
        <v>465</v>
      </c>
      <c r="B22" t="s">
        <v>483</v>
      </c>
      <c r="C22" s="50">
        <v>1274550</v>
      </c>
      <c r="D22" t="s">
        <v>475</v>
      </c>
      <c r="E22" t="s">
        <v>410</v>
      </c>
      <c r="F22" t="s">
        <v>17</v>
      </c>
      <c r="G22" t="s">
        <v>496</v>
      </c>
      <c r="H22" t="s">
        <v>505</v>
      </c>
      <c r="J22" s="50">
        <v>0</v>
      </c>
    </row>
    <row r="23" spans="1:10" x14ac:dyDescent="0.3">
      <c r="A23" s="31" t="s">
        <v>466</v>
      </c>
      <c r="B23" t="s">
        <v>485</v>
      </c>
      <c r="C23" s="50">
        <v>1267560</v>
      </c>
      <c r="D23" t="s">
        <v>481</v>
      </c>
      <c r="E23" t="s">
        <v>410</v>
      </c>
      <c r="F23" t="s">
        <v>17</v>
      </c>
      <c r="G23" t="s">
        <v>497</v>
      </c>
      <c r="H23" t="s">
        <v>503</v>
      </c>
      <c r="J23" s="50">
        <v>0</v>
      </c>
    </row>
    <row r="24" spans="1:10" x14ac:dyDescent="0.3">
      <c r="A24" s="31" t="s">
        <v>467</v>
      </c>
      <c r="B24" t="s">
        <v>484</v>
      </c>
      <c r="C24" s="50">
        <v>642490</v>
      </c>
      <c r="D24" t="s">
        <v>476</v>
      </c>
      <c r="E24" t="s">
        <v>410</v>
      </c>
      <c r="F24" t="s">
        <v>17</v>
      </c>
      <c r="G24" t="s">
        <v>498</v>
      </c>
      <c r="H24" t="s">
        <v>503</v>
      </c>
      <c r="J24" s="50">
        <v>0</v>
      </c>
    </row>
    <row r="25" spans="1:10" x14ac:dyDescent="0.3">
      <c r="A25" s="31" t="s">
        <v>468</v>
      </c>
      <c r="B25" t="s">
        <v>489</v>
      </c>
      <c r="C25" s="50">
        <v>1274400</v>
      </c>
      <c r="D25" t="s">
        <v>477</v>
      </c>
      <c r="E25" t="s">
        <v>410</v>
      </c>
      <c r="F25" t="s">
        <v>17</v>
      </c>
      <c r="G25" t="s">
        <v>493</v>
      </c>
      <c r="H25" t="s">
        <v>502</v>
      </c>
      <c r="J25" s="50">
        <v>0</v>
      </c>
    </row>
    <row r="26" spans="1:10" x14ac:dyDescent="0.3">
      <c r="A26" s="31" t="s">
        <v>469</v>
      </c>
      <c r="B26" t="s">
        <v>490</v>
      </c>
      <c r="C26" s="50">
        <v>1283580</v>
      </c>
      <c r="D26" t="s">
        <v>478</v>
      </c>
      <c r="E26" t="s">
        <v>410</v>
      </c>
      <c r="F26" t="s">
        <v>17</v>
      </c>
      <c r="G26" t="s">
        <v>498</v>
      </c>
      <c r="H26" t="s">
        <v>504</v>
      </c>
      <c r="J26" s="50">
        <v>0</v>
      </c>
    </row>
    <row r="27" spans="1:10" x14ac:dyDescent="0.3">
      <c r="A27" s="31" t="s">
        <v>470</v>
      </c>
      <c r="B27" t="s">
        <v>491</v>
      </c>
      <c r="C27" s="50">
        <v>1277865</v>
      </c>
      <c r="D27" t="s">
        <v>479</v>
      </c>
      <c r="E27" t="s">
        <v>410</v>
      </c>
      <c r="F27" t="s">
        <v>17</v>
      </c>
      <c r="G27" t="s">
        <v>499</v>
      </c>
      <c r="H27" t="s">
        <v>504</v>
      </c>
      <c r="J27" s="50">
        <v>0</v>
      </c>
    </row>
    <row r="28" spans="1:10" x14ac:dyDescent="0.3">
      <c r="A28" s="31" t="s">
        <v>471</v>
      </c>
      <c r="B28" t="s">
        <v>492</v>
      </c>
      <c r="C28" s="50">
        <v>1265000</v>
      </c>
      <c r="D28" t="s">
        <v>480</v>
      </c>
      <c r="E28" t="s">
        <v>410</v>
      </c>
      <c r="F28" t="s">
        <v>17</v>
      </c>
      <c r="G28" t="s">
        <v>500</v>
      </c>
      <c r="H28" t="s">
        <v>504</v>
      </c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F6" sqref="F6"/>
    </sheetView>
  </sheetViews>
  <sheetFormatPr defaultRowHeight="16.5" x14ac:dyDescent="0.3"/>
  <cols>
    <col min="1" max="2" width="10.25" customWidth="1"/>
    <col min="4" max="4" width="43.1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386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농협현금성자산</v>
      </c>
      <c r="E2" s="74">
        <v>1</v>
      </c>
      <c r="F2" s="75">
        <v>547863</v>
      </c>
      <c r="G2" s="75">
        <v>547863</v>
      </c>
      <c r="H2" s="76">
        <f>농협IRP[[#This Row],[현금지출]]-농협IRP[[#This Row],[매입액]]</f>
        <v>0</v>
      </c>
      <c r="I2" s="77"/>
      <c r="J2" s="75"/>
      <c r="K2" s="75"/>
      <c r="L2" s="78"/>
      <c r="M2" s="75"/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547863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387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신한정기예금1Y</v>
      </c>
      <c r="E3" s="74">
        <v>1</v>
      </c>
      <c r="F3" s="75">
        <v>9523204</v>
      </c>
      <c r="G3" s="75">
        <v>9523204</v>
      </c>
      <c r="H3" s="76">
        <f>농협IRP[[#This Row],[현금지출]]-농협IRP[[#This Row],[매입액]]</f>
        <v>0</v>
      </c>
      <c r="I3" s="77"/>
      <c r="J3" s="75"/>
      <c r="K3" s="75"/>
      <c r="L3" s="78"/>
      <c r="M3" s="75"/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9523204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388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다올정기예금1Y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/>
      <c r="J4" s="84"/>
      <c r="K4" s="84"/>
      <c r="L4" s="87"/>
      <c r="M4" s="84"/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>
        <v>226490</v>
      </c>
      <c r="C5" s="80" t="str">
        <f>VLOOKUP(농협IRP[[#This Row],[종목코드]],연금종목정보[],2,FALSE)</f>
        <v>KODEX 코스피</v>
      </c>
      <c r="D5" s="82" t="str">
        <f>VLOOKUP(농협IRP[[#This Row],[종목코드]],연금종목정보[],4,FALSE)</f>
        <v>삼성 KODEX 코스피증권상장지수투자신탁(주식)</v>
      </c>
      <c r="E5" s="83">
        <v>1</v>
      </c>
      <c r="F5" s="84">
        <v>3390170</v>
      </c>
      <c r="G5" s="85">
        <v>3390170</v>
      </c>
      <c r="H5" s="85">
        <f>농협IRP[[#This Row],[현금지출]]-농협IRP[[#This Row],[매입액]]</f>
        <v>0</v>
      </c>
      <c r="I5" s="86"/>
      <c r="J5" s="84"/>
      <c r="K5" s="84"/>
      <c r="L5" s="87"/>
      <c r="M5" s="84"/>
      <c r="N5" s="87">
        <f>농협IRP[[#This Row],[매도액]]-농협IRP[[#This Row],[매도원금]]</f>
        <v>0</v>
      </c>
      <c r="O5" s="87">
        <f>농협IRP[[#This Row],[매도액]]+농협IRP[[#This Row],[이자배당액]]-농협IRP[[#This Row],[현금수입]]</f>
        <v>0</v>
      </c>
      <c r="P5" s="87">
        <f>농협IRP[[#This Row],[매매수익]]+농협IRP[[#This Row],[이자배당액]]-농협IRP[[#This Row],[매도비용]]-농협IRP[[#This Row],[매입비용]]</f>
        <v>0</v>
      </c>
      <c r="Q5" s="85">
        <v>3390170</v>
      </c>
      <c r="R5" s="86">
        <f>농협IRP[[#This Row],[입출금]]+농협IRP[[#This Row],[현금수입]]-농협IRP[[#This Row],[현금지출]]</f>
        <v>0</v>
      </c>
      <c r="S5" s="86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3" sqref="F13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370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삼성화재 금리연동형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372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삼성화재 이율보증형 1Y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357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삼성퇴직연금인덱스증권투자신탁제1호(주식)_Ce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359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삼성퇴직연금Active채권종합증권자투자신탁 제1호(채권)_Ce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361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미래에셋퇴직플랜KRX100인덱스안정형40증권자투자신탁1호(채권혼합)_C-P2e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363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신영퇴직연금배당40증권자투자신탁(채권혼합)_C-E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364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신영퇴직연금배당주식증권자투자신탁(주식)_C-E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365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한국투자TDF알아서2045증권투자신탁(주식혼합-재간접형)_C-Re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366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KB미국대표성장주증권자투자신탁(주식)(H)C-퇴직e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367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삼성미국인덱스증권자투자신탁H(주식)_Cpe(퇴직연금)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368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삼성화재신탁 대기자금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3" sqref="F3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</cols>
  <sheetData>
    <row r="1" spans="1:19" x14ac:dyDescent="0.3">
      <c r="A1" s="13" t="s">
        <v>394</v>
      </c>
      <c r="B1" s="13" t="s">
        <v>77</v>
      </c>
      <c r="C1" s="13" t="s">
        <v>395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396</v>
      </c>
      <c r="I1" s="41" t="s">
        <v>134</v>
      </c>
      <c r="J1" s="15" t="s">
        <v>53</v>
      </c>
      <c r="K1" s="15" t="s">
        <v>397</v>
      </c>
      <c r="L1" s="15" t="s">
        <v>398</v>
      </c>
      <c r="M1" s="15" t="s">
        <v>399</v>
      </c>
      <c r="N1" s="15" t="s">
        <v>400</v>
      </c>
      <c r="O1" s="15" t="s">
        <v>401</v>
      </c>
      <c r="P1" s="15" t="s">
        <v>402</v>
      </c>
      <c r="Q1" s="16" t="s">
        <v>403</v>
      </c>
      <c r="R1" s="16" t="s">
        <v>61</v>
      </c>
      <c r="S1" s="16" t="s">
        <v>404</v>
      </c>
    </row>
    <row r="2" spans="1:19" x14ac:dyDescent="0.3">
      <c r="A2">
        <v>45327</v>
      </c>
      <c r="B2" t="s">
        <v>413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NH투자증권 예수금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Q2">
        <v>12709251</v>
      </c>
      <c r="S2">
        <f>SUM($R$2:R13)</f>
        <v>0</v>
      </c>
    </row>
    <row r="3" spans="1:19" x14ac:dyDescent="0.3">
      <c r="A3">
        <v>45346</v>
      </c>
      <c r="B3">
        <v>114260</v>
      </c>
      <c r="C3" t="str">
        <f>VLOOKUP(농협IRP17[[#This Row],[종목코드]],연금종목정보[],2,FALSE)</f>
        <v>국내채권 중기</v>
      </c>
      <c r="D3" t="str">
        <f>VLOOKUP(농협IRP17[[#This Row],[종목코드]],연금종목정보[],4,FALSE)</f>
        <v>KODEX 국고채3년</v>
      </c>
      <c r="E3">
        <v>11</v>
      </c>
      <c r="G3">
        <v>652300</v>
      </c>
      <c r="H3">
        <f>농협IRP17[[#This Row],[현금지출]]-농협IRP17[[#This Row],[매입액]]</f>
        <v>652300</v>
      </c>
      <c r="S3">
        <f>SUM($R$2:R13)</f>
        <v>0</v>
      </c>
    </row>
    <row r="4" spans="1:19" x14ac:dyDescent="0.3">
      <c r="A4">
        <v>45346</v>
      </c>
      <c r="B4" t="s">
        <v>462</v>
      </c>
      <c r="C4" t="str">
        <f>VLOOKUP(농협IRP17[[#This Row],[종목코드]],연금종목정보[],2,FALSE)</f>
        <v>국내채권 단기</v>
      </c>
      <c r="D4" t="str">
        <f>VLOOKUP(농협IRP17[[#This Row],[종목코드]],연금종목정보[],4,FALSE)</f>
        <v>KODEX 단기채권</v>
      </c>
      <c r="E4">
        <v>11</v>
      </c>
      <c r="H4">
        <f>농협IRP17[[#This Row],[현금지출]]-농협IRP17[[#This Row],[매입액]]</f>
        <v>0</v>
      </c>
      <c r="S4">
        <f>SUM($R$2:R13)</f>
        <v>0</v>
      </c>
    </row>
    <row r="5" spans="1:19" x14ac:dyDescent="0.3">
      <c r="A5">
        <v>45346</v>
      </c>
      <c r="B5" t="s">
        <v>463</v>
      </c>
      <c r="C5" t="str">
        <f>VLOOKUP(농협IRP17[[#This Row],[종목코드]],연금종목정보[],2,FALSE)</f>
        <v>미국채권 종합</v>
      </c>
      <c r="D5" t="str">
        <f>VLOOKUP(농협IRP17[[#This Row],[종목코드]],연금종목정보[],4,FALSE)</f>
        <v>KODEX 미국종합채권ESG액티브(H)</v>
      </c>
      <c r="E5">
        <v>13</v>
      </c>
      <c r="H5">
        <f>농협IRP17[[#This Row],[현금지출]]-농협IRP17[[#This Row],[매입액]]</f>
        <v>0</v>
      </c>
      <c r="S5">
        <f>SUM($R$2:R13)</f>
        <v>0</v>
      </c>
    </row>
    <row r="6" spans="1:19" x14ac:dyDescent="0.3">
      <c r="A6">
        <v>45346</v>
      </c>
      <c r="B6" t="s">
        <v>464</v>
      </c>
      <c r="C6" t="str">
        <f>VLOOKUP(농협IRP17[[#This Row],[종목코드]],연금종목정보[],2,FALSE)</f>
        <v>금</v>
      </c>
      <c r="D6" t="str">
        <f>VLOOKUP(농협IRP17[[#This Row],[종목코드]],연금종목정보[],4,FALSE)</f>
        <v>ACE KRX 금현물</v>
      </c>
      <c r="E6">
        <v>103</v>
      </c>
      <c r="H6">
        <f>농협IRP17[[#This Row],[현금지출]]-농협IRP17[[#This Row],[매입액]]</f>
        <v>0</v>
      </c>
      <c r="S6">
        <f>SUM($R$2:R13)</f>
        <v>0</v>
      </c>
    </row>
    <row r="7" spans="1:19" x14ac:dyDescent="0.3">
      <c r="A7">
        <v>45346</v>
      </c>
      <c r="B7" t="s">
        <v>465</v>
      </c>
      <c r="C7" t="str">
        <f>VLOOKUP(농협IRP17[[#This Row],[종목코드]],연금종목정보[],2,FALSE)</f>
        <v>리츠</v>
      </c>
      <c r="D7" t="str">
        <f>VLOOKUP(농협IRP17[[#This Row],[종목코드]],연금종목정보[],4,FALSE)</f>
        <v>TIGER 리츠부동산인프라</v>
      </c>
      <c r="E7">
        <v>290</v>
      </c>
      <c r="H7">
        <f>농협IRP17[[#This Row],[현금지출]]-농협IRP17[[#This Row],[매입액]]</f>
        <v>0</v>
      </c>
      <c r="S7">
        <f>SUM($R$2:R13)</f>
        <v>0</v>
      </c>
    </row>
    <row r="8" spans="1:19" x14ac:dyDescent="0.3">
      <c r="A8">
        <v>45346</v>
      </c>
      <c r="B8" t="s">
        <v>466</v>
      </c>
      <c r="C8" t="str">
        <f>VLOOKUP(농협IRP17[[#This Row],[종목코드]],연금종목정보[],2,FALSE)</f>
        <v>국내주식 대형주</v>
      </c>
      <c r="D8" t="str">
        <f>VLOOKUP(농협IRP17[[#This Row],[종목코드]],연금종목정보[],4,FALSE)</f>
        <v>TIGER 200TR</v>
      </c>
      <c r="E8">
        <v>63</v>
      </c>
      <c r="H8">
        <f>농협IRP17[[#This Row],[현금지출]]-농협IRP17[[#This Row],[매입액]]</f>
        <v>0</v>
      </c>
      <c r="S8">
        <f>SUM($R$2:R15)</f>
        <v>0</v>
      </c>
    </row>
    <row r="9" spans="1:19" x14ac:dyDescent="0.3">
      <c r="A9">
        <v>45346</v>
      </c>
      <c r="B9" t="s">
        <v>467</v>
      </c>
      <c r="C9" t="str">
        <f>VLOOKUP(농협IRP17[[#This Row],[종목코드]],연금종목정보[],2,FALSE)</f>
        <v>국내주식 반도체</v>
      </c>
      <c r="D9" t="str">
        <f>VLOOKUP(농협IRP17[[#This Row],[종목코드]],연금종목정보[],4,FALSE)</f>
        <v>SOL 반도체소부장루</v>
      </c>
      <c r="E9">
        <v>47</v>
      </c>
      <c r="H9">
        <f>농협IRP17[[#This Row],[현금지출]]-농협IRP17[[#This Row],[매입액]]</f>
        <v>0</v>
      </c>
      <c r="S9">
        <f>SUM($R$2:R17)</f>
        <v>0</v>
      </c>
    </row>
    <row r="10" spans="1:19" x14ac:dyDescent="0.3">
      <c r="A10">
        <v>45346</v>
      </c>
      <c r="B10" t="s">
        <v>468</v>
      </c>
      <c r="C10" t="str">
        <f>VLOOKUP(농협IRP17[[#This Row],[종목코드]],연금종목정보[],2,FALSE)</f>
        <v>미국채권 투자등급</v>
      </c>
      <c r="D10" t="str">
        <f>VLOOKUP(농협IRP17[[#This Row],[종목코드]],연금종목정보[],4,FALSE)</f>
        <v>KBSTAR 미국단기투자등급회사채액티브</v>
      </c>
      <c r="E10">
        <v>120</v>
      </c>
      <c r="H10">
        <f>농협IRP17[[#This Row],[현금지출]]-농협IRP17[[#This Row],[매입액]]</f>
        <v>0</v>
      </c>
      <c r="S10">
        <f>SUM($R$2:R19)</f>
        <v>0</v>
      </c>
    </row>
    <row r="11" spans="1:19" x14ac:dyDescent="0.3">
      <c r="A11">
        <v>45346</v>
      </c>
      <c r="B11" t="s">
        <v>469</v>
      </c>
      <c r="C11" t="str">
        <f>VLOOKUP(농협IRP17[[#This Row],[종목코드]],연금종목정보[],2,FALSE)</f>
        <v>미국주식 S&amp;P</v>
      </c>
      <c r="D11" t="str">
        <f>VLOOKUP(농협IRP17[[#This Row],[종목코드]],연금종목정보[],4,FALSE)</f>
        <v>KODEX 미국S&amp;P500(H)</v>
      </c>
      <c r="E11">
        <v>108</v>
      </c>
      <c r="H11">
        <f>농협IRP17[[#This Row],[현금지출]]-농협IRP17[[#This Row],[매입액]]</f>
        <v>0</v>
      </c>
      <c r="S11">
        <f>SUM($R$2:R21)</f>
        <v>0</v>
      </c>
    </row>
    <row r="12" spans="1:19" x14ac:dyDescent="0.3">
      <c r="A12">
        <v>45346</v>
      </c>
      <c r="B12" t="s">
        <v>470</v>
      </c>
      <c r="C12" t="str">
        <f>VLOOKUP(농협IRP17[[#This Row],[종목코드]],연금종목정보[],2,FALSE)</f>
        <v>글로벌 인공지능</v>
      </c>
      <c r="D12" t="str">
        <f>VLOOKUP(농협IRP17[[#This Row],[종목코드]],연금종목정보[],4,FALSE)</f>
        <v>TIMEFOLIO 글로벌AI인공지능액티브</v>
      </c>
      <c r="E12">
        <v>73</v>
      </c>
      <c r="H12">
        <f>농협IRP17[[#This Row],[현금지출]]-농협IRP17[[#This Row],[매입액]]</f>
        <v>0</v>
      </c>
      <c r="S12">
        <f>SUM($R$2:R23)</f>
        <v>0</v>
      </c>
    </row>
    <row r="13" spans="1:19" x14ac:dyDescent="0.3">
      <c r="A13">
        <v>45346</v>
      </c>
      <c r="B13" t="s">
        <v>471</v>
      </c>
      <c r="C13" t="str">
        <f>VLOOKUP(농협IRP17[[#This Row],[종목코드]],연금종목정보[],2,FALSE)</f>
        <v>미국배당주</v>
      </c>
      <c r="D13" t="str">
        <f>VLOOKUP(농협IRP17[[#This Row],[종목코드]],연금종목정보[],4,FALSE)</f>
        <v>TIGER 미국배당다우존스</v>
      </c>
      <c r="E13">
        <v>115</v>
      </c>
      <c r="H13">
        <f>농협IRP17[[#This Row],[현금지출]]-농협IRP17[[#This Row],[매입액]]</f>
        <v>0</v>
      </c>
      <c r="S13">
        <f>SUM($R$2:R23)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5" sqref="C5"/>
    </sheetView>
  </sheetViews>
  <sheetFormatPr defaultRowHeight="16.5" x14ac:dyDescent="0.3"/>
  <cols>
    <col min="1" max="2" width="10.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5" x14ac:dyDescent="0.3">
      <c r="A1" t="s">
        <v>390</v>
      </c>
      <c r="B1" t="s">
        <v>391</v>
      </c>
      <c r="C1" t="s">
        <v>392</v>
      </c>
      <c r="D1" t="s">
        <v>393</v>
      </c>
    </row>
    <row r="2" spans="1:5" x14ac:dyDescent="0.3">
      <c r="C2">
        <v>547863</v>
      </c>
      <c r="D2">
        <v>548019</v>
      </c>
      <c r="E2" t="s">
        <v>177</v>
      </c>
    </row>
    <row r="3" spans="1:5" x14ac:dyDescent="0.3">
      <c r="A3" s="89">
        <v>44979</v>
      </c>
      <c r="B3" s="89">
        <f t="shared" ref="B3:B22" si="0">EDATE(A3,12)</f>
        <v>45344</v>
      </c>
      <c r="C3" s="90">
        <v>212400</v>
      </c>
      <c r="D3" s="90">
        <v>219265</v>
      </c>
    </row>
    <row r="4" spans="1:5" x14ac:dyDescent="0.3">
      <c r="A4" s="89">
        <v>44979</v>
      </c>
      <c r="B4" s="89">
        <f t="shared" si="0"/>
        <v>45344</v>
      </c>
      <c r="C4" s="90">
        <v>389501</v>
      </c>
      <c r="D4" s="90">
        <v>402090</v>
      </c>
    </row>
    <row r="5" spans="1:5" x14ac:dyDescent="0.3">
      <c r="A5" s="89">
        <v>44979</v>
      </c>
      <c r="B5" s="89">
        <f t="shared" si="0"/>
        <v>45344</v>
      </c>
      <c r="C5" s="90">
        <v>254275</v>
      </c>
      <c r="D5" s="90">
        <v>262494</v>
      </c>
    </row>
    <row r="6" spans="1:5" x14ac:dyDescent="0.3">
      <c r="A6" s="89">
        <v>44979</v>
      </c>
      <c r="B6" s="89">
        <f t="shared" si="0"/>
        <v>45344</v>
      </c>
      <c r="C6" s="90">
        <v>340900</v>
      </c>
      <c r="D6" s="90">
        <v>351919</v>
      </c>
    </row>
    <row r="7" spans="1:5" x14ac:dyDescent="0.3">
      <c r="A7" s="89">
        <v>44981</v>
      </c>
      <c r="B7" s="89">
        <f t="shared" si="0"/>
        <v>45346</v>
      </c>
      <c r="C7" s="90">
        <v>212483</v>
      </c>
      <c r="D7" s="90">
        <v>219311</v>
      </c>
    </row>
    <row r="8" spans="1:5" x14ac:dyDescent="0.3">
      <c r="A8" s="89">
        <v>45007</v>
      </c>
      <c r="B8" s="89">
        <f t="shared" si="0"/>
        <v>45373</v>
      </c>
      <c r="C8" s="90">
        <v>212212</v>
      </c>
      <c r="D8" s="90">
        <v>218517</v>
      </c>
    </row>
    <row r="9" spans="1:5" x14ac:dyDescent="0.3">
      <c r="A9" s="89">
        <v>45007</v>
      </c>
      <c r="B9" s="89">
        <f t="shared" si="0"/>
        <v>45373</v>
      </c>
      <c r="C9" s="90">
        <v>389614</v>
      </c>
      <c r="D9" s="90">
        <v>401191</v>
      </c>
    </row>
    <row r="10" spans="1:5" x14ac:dyDescent="0.3">
      <c r="A10" s="89">
        <v>45007</v>
      </c>
      <c r="B10" s="89">
        <f t="shared" si="0"/>
        <v>45373</v>
      </c>
      <c r="C10" s="90">
        <v>254450</v>
      </c>
      <c r="D10" s="90">
        <v>262010</v>
      </c>
    </row>
    <row r="11" spans="1:5" x14ac:dyDescent="0.3">
      <c r="A11" s="89">
        <v>45007</v>
      </c>
      <c r="B11" s="89">
        <f t="shared" si="0"/>
        <v>45373</v>
      </c>
      <c r="C11" s="90">
        <v>340900</v>
      </c>
      <c r="D11" s="90">
        <v>351029</v>
      </c>
    </row>
    <row r="12" spans="1:5" x14ac:dyDescent="0.3">
      <c r="A12" s="89">
        <v>45008</v>
      </c>
      <c r="B12" s="89">
        <f t="shared" si="0"/>
        <v>45374</v>
      </c>
      <c r="C12" s="90">
        <v>212160</v>
      </c>
      <c r="D12" s="90">
        <v>218444</v>
      </c>
    </row>
    <row r="13" spans="1:5" x14ac:dyDescent="0.3">
      <c r="A13" s="89">
        <v>45038</v>
      </c>
      <c r="B13" s="89">
        <f t="shared" si="0"/>
        <v>45404</v>
      </c>
      <c r="C13" s="90">
        <v>216264</v>
      </c>
      <c r="D13" s="90">
        <v>221639</v>
      </c>
    </row>
    <row r="14" spans="1:5" x14ac:dyDescent="0.3">
      <c r="A14" s="89">
        <v>45038</v>
      </c>
      <c r="B14" s="89">
        <f t="shared" si="0"/>
        <v>45404</v>
      </c>
      <c r="C14" s="90">
        <v>212180</v>
      </c>
      <c r="D14" s="90">
        <v>217453</v>
      </c>
    </row>
    <row r="15" spans="1:5" x14ac:dyDescent="0.3">
      <c r="A15" s="89">
        <v>45038</v>
      </c>
      <c r="B15" s="89">
        <f t="shared" si="0"/>
        <v>45404</v>
      </c>
      <c r="C15" s="90">
        <v>390036</v>
      </c>
      <c r="D15" s="90">
        <v>399730</v>
      </c>
    </row>
    <row r="16" spans="1:5" x14ac:dyDescent="0.3">
      <c r="A16" s="89">
        <v>45038</v>
      </c>
      <c r="B16" s="89">
        <f t="shared" si="0"/>
        <v>45404</v>
      </c>
      <c r="C16" s="90">
        <v>254675</v>
      </c>
      <c r="D16" s="90">
        <v>261004</v>
      </c>
    </row>
    <row r="17" spans="1:4" x14ac:dyDescent="0.3">
      <c r="A17" s="89">
        <v>45040</v>
      </c>
      <c r="B17" s="89">
        <f t="shared" si="0"/>
        <v>45406</v>
      </c>
      <c r="C17" s="90">
        <v>340900</v>
      </c>
      <c r="D17" s="90">
        <v>349314</v>
      </c>
    </row>
    <row r="18" spans="1:4" x14ac:dyDescent="0.3">
      <c r="A18" s="89">
        <v>45068</v>
      </c>
      <c r="B18" s="89">
        <f t="shared" si="0"/>
        <v>45434</v>
      </c>
      <c r="C18" s="90">
        <v>216196</v>
      </c>
      <c r="D18" s="90">
        <v>220979</v>
      </c>
    </row>
    <row r="19" spans="1:4" x14ac:dyDescent="0.3">
      <c r="A19" s="89">
        <v>45068</v>
      </c>
      <c r="B19" s="89">
        <f t="shared" si="0"/>
        <v>45434</v>
      </c>
      <c r="C19" s="90">
        <v>212154</v>
      </c>
      <c r="D19" s="90">
        <v>216847</v>
      </c>
    </row>
    <row r="20" spans="1:4" x14ac:dyDescent="0.3">
      <c r="A20" s="89">
        <v>45068</v>
      </c>
      <c r="B20" s="89">
        <f t="shared" si="0"/>
        <v>45434</v>
      </c>
      <c r="C20" s="90">
        <v>340900</v>
      </c>
      <c r="D20" s="90">
        <v>348442</v>
      </c>
    </row>
    <row r="21" spans="1:4" x14ac:dyDescent="0.3">
      <c r="A21" s="89">
        <v>45069</v>
      </c>
      <c r="B21" s="89">
        <f t="shared" si="0"/>
        <v>45435</v>
      </c>
      <c r="C21" s="90">
        <v>255275</v>
      </c>
      <c r="D21" s="90">
        <v>260900</v>
      </c>
    </row>
    <row r="22" spans="1:4" x14ac:dyDescent="0.3">
      <c r="A22" s="89">
        <v>45070</v>
      </c>
      <c r="B22" s="89">
        <f t="shared" si="0"/>
        <v>45436</v>
      </c>
      <c r="C22" s="90">
        <v>257342</v>
      </c>
      <c r="D22" s="90">
        <v>262991</v>
      </c>
    </row>
    <row r="23" spans="1:4" x14ac:dyDescent="0.3">
      <c r="A23" s="89">
        <v>45099</v>
      </c>
      <c r="B23" s="89">
        <f>EDATE(A23,12)</f>
        <v>45465</v>
      </c>
      <c r="C23" s="90">
        <v>396945</v>
      </c>
      <c r="D23" s="90">
        <v>405338</v>
      </c>
    </row>
    <row r="24" spans="1:4" x14ac:dyDescent="0.3">
      <c r="A24" s="89">
        <v>45099</v>
      </c>
      <c r="B24" s="89">
        <f t="shared" ref="B24:B36" si="1">EDATE(A24,12)</f>
        <v>45465</v>
      </c>
      <c r="C24" s="90">
        <v>154520</v>
      </c>
      <c r="D24" s="90">
        <v>157787</v>
      </c>
    </row>
    <row r="25" spans="1:4" x14ac:dyDescent="0.3">
      <c r="A25" s="89">
        <v>45099</v>
      </c>
      <c r="B25" s="89">
        <f t="shared" si="1"/>
        <v>45465</v>
      </c>
      <c r="C25" s="90">
        <v>257719</v>
      </c>
      <c r="D25" s="90">
        <v>263168</v>
      </c>
    </row>
    <row r="26" spans="1:4" x14ac:dyDescent="0.3">
      <c r="A26" s="89">
        <v>45099</v>
      </c>
      <c r="B26" s="89">
        <f t="shared" si="1"/>
        <v>45465</v>
      </c>
      <c r="C26" s="90">
        <v>255725</v>
      </c>
      <c r="D26" s="90">
        <v>261132</v>
      </c>
    </row>
    <row r="27" spans="1:4" x14ac:dyDescent="0.3">
      <c r="A27" s="89">
        <v>45099</v>
      </c>
      <c r="B27" s="89">
        <f t="shared" si="1"/>
        <v>45465</v>
      </c>
      <c r="C27" s="90">
        <v>340900</v>
      </c>
      <c r="D27" s="90">
        <v>348108</v>
      </c>
    </row>
    <row r="28" spans="1:4" x14ac:dyDescent="0.3">
      <c r="A28" s="89">
        <v>45101</v>
      </c>
      <c r="B28" s="89">
        <f t="shared" si="1"/>
        <v>45467</v>
      </c>
      <c r="C28" s="90">
        <v>216278</v>
      </c>
      <c r="D28" s="90">
        <v>220810</v>
      </c>
    </row>
    <row r="29" spans="1:4" x14ac:dyDescent="0.3">
      <c r="A29" s="3">
        <v>45131</v>
      </c>
      <c r="B29" s="89">
        <f t="shared" si="1"/>
        <v>45497</v>
      </c>
      <c r="C29" s="90">
        <v>340900</v>
      </c>
      <c r="D29" s="90">
        <v>347183</v>
      </c>
    </row>
    <row r="30" spans="1:4" x14ac:dyDescent="0.3">
      <c r="A30" s="3">
        <v>45160</v>
      </c>
      <c r="B30" s="89">
        <f t="shared" si="1"/>
        <v>45526</v>
      </c>
      <c r="C30" s="90">
        <v>340900</v>
      </c>
      <c r="D30" s="90">
        <v>346279</v>
      </c>
    </row>
    <row r="31" spans="1:4" x14ac:dyDescent="0.3">
      <c r="A31" s="3">
        <v>45191</v>
      </c>
      <c r="B31" s="89">
        <f t="shared" si="1"/>
        <v>45557</v>
      </c>
      <c r="C31" s="90">
        <v>340900</v>
      </c>
      <c r="D31" s="90">
        <v>345313</v>
      </c>
    </row>
    <row r="32" spans="1:4" x14ac:dyDescent="0.3">
      <c r="A32" s="3">
        <v>45222</v>
      </c>
      <c r="B32" s="89">
        <f t="shared" si="1"/>
        <v>45588</v>
      </c>
      <c r="C32" s="90">
        <v>340900</v>
      </c>
      <c r="D32" s="90">
        <v>344493</v>
      </c>
    </row>
    <row r="33" spans="1:5" x14ac:dyDescent="0.3">
      <c r="A33" s="3">
        <v>45225</v>
      </c>
      <c r="B33" s="89">
        <f t="shared" si="1"/>
        <v>45591</v>
      </c>
      <c r="C33" s="90">
        <v>6123103</v>
      </c>
      <c r="D33" s="90">
        <v>6199116</v>
      </c>
      <c r="E33" t="s">
        <v>389</v>
      </c>
    </row>
    <row r="34" spans="1:5" x14ac:dyDescent="0.3">
      <c r="A34" s="3">
        <v>45252</v>
      </c>
      <c r="B34" s="89">
        <f t="shared" si="1"/>
        <v>45618</v>
      </c>
      <c r="C34" s="90">
        <v>340900</v>
      </c>
      <c r="D34" s="90">
        <v>343526</v>
      </c>
    </row>
    <row r="35" spans="1:5" x14ac:dyDescent="0.3">
      <c r="A35" s="3">
        <v>45282</v>
      </c>
      <c r="B35" s="89">
        <f t="shared" si="1"/>
        <v>45648</v>
      </c>
      <c r="C35" s="90">
        <v>340900</v>
      </c>
      <c r="D35" s="90">
        <v>342441</v>
      </c>
    </row>
    <row r="36" spans="1:5" x14ac:dyDescent="0.3">
      <c r="A36" s="3">
        <v>45313</v>
      </c>
      <c r="B36" s="89">
        <f t="shared" si="1"/>
        <v>45679</v>
      </c>
      <c r="C36" s="90">
        <v>340900</v>
      </c>
      <c r="D36" s="90">
        <v>341324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405</v>
      </c>
      <c r="B1" t="s">
        <v>406</v>
      </c>
      <c r="D1" t="s">
        <v>407</v>
      </c>
    </row>
    <row r="2" spans="1:4" x14ac:dyDescent="0.3">
      <c r="A2" s="3">
        <v>43524</v>
      </c>
      <c r="B2" s="3">
        <v>45351</v>
      </c>
      <c r="C2" t="s">
        <v>408</v>
      </c>
      <c r="D2">
        <v>5600</v>
      </c>
    </row>
    <row r="3" spans="1:4" x14ac:dyDescent="0.3">
      <c r="A3" s="3">
        <v>43868</v>
      </c>
      <c r="B3" s="3">
        <v>45329</v>
      </c>
      <c r="C3" t="s">
        <v>408</v>
      </c>
      <c r="D3">
        <v>6070</v>
      </c>
    </row>
    <row r="4" spans="1:4" x14ac:dyDescent="0.3">
      <c r="A4" s="3">
        <v>44244</v>
      </c>
      <c r="B4" s="3">
        <v>45339</v>
      </c>
      <c r="C4" t="s">
        <v>408</v>
      </c>
      <c r="D4">
        <v>6510</v>
      </c>
    </row>
    <row r="5" spans="1:4" x14ac:dyDescent="0.3">
      <c r="A5" s="3">
        <v>44609</v>
      </c>
      <c r="B5" s="3">
        <v>45339</v>
      </c>
      <c r="C5" t="s">
        <v>408</v>
      </c>
      <c r="D5">
        <v>6260</v>
      </c>
    </row>
    <row r="6" spans="1:4" x14ac:dyDescent="0.3">
      <c r="A6" s="3">
        <v>44966</v>
      </c>
      <c r="B6" s="3">
        <v>45331</v>
      </c>
      <c r="C6" t="s">
        <v>408</v>
      </c>
      <c r="D6" s="90">
        <v>6470</v>
      </c>
    </row>
    <row r="7" spans="1:4" x14ac:dyDescent="0.3">
      <c r="A7" s="3">
        <v>45322</v>
      </c>
      <c r="B7" s="3">
        <v>45688</v>
      </c>
      <c r="C7" t="s">
        <v>408</v>
      </c>
      <c r="D7" s="90">
        <v>9915590</v>
      </c>
    </row>
    <row r="8" spans="1:4" x14ac:dyDescent="0.3">
      <c r="A8" s="3">
        <v>45314</v>
      </c>
      <c r="B8" s="3"/>
      <c r="C8" t="s">
        <v>409</v>
      </c>
      <c r="D8" s="50">
        <v>5064619</v>
      </c>
    </row>
    <row r="9" spans="1:4" x14ac:dyDescent="0.3">
      <c r="A9" s="3">
        <v>45323</v>
      </c>
      <c r="B9" s="3"/>
      <c r="C9" t="s">
        <v>409</v>
      </c>
      <c r="D9" s="50">
        <v>10087835</v>
      </c>
    </row>
    <row r="10" spans="1:4" x14ac:dyDescent="0.3">
      <c r="A10" s="3">
        <v>45322</v>
      </c>
      <c r="B10" s="3"/>
      <c r="C10" s="93" t="s">
        <v>364</v>
      </c>
      <c r="D10">
        <v>4195346</v>
      </c>
    </row>
    <row r="11" spans="1:4" x14ac:dyDescent="0.3">
      <c r="A11" s="3">
        <v>45322</v>
      </c>
      <c r="B11" s="3"/>
      <c r="C11" s="93" t="s">
        <v>363</v>
      </c>
      <c r="D11">
        <v>2097673</v>
      </c>
    </row>
    <row r="12" spans="1:4" x14ac:dyDescent="0.3">
      <c r="A12" s="3">
        <v>45322</v>
      </c>
      <c r="B12" s="3"/>
      <c r="C12" s="93" t="s">
        <v>361</v>
      </c>
      <c r="D12">
        <v>2097673</v>
      </c>
    </row>
    <row r="13" spans="1:4" x14ac:dyDescent="0.3">
      <c r="A13" s="3">
        <v>45322</v>
      </c>
      <c r="B13" s="3"/>
      <c r="C13" s="93" t="s">
        <v>359</v>
      </c>
      <c r="D13">
        <v>4195346</v>
      </c>
    </row>
    <row r="14" spans="1:4" x14ac:dyDescent="0.3">
      <c r="A14" s="3">
        <v>45322</v>
      </c>
      <c r="B14" s="3"/>
      <c r="C14" s="93" t="s">
        <v>357</v>
      </c>
      <c r="D14">
        <v>4195346</v>
      </c>
    </row>
    <row r="15" spans="1:4" x14ac:dyDescent="0.3">
      <c r="A15" s="3">
        <v>45323</v>
      </c>
      <c r="B15" s="3"/>
      <c r="C15" s="93" t="s">
        <v>367</v>
      </c>
      <c r="D15">
        <v>2097672</v>
      </c>
    </row>
    <row r="16" spans="1:4" x14ac:dyDescent="0.3">
      <c r="A16" s="3">
        <v>45323</v>
      </c>
      <c r="B16" s="3"/>
      <c r="C16" s="93" t="s">
        <v>366</v>
      </c>
      <c r="D16">
        <v>2097673</v>
      </c>
    </row>
    <row r="17" spans="1:4" x14ac:dyDescent="0.3">
      <c r="A17" s="3">
        <v>45324</v>
      </c>
      <c r="B17" s="3"/>
      <c r="C17" s="93" t="s">
        <v>365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4" ySplit="1" topLeftCell="L2" activePane="bottomRight" state="frozen"/>
      <selection activeCell="A59" sqref="A59"/>
      <selection pane="topRight" activeCell="F1" sqref="F1"/>
      <selection pane="bottomLeft" activeCell="A69" sqref="A69"/>
      <selection pane="bottomRight" activeCell="D15" sqref="D15"/>
    </sheetView>
  </sheetViews>
  <sheetFormatPr defaultRowHeight="16.5" x14ac:dyDescent="0.3"/>
  <cols>
    <col min="1" max="1" width="11.125" style="92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2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2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2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2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2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2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2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2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2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2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2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2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2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2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2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2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1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2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1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2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1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2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1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2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1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2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1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2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1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2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1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2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1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2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1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2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1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2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1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2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1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2">
        <v>45341</v>
      </c>
      <c r="B29" s="46" t="s">
        <v>440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4">
        <v>0</v>
      </c>
      <c r="G29" s="95">
        <v>0</v>
      </c>
      <c r="H29" s="95">
        <f>불리오[[#This Row],[현금지출]]-불리오[[#This Row],[매입액]]</f>
        <v>0</v>
      </c>
      <c r="I29" s="110">
        <v>1</v>
      </c>
      <c r="J29" s="94">
        <v>18.149999999999999</v>
      </c>
      <c r="K29" s="94">
        <v>16.36</v>
      </c>
      <c r="L29" s="111">
        <v>0</v>
      </c>
      <c r="M29" s="94">
        <v>16.350000000000001</v>
      </c>
      <c r="N29" s="111">
        <f>불리오[[#This Row],[매도액]]-불리오[[#This Row],[매도원금]]</f>
        <v>-1.7899999999999991</v>
      </c>
      <c r="O29" s="111">
        <f>불리오[[#This Row],[매도액]]+불리오[[#This Row],[이자배당액]]-불리오[[#This Row],[현금수입]]</f>
        <v>9.9999999999980105E-3</v>
      </c>
      <c r="P29" s="111">
        <f>불리오[[#This Row],[매매수익]]+불리오[[#This Row],[이자배당액]]-불리오[[#This Row],[매도비용]]-불리오[[#This Row],[매입비용]]</f>
        <v>-1.7999999999999972</v>
      </c>
      <c r="Q29" s="91">
        <v>0</v>
      </c>
      <c r="R29" s="110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2">
        <v>45341</v>
      </c>
      <c r="B30" s="46" t="s">
        <v>441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4">
        <v>0</v>
      </c>
      <c r="G30" s="95">
        <v>0</v>
      </c>
      <c r="H30" s="95">
        <f>불리오[[#This Row],[현금지출]]-불리오[[#This Row],[매입액]]</f>
        <v>0</v>
      </c>
      <c r="I30" s="110">
        <v>1</v>
      </c>
      <c r="J30" s="94">
        <v>35.590000000000003</v>
      </c>
      <c r="K30" s="94">
        <v>32.86</v>
      </c>
      <c r="L30" s="111">
        <v>0</v>
      </c>
      <c r="M30" s="94">
        <v>32.82</v>
      </c>
      <c r="N30" s="111">
        <f>불리오[[#This Row],[매도액]]-불리오[[#This Row],[매도원금]]</f>
        <v>-2.730000000000004</v>
      </c>
      <c r="O30" s="111">
        <f>불리오[[#This Row],[매도액]]+불리오[[#This Row],[이자배당액]]-불리오[[#This Row],[현금수입]]</f>
        <v>3.9999999999999147E-2</v>
      </c>
      <c r="P30" s="111">
        <f>불리오[[#This Row],[매매수익]]+불리오[[#This Row],[이자배당액]]-불리오[[#This Row],[매도비용]]-불리오[[#This Row],[매입비용]]</f>
        <v>-2.7700000000000031</v>
      </c>
      <c r="Q30" s="91">
        <v>0</v>
      </c>
      <c r="R30" s="110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2">
        <v>45341</v>
      </c>
      <c r="B31" s="46" t="s">
        <v>442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4">
        <v>0</v>
      </c>
      <c r="G31" s="95">
        <v>0</v>
      </c>
      <c r="H31" s="95">
        <f>불리오[[#This Row],[현금지출]]-불리오[[#This Row],[매입액]]</f>
        <v>0</v>
      </c>
      <c r="I31" s="110">
        <v>1</v>
      </c>
      <c r="J31" s="94">
        <v>25.08</v>
      </c>
      <c r="K31" s="94">
        <v>23.23</v>
      </c>
      <c r="L31" s="111">
        <v>0</v>
      </c>
      <c r="M31" s="94">
        <v>23.21</v>
      </c>
      <c r="N31" s="111">
        <f>불리오[[#This Row],[매도액]]-불리오[[#This Row],[매도원금]]</f>
        <v>-1.8499999999999979</v>
      </c>
      <c r="O31" s="111">
        <f>불리오[[#This Row],[매도액]]+불리오[[#This Row],[이자배당액]]-불리오[[#This Row],[현금수입]]</f>
        <v>1.9999999999999574E-2</v>
      </c>
      <c r="P31" s="111">
        <f>불리오[[#This Row],[매매수익]]+불리오[[#This Row],[이자배당액]]-불리오[[#This Row],[매도비용]]-불리오[[#This Row],[매입비용]]</f>
        <v>-1.8699999999999974</v>
      </c>
      <c r="Q31" s="91">
        <v>0</v>
      </c>
      <c r="R31" s="110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2">
        <v>45341</v>
      </c>
      <c r="B32" s="46" t="s">
        <v>443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4">
        <v>0</v>
      </c>
      <c r="G32" s="95">
        <v>0</v>
      </c>
      <c r="H32" s="95">
        <f>불리오[[#This Row],[현금지출]]-불리오[[#This Row],[매입액]]</f>
        <v>0</v>
      </c>
      <c r="I32" s="110">
        <v>1</v>
      </c>
      <c r="J32" s="94">
        <v>24.2</v>
      </c>
      <c r="K32" s="94">
        <v>24.65</v>
      </c>
      <c r="L32" s="111">
        <v>0</v>
      </c>
      <c r="M32" s="94">
        <v>24.62</v>
      </c>
      <c r="N32" s="111">
        <f>불리오[[#This Row],[매도액]]-불리오[[#This Row],[매도원금]]</f>
        <v>0.44999999999999929</v>
      </c>
      <c r="O32" s="111">
        <f>불리오[[#This Row],[매도액]]+불리오[[#This Row],[이자배당액]]-불리오[[#This Row],[현금수입]]</f>
        <v>2.9999999999997584E-2</v>
      </c>
      <c r="P32" s="111">
        <f>불리오[[#This Row],[매매수익]]+불리오[[#This Row],[이자배당액]]-불리오[[#This Row],[매도비용]]-불리오[[#This Row],[매입비용]]</f>
        <v>0.42000000000000171</v>
      </c>
      <c r="Q32" s="91">
        <v>0</v>
      </c>
      <c r="R32" s="110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2">
        <v>45341</v>
      </c>
      <c r="B33" s="46" t="s">
        <v>444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4">
        <v>0</v>
      </c>
      <c r="G33" s="95">
        <v>0</v>
      </c>
      <c r="H33" s="95">
        <f>불리오[[#This Row],[현금지출]]-불리오[[#This Row],[매입액]]</f>
        <v>0</v>
      </c>
      <c r="I33" s="110">
        <v>17</v>
      </c>
      <c r="J33" s="94">
        <v>395.59</v>
      </c>
      <c r="K33" s="94">
        <v>394.91</v>
      </c>
      <c r="L33" s="111">
        <v>0</v>
      </c>
      <c r="M33" s="94">
        <v>394.25</v>
      </c>
      <c r="N33" s="111">
        <f>불리오[[#This Row],[매도액]]-불리오[[#This Row],[매도원금]]</f>
        <v>-0.67999999999994998</v>
      </c>
      <c r="O33" s="111">
        <f>불리오[[#This Row],[매도액]]+불리오[[#This Row],[이자배당액]]-불리오[[#This Row],[현금수입]]</f>
        <v>0.66000000000002501</v>
      </c>
      <c r="P33" s="111">
        <f>불리오[[#This Row],[매매수익]]+불리오[[#This Row],[이자배당액]]-불리오[[#This Row],[매도비용]]-불리오[[#This Row],[매입비용]]</f>
        <v>-1.339999999999975</v>
      </c>
      <c r="Q33" s="91">
        <v>0</v>
      </c>
      <c r="R33" s="110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2">
        <v>45343</v>
      </c>
      <c r="B34" s="46" t="s">
        <v>445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4">
        <v>67.81</v>
      </c>
      <c r="G34" s="95">
        <v>67.92</v>
      </c>
      <c r="H34" s="95">
        <f>불리오[[#This Row],[현금지출]]-불리오[[#This Row],[매입액]]</f>
        <v>0.10999999999999943</v>
      </c>
      <c r="I34" s="110">
        <v>0</v>
      </c>
      <c r="J34" s="94">
        <v>0</v>
      </c>
      <c r="K34" s="94">
        <v>0</v>
      </c>
      <c r="L34" s="111">
        <v>0</v>
      </c>
      <c r="M34" s="94">
        <v>0</v>
      </c>
      <c r="N34" s="111">
        <f>불리오[[#This Row],[매도액]]-불리오[[#This Row],[매도원금]]</f>
        <v>0</v>
      </c>
      <c r="O34" s="111">
        <f>불리오[[#This Row],[매도액]]+불리오[[#This Row],[이자배당액]]-불리오[[#This Row],[현금수입]]</f>
        <v>0</v>
      </c>
      <c r="P34" s="111">
        <f>불리오[[#This Row],[매매수익]]+불리오[[#This Row],[이자배당액]]-불리오[[#This Row],[매도비용]]-불리오[[#This Row],[매입비용]]</f>
        <v>-0.10999999999999943</v>
      </c>
      <c r="Q34" s="113">
        <v>0</v>
      </c>
      <c r="R34" s="110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2">
        <v>45343</v>
      </c>
      <c r="B35" s="46" t="s">
        <v>446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4">
        <v>27.4</v>
      </c>
      <c r="G35" s="95">
        <v>27.439999999999998</v>
      </c>
      <c r="H35" s="95">
        <f>불리오[[#This Row],[현금지출]]-불리오[[#This Row],[매입액]]</f>
        <v>3.9999999999999147E-2</v>
      </c>
      <c r="I35" s="110">
        <v>0</v>
      </c>
      <c r="J35" s="94">
        <v>0</v>
      </c>
      <c r="K35" s="94">
        <v>0</v>
      </c>
      <c r="L35" s="111">
        <v>0</v>
      </c>
      <c r="M35" s="94">
        <v>0</v>
      </c>
      <c r="N35" s="111">
        <f>불리오[[#This Row],[매도액]]-불리오[[#This Row],[매도원금]]</f>
        <v>0</v>
      </c>
      <c r="O35" s="111">
        <f>불리오[[#This Row],[매도액]]+불리오[[#This Row],[이자배당액]]-불리오[[#This Row],[현금수입]]</f>
        <v>0</v>
      </c>
      <c r="P35" s="111">
        <f>불리오[[#This Row],[매매수익]]+불리오[[#This Row],[이자배당액]]-불리오[[#This Row],[매도비용]]-불리오[[#This Row],[매입비용]]</f>
        <v>-3.9999999999999147E-2</v>
      </c>
      <c r="Q35" s="113">
        <v>0</v>
      </c>
      <c r="R35" s="110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2">
        <v>45343</v>
      </c>
      <c r="B36" s="46" t="s">
        <v>447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4">
        <v>36.68</v>
      </c>
      <c r="G36" s="95">
        <v>36.74</v>
      </c>
      <c r="H36" s="95">
        <f>불리오[[#This Row],[현금지출]]-불리오[[#This Row],[매입액]]</f>
        <v>6.0000000000002274E-2</v>
      </c>
      <c r="I36" s="110">
        <v>0</v>
      </c>
      <c r="J36" s="94">
        <v>0</v>
      </c>
      <c r="K36" s="94">
        <v>0</v>
      </c>
      <c r="L36" s="111">
        <v>0</v>
      </c>
      <c r="M36" s="94">
        <v>0</v>
      </c>
      <c r="N36" s="111">
        <f>불리오[[#This Row],[매도액]]-불리오[[#This Row],[매도원금]]</f>
        <v>0</v>
      </c>
      <c r="O36" s="111">
        <f>불리오[[#This Row],[매도액]]+불리오[[#This Row],[이자배당액]]-불리오[[#This Row],[현금수입]]</f>
        <v>0</v>
      </c>
      <c r="P36" s="111">
        <f>불리오[[#This Row],[매매수익]]+불리오[[#This Row],[이자배당액]]-불리오[[#This Row],[매도비용]]-불리오[[#This Row],[매입비용]]</f>
        <v>-6.0000000000002274E-2</v>
      </c>
      <c r="Q36" s="113">
        <v>0</v>
      </c>
      <c r="R36" s="110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x14ac:dyDescent="0.3">
      <c r="A37" s="92">
        <v>45343</v>
      </c>
      <c r="B37" s="46" t="s">
        <v>448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4">
        <f>8*48.05</f>
        <v>384.4</v>
      </c>
      <c r="G37" s="95">
        <v>385.04999999999995</v>
      </c>
      <c r="H37" s="95">
        <f>불리오[[#This Row],[현금지출]]-불리오[[#This Row],[매입액]]</f>
        <v>0.64999999999997726</v>
      </c>
      <c r="I37" s="110">
        <v>0</v>
      </c>
      <c r="J37" s="94">
        <v>0</v>
      </c>
      <c r="K37" s="94">
        <v>0</v>
      </c>
      <c r="L37" s="111">
        <v>0</v>
      </c>
      <c r="M37" s="94">
        <v>0</v>
      </c>
      <c r="N37" s="111">
        <f>불리오[[#This Row],[매도액]]-불리오[[#This Row],[매도원금]]</f>
        <v>0</v>
      </c>
      <c r="O37" s="111">
        <f>불리오[[#This Row],[매도액]]+불리오[[#This Row],[이자배당액]]-불리오[[#This Row],[현금수입]]</f>
        <v>0</v>
      </c>
      <c r="P37" s="111">
        <f>불리오[[#This Row],[매매수익]]+불리오[[#This Row],[이자배당액]]-불리오[[#This Row],[매도비용]]-불리오[[#This Row],[매입비용]]</f>
        <v>-0.64999999999997726</v>
      </c>
      <c r="Q37" s="113">
        <v>0</v>
      </c>
      <c r="R37" s="110">
        <f>불리오[[#This Row],[입출금]]+불리오[[#This Row],[현금수입]]-불리오[[#This Row],[현금지출]]</f>
        <v>-385.04999999999995</v>
      </c>
      <c r="S37" s="11">
        <f>SUM($R$2:R37)</f>
        <v>30.199999999999818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F11" sqref="F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459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8" t="s">
        <v>460</v>
      </c>
      <c r="C6" s="116" t="str">
        <f>VLOOKUP(표4[[#This Row],[종목코드]],표3[],2,FALSE)</f>
        <v>직접운용달러</v>
      </c>
      <c r="D6" s="117" t="str">
        <f>VLOOKUP(표4[[#This Row],[종목코드]],표3[],4,FALSE)</f>
        <v>한국투자증권 직접투자계좌 달러예수금</v>
      </c>
      <c r="E6" s="112"/>
      <c r="F6" s="118"/>
      <c r="G6" s="119"/>
      <c r="H6" s="119">
        <f>표4[[#This Row],[현금지출]]-표4[[#This Row],[매입액]]</f>
        <v>0</v>
      </c>
      <c r="I6" s="99"/>
      <c r="J6" s="118"/>
      <c r="K6" s="118"/>
      <c r="L6" s="118"/>
      <c r="M6" s="118"/>
      <c r="N6" s="118">
        <f>표4[[#This Row],[매도액]]-표4[[#This Row],[매도원금]]</f>
        <v>0</v>
      </c>
      <c r="O6" s="118">
        <f>표4[[#This Row],[매도액]]+표4[[#This Row],[이자배당액]]-표4[[#This Row],[현금수입]]</f>
        <v>0</v>
      </c>
      <c r="P6" s="121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4">
        <f>SUM($R$2:R6)</f>
        <v>0</v>
      </c>
    </row>
    <row r="7" spans="1:19" x14ac:dyDescent="0.3">
      <c r="A7" s="100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2">
        <v>0</v>
      </c>
      <c r="G7" s="103">
        <v>0</v>
      </c>
      <c r="H7" s="103">
        <f>표4[[#This Row],[현금지출]]-표4[[#This Row],[매입액]]</f>
        <v>0</v>
      </c>
      <c r="I7" s="99">
        <v>1</v>
      </c>
      <c r="J7" s="102">
        <v>5835.86</v>
      </c>
      <c r="K7" s="102">
        <f>3884.79+2023.91</f>
        <v>5908.7</v>
      </c>
      <c r="L7" s="102">
        <v>0</v>
      </c>
      <c r="M7" s="102">
        <v>5897.5</v>
      </c>
      <c r="N7" s="102">
        <f>표4[[#This Row],[매도액]]-표4[[#This Row],[매도원금]]</f>
        <v>72.840000000000146</v>
      </c>
      <c r="O7" s="102">
        <f>표4[[#This Row],[매도액]]+표4[[#This Row],[이자배당액]]-표4[[#This Row],[현금수입]]</f>
        <v>11.199999999999818</v>
      </c>
      <c r="P7" s="104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100">
        <v>45341</v>
      </c>
      <c r="B8" s="98" t="s">
        <v>89</v>
      </c>
      <c r="C8" s="105" t="str">
        <f>VLOOKUP(표4[[#This Row],[종목코드]],표3[],2,FALSE)</f>
        <v>한투외화RP</v>
      </c>
      <c r="D8" s="106" t="str">
        <f>VLOOKUP(표4[[#This Row],[종목코드]],표3[],4,FALSE)</f>
        <v>한국투자증권 직접투자계좌 외화RP</v>
      </c>
      <c r="E8" s="43">
        <v>1</v>
      </c>
      <c r="F8" s="102">
        <v>5897.5</v>
      </c>
      <c r="G8" s="102">
        <v>5897.5</v>
      </c>
      <c r="H8" s="103">
        <f>표4[[#This Row],[현금지출]]-표4[[#This Row],[매입액]]</f>
        <v>0</v>
      </c>
      <c r="I8" s="99">
        <v>0</v>
      </c>
      <c r="J8" s="102">
        <v>0</v>
      </c>
      <c r="K8" s="102">
        <v>0</v>
      </c>
      <c r="L8" s="102">
        <v>0</v>
      </c>
      <c r="M8" s="102">
        <v>0</v>
      </c>
      <c r="N8" s="102">
        <f>표4[[#This Row],[매도액]]-표4[[#This Row],[매도원금]]</f>
        <v>0</v>
      </c>
      <c r="O8" s="102">
        <f>표4[[#This Row],[매도액]]+표4[[#This Row],[이자배당액]]-표4[[#This Row],[현금수입]]</f>
        <v>0</v>
      </c>
      <c r="P8" s="104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3">
        <v>45342</v>
      </c>
      <c r="B9" s="98" t="s">
        <v>89</v>
      </c>
      <c r="C9" s="116" t="str">
        <f>VLOOKUP(표4[[#This Row],[종목코드]],표3[],2,FALSE)</f>
        <v>한투외화RP</v>
      </c>
      <c r="D9" s="117" t="str">
        <f>VLOOKUP(표4[[#This Row],[종목코드]],표3[],4,FALSE)</f>
        <v>한국투자증권 직접투자계좌 외화RP</v>
      </c>
      <c r="E9" s="43">
        <v>0</v>
      </c>
      <c r="F9" s="118">
        <v>0</v>
      </c>
      <c r="G9" s="119">
        <v>0</v>
      </c>
      <c r="H9" s="119">
        <f>표4[[#This Row],[현금지출]]-표4[[#This Row],[매입액]]</f>
        <v>0</v>
      </c>
      <c r="I9" s="99">
        <v>1</v>
      </c>
      <c r="J9" s="118">
        <v>5897.5</v>
      </c>
      <c r="K9" s="118">
        <v>5898.02</v>
      </c>
      <c r="L9" s="118">
        <v>0</v>
      </c>
      <c r="M9" s="118">
        <v>5897.95</v>
      </c>
      <c r="N9" s="118">
        <f>표4[[#This Row],[매도액]]-표4[[#This Row],[매도원금]]</f>
        <v>0.52000000000043656</v>
      </c>
      <c r="O9" s="118">
        <f>표4[[#This Row],[매도액]]+표4[[#This Row],[이자배당액]]-표4[[#This Row],[현금수입]]</f>
        <v>7.0000000000618456E-2</v>
      </c>
      <c r="P9" s="121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4">
        <v>45343</v>
      </c>
      <c r="B10" s="98" t="s">
        <v>449</v>
      </c>
      <c r="C10" s="116" t="str">
        <f>VLOOKUP(표4[[#This Row],[종목코드]],표3[],2,FALSE)</f>
        <v>미국인프라</v>
      </c>
      <c r="D10" s="117" t="str">
        <f>VLOOKUP(표4[[#This Row],[종목코드]],표3[],4,FALSE)</f>
        <v>GLOBAL X US INFRASTRUCTURE DEVELOPMENT ETF</v>
      </c>
      <c r="E10" s="43">
        <v>89</v>
      </c>
      <c r="F10" s="118">
        <v>3220.02</v>
      </c>
      <c r="G10" s="119">
        <v>3228.06</v>
      </c>
      <c r="H10" s="119">
        <f>표4[[#This Row],[현금지출]]-표4[[#This Row],[매입액]]</f>
        <v>8.0399999999999636</v>
      </c>
      <c r="I10" s="99">
        <v>0</v>
      </c>
      <c r="J10" s="118">
        <v>0</v>
      </c>
      <c r="K10" s="118">
        <v>0</v>
      </c>
      <c r="L10" s="118">
        <v>0</v>
      </c>
      <c r="M10" s="118">
        <v>0</v>
      </c>
      <c r="N10" s="118">
        <f>표4[[#This Row],[매도액]]-표4[[#This Row],[매도원금]]</f>
        <v>0</v>
      </c>
      <c r="O10" s="118">
        <f>표4[[#This Row],[매도액]]+표4[[#This Row],[이자배당액]]-표4[[#This Row],[현금수입]]</f>
        <v>0</v>
      </c>
      <c r="P10" s="121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22">
        <v>45343</v>
      </c>
      <c r="B11" s="115" t="s">
        <v>450</v>
      </c>
      <c r="C11" s="105" t="str">
        <f>VLOOKUP(표4[[#This Row],[종목코드]],표3[],2,FALSE)</f>
        <v>미국부동산</v>
      </c>
      <c r="D11" s="106" t="str">
        <f>VLOOKUP(표4[[#This Row],[종목코드]],표3[],4,FALSE)</f>
        <v>VANGUARD REAL ESTATE ETF</v>
      </c>
      <c r="E11" s="43">
        <v>31</v>
      </c>
      <c r="F11" s="102">
        <v>2607.7200000000003</v>
      </c>
      <c r="G11" s="103">
        <v>2614.2300000000005</v>
      </c>
      <c r="H11" s="103">
        <f>표4[[#This Row],[현금지출]]-표4[[#This Row],[매입액]]</f>
        <v>6.5100000000002183</v>
      </c>
      <c r="I11" s="120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f>표4[[#This Row],[매도액]]-표4[[#This Row],[매도원금]]</f>
        <v>0</v>
      </c>
      <c r="O11" s="102">
        <f>표4[[#This Row],[매도액]]+표4[[#This Row],[이자배당액]]-표4[[#This Row],[현금수입]]</f>
        <v>0</v>
      </c>
      <c r="P11" s="104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삼성DC</vt:lpstr>
      <vt:lpstr>엔투저축연금</vt:lpstr>
      <vt:lpstr>농협IRP (2)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2024-02-22T15:20:48Z</dcterms:modified>
</cp:coreProperties>
</file>