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infomax\Desktop\programming\my_asset\"/>
    </mc:Choice>
  </mc:AlternateContent>
  <xr:revisionPtr revIDLastSave="0" documentId="13_ncr:1_{8DE3883C-D871-466A-8D89-78082BAED090}" xr6:coauthVersionLast="36" xr6:coauthVersionMax="36" xr10:uidLastSave="{00000000-0000-0000-0000-000000000000}"/>
  <bookViews>
    <workbookView xWindow="0" yWindow="0" windowWidth="17250" windowHeight="5610" tabRatio="810" xr2:uid="{00000000-000D-0000-FFFF-FFFF00000000}"/>
  </bookViews>
  <sheets>
    <sheet name="자산정보" sheetId="2" r:id="rId1"/>
    <sheet name="연금종목정보" sheetId="15" r:id="rId2"/>
    <sheet name="농협IRP" sheetId="18" r:id="rId3"/>
    <sheet name="삼성DC" sheetId="17" r:id="rId4"/>
    <sheet name="엔투저축연금" sheetId="16" r:id="rId5"/>
    <sheet name="농협IRP (2)" sheetId="19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D6" i="4"/>
  <c r="H6" i="4"/>
  <c r="P6" i="4" s="1"/>
  <c r="N6" i="4"/>
  <c r="O6" i="4"/>
  <c r="R6" i="4"/>
  <c r="C42" i="2" l="1"/>
  <c r="C29" i="11"/>
  <c r="D29" i="11"/>
  <c r="H29" i="11"/>
  <c r="N29" i="11"/>
  <c r="P29" i="11" s="1"/>
  <c r="O29" i="11"/>
  <c r="R29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28" i="11" l="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2" i="11"/>
  <c r="R31" i="11"/>
  <c r="C32" i="11"/>
  <c r="D32" i="11"/>
  <c r="N32" i="11"/>
  <c r="O32" i="11"/>
  <c r="R32" i="11"/>
  <c r="C31" i="11"/>
  <c r="D31" i="11"/>
  <c r="N31" i="11"/>
  <c r="O31" i="11"/>
  <c r="C30" i="11"/>
  <c r="D30" i="11"/>
  <c r="H30" i="11"/>
  <c r="N30" i="11"/>
  <c r="O30" i="11"/>
  <c r="R30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2" i="11"/>
  <c r="H31" i="11"/>
  <c r="P31" i="11" s="1"/>
  <c r="P30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5" i="18"/>
  <c r="R2" i="18"/>
  <c r="R3" i="18"/>
  <c r="R4" i="18"/>
  <c r="R5" i="18"/>
  <c r="O2" i="18"/>
  <c r="O3" i="18"/>
  <c r="O4" i="18"/>
  <c r="O5" i="18"/>
  <c r="N2" i="18"/>
  <c r="N3" i="18"/>
  <c r="N4" i="18"/>
  <c r="N5" i="18"/>
  <c r="S2" i="16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P2" i="18" l="1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5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5" i="18"/>
  <c r="C2" i="16"/>
  <c r="B36" i="19" l="1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5" i="18"/>
  <c r="C3" i="17"/>
  <c r="C4" i="17"/>
  <c r="C5" i="17"/>
  <c r="C6" i="17"/>
  <c r="C7" i="17"/>
  <c r="C8" i="17"/>
  <c r="C9" i="17"/>
  <c r="C10" i="17"/>
  <c r="C11" i="17"/>
  <c r="C12" i="17"/>
  <c r="C2" i="17"/>
  <c r="S4" i="18" l="1"/>
  <c r="S3" i="18"/>
  <c r="S5" i="18"/>
  <c r="S2" i="18"/>
  <c r="C5" i="12" l="1"/>
  <c r="D5" i="12"/>
  <c r="H5" i="12"/>
  <c r="N5" i="12"/>
  <c r="O5" i="12"/>
  <c r="P5" i="12" s="1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R13" i="11" l="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29" i="11" l="1"/>
  <c r="S28" i="11"/>
  <c r="S21" i="11"/>
  <c r="S26" i="11"/>
  <c r="S22" i="11"/>
  <c r="S30" i="11"/>
  <c r="S23" i="11"/>
  <c r="S31" i="11"/>
  <c r="S24" i="11"/>
  <c r="S32" i="11"/>
  <c r="S25" i="11"/>
  <c r="S27" i="11"/>
  <c r="S2" i="6"/>
  <c r="S3" i="6"/>
  <c r="S4" i="6"/>
  <c r="S6" i="11"/>
  <c r="S12" i="11"/>
  <c r="S18" i="11"/>
  <c r="S7" i="11"/>
  <c r="S13" i="11"/>
  <c r="S19" i="11"/>
  <c r="S8" i="11"/>
  <c r="S14" i="11"/>
  <c r="S4" i="11"/>
  <c r="S10" i="11"/>
  <c r="S16" i="11"/>
  <c r="S5" i="11"/>
  <c r="S11" i="11"/>
  <c r="S17" i="11"/>
  <c r="S2" i="11"/>
  <c r="S20" i="11"/>
  <c r="S3" i="11"/>
  <c r="S9" i="11"/>
  <c r="S15" i="11"/>
  <c r="S3" i="12"/>
  <c r="S4" i="12"/>
  <c r="S5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6" i="4" l="1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37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F3" i="13" l="1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P2" i="3"/>
  <c r="S2" i="10"/>
</calcChain>
</file>

<file path=xl/sharedStrings.xml><?xml version="1.0" encoding="utf-8"?>
<sst xmlns="http://schemas.openxmlformats.org/spreadsheetml/2006/main" count="1390" uniqueCount="461">
  <si>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</si>
  <si>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</si>
  <si>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</si>
  <si>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</si>
  <si>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</si>
  <si>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</si>
  <si>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</si>
  <si>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</si>
  <si>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</si>
  <si>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</si>
  <si>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</si>
  <si>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</si>
  <si>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</si>
  <si>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</si>
  <si>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</si>
  <si>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</si>
  <si>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</si>
  <si>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</si>
  <si>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</si>
  <si>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</si>
  <si>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</si>
  <si>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</si>
  <si>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</si>
  <si>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</si>
  <si>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</si>
  <si>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</si>
  <si>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</si>
  <si>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</si>
  <si>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</si>
  <si>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</si>
  <si>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</si>
  <si>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</si>
  <si>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</si>
  <si>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</si>
  <si>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</si>
  <si>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</si>
  <si>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</si>
  <si>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</si>
  <si>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</si>
  <si>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</si>
  <si>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</si>
  <si>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</si>
  <si>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</si>
  <si>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</si>
  <si>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</si>
  <si>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</si>
  <si>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</si>
  <si>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</si>
  <si>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</si>
  <si>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</si>
  <si>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</si>
  <si>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</si>
  <si>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</si>
  <si>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</si>
  <si>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</si>
  <si>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</si>
  <si>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</si>
  <si>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</si>
  <si>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</si>
  <si>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</si>
  <si>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</si>
  <si>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</si>
  <si>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</si>
  <si>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</si>
  <si>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</si>
  <si>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</si>
  <si>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</si>
  <si>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</si>
  <si>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</si>
  <si>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</si>
  <si>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</si>
  <si>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</si>
  <si>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</si>
  <si>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</si>
  <si>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</si>
  <si>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</si>
  <si>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</si>
  <si>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</si>
  <si>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</si>
  <si>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</si>
  <si>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</si>
  <si>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</si>
  <si>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</si>
  <si>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</si>
  <si>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</si>
  <si>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</si>
  <si>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</si>
  <si>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</si>
  <si>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</si>
  <si>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</si>
  <si>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</si>
  <si>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</si>
  <si>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</si>
  <si>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</si>
  <si>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</si>
  <si>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</si>
  <si>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</si>
  <si>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</si>
  <si>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</si>
  <si>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</si>
  <si>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</si>
  <si>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</si>
  <si>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</si>
  <si>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</si>
  <si>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</si>
  <si>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</si>
  <si>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</si>
  <si>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</si>
  <si>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</si>
  <si>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</si>
  <si>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</si>
  <si>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</si>
  <si>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</si>
  <si>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</si>
  <si>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</si>
  <si>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</si>
  <si>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</si>
  <si>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</si>
  <si>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</si>
  <si>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</si>
  <si>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</si>
  <si>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</si>
  <si>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</si>
  <si>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</si>
  <si>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</si>
  <si>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</si>
  <si>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</si>
  <si>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</si>
  <si>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</si>
  <si>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</si>
  <si>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</si>
  <si>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</si>
  <si>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</si>
  <si>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</si>
  <si>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</si>
  <si>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</si>
  <si>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</si>
  <si>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</si>
  <si>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</si>
  <si>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</si>
  <si>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</si>
  <si>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</si>
  <si>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</si>
  <si>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</si>
  <si>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</si>
  <si>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</si>
  <si>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</si>
  <si>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</si>
  <si>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</si>
  <si>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</si>
  <si>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</si>
  <si>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</si>
  <si>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</si>
  <si>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</si>
  <si>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</si>
  <si>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</si>
  <si>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</si>
  <si>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</si>
  <si>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</si>
  <si>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</si>
  <si>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</si>
  <si>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</si>
  <si>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</si>
  <si>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</si>
  <si>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</si>
  <si>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</si>
  <si>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</si>
  <si>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</si>
  <si>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</si>
  <si>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</si>
  <si>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</si>
  <si>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</si>
  <si>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</si>
  <si>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</si>
  <si>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</si>
  <si>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</si>
  <si>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</si>
  <si>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</si>
  <si>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</si>
  <si>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</si>
  <si>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</si>
  <si>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</si>
  <si>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</si>
  <si>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</si>
  <si>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</si>
  <si>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</si>
  <si>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</si>
  <si>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</si>
  <si>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</si>
  <si>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</si>
  <si>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</si>
  <si>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</si>
  <si>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</si>
  <si>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</si>
  <si>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</si>
  <si>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</si>
  <si>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</si>
  <si>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</si>
  <si>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</si>
  <si>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</si>
  <si>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</si>
  <si>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</si>
  <si>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</si>
  <si>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</si>
  <si>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</si>
  <si>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</si>
  <si>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</si>
  <si>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</si>
  <si>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</si>
  <si>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</si>
  <si>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</si>
  <si>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</si>
  <si>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</si>
  <si>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</si>
  <si>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</si>
  <si>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</si>
  <si>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</si>
  <si>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</si>
  <si>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</si>
  <si>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</si>
  <si>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</si>
  <si>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</si>
  <si>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</si>
  <si>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</si>
  <si>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</si>
  <si>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</si>
  <si>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</si>
  <si>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</si>
  <si>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</si>
  <si>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</si>
  <si>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</si>
  <si>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</si>
  <si>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</si>
  <si>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</si>
  <si>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</si>
  <si>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</si>
  <si>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</si>
  <si>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</si>
  <si>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</si>
  <si>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</si>
  <si>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</si>
  <si>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</si>
  <si>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</si>
  <si>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</si>
  <si>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</si>
  <si>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</si>
  <si>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</si>
  <si>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</si>
  <si>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</si>
  <si>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</si>
  <si>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</si>
  <si>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</si>
  <si>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</si>
  <si>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</si>
  <si>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</si>
  <si>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</si>
  <si>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</si>
  <si>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</si>
  <si>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</si>
  <si>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</si>
  <si>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</si>
  <si>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</si>
  <si>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</si>
  <si>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</si>
  <si>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</si>
  <si>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</si>
  <si>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</si>
  <si>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</si>
  <si>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</si>
  <si>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</si>
  <si>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</si>
  <si>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</si>
  <si>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</si>
  <si>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</si>
  <si>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</si>
  <si>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</si>
  <si>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</si>
  <si>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</si>
  <si>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</si>
  <si>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</si>
  <si>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</si>
  <si>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</si>
  <si>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</si>
  <si>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</si>
  <si>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</si>
  <si>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</si>
  <si>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</si>
  <si>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</si>
  <si>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</si>
  <si>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</si>
  <si>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</si>
  <si>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</si>
  <si>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</si>
  <si>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</si>
  <si>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</si>
  <si>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</si>
  <si>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</si>
  <si>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</si>
  <si>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</si>
  <si>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</si>
  <si>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</si>
  <si>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</si>
  <si>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</si>
  <si>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</si>
  <si>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</si>
  <si>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</si>
  <si>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</si>
  <si>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</si>
  <si>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</si>
  <si>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</si>
  <si>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</si>
  <si>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</si>
  <si>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</si>
  <si>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</si>
  <si>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</si>
  <si>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</si>
  <si>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</si>
  <si>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</si>
  <si>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</si>
  <si>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</si>
  <si>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</si>
  <si>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</si>
  <si>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</si>
  <si>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</si>
  <si>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</si>
  <si>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</si>
  <si>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</si>
  <si>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</si>
  <si>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</si>
  <si>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</si>
  <si>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</si>
  <si>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</si>
  <si>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</si>
  <si>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</si>
  <si>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</si>
  <si>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삼성 KODEX 코스피증권상장지수투자신탁(주식)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</si>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</sst>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</cellStyleXfs>
  <cellXfs count="126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left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</cellXfs>
  <cellStyles count="6">
    <cellStyle name="쉼표 [0]" xfId="1" builtinId="6"/>
    <cellStyle name="쉼표 [0] 2" xfId="4" xr:uid="{00000000-0005-0000-0000-000031000000}"/>
    <cellStyle name="표준" xfId="0" builtinId="0"/>
    <cellStyle name="표준 2" xfId="2" xr:uid="{00000000-0005-0000-0000-000002000000}"/>
    <cellStyle name="표준 2 2" xfId="5" xr:uid="{00000000-0005-0000-0000-000002000000}"/>
    <cellStyle name="표준 3" xfId="3" xr:uid="{00000000-0005-0000-0000-000030000000}"/>
  </cellStyles>
  <dxfs count="266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A1:J64" totalsRowShown="0">
  <autoFilter ref="A1:J64" xr:uid="{00000000-0009-0000-0100-000003000000}"/>
  <tableColumns count="10">
    <tableColumn id="8" xr3:uid="{00000000-0010-0000-0000-000008000000}" name="종목코드" dataDxfId="265"/>
    <tableColumn id="9" xr3:uid="{00000000-0010-0000-0000-000009000000}" name="종목명" dataDxfId="264">
      <calculatedColumnFormula>LEFT(#REF!,SEARCH("_",#REF!)-1)</calculatedColumnFormula>
    </tableColumn>
    <tableColumn id="14" xr3:uid="{00000000-0010-0000-0000-00000E000000}" name="평가금액"/>
    <tableColumn id="7" xr3:uid="{00000000-0010-0000-0000-000007000000}" name="상품명"/>
    <tableColumn id="2" xr3:uid="{00000000-0010-0000-0000-000002000000}" name="계좌"/>
    <tableColumn id="3" xr3:uid="{00000000-0010-0000-0000-000003000000}" name="통화"/>
    <tableColumn id="6" xr3:uid="{00000000-0010-0000-0000-000006000000}" name="자산군"/>
    <tableColumn id="4" xr3:uid="{00000000-0010-0000-0000-000004000000}" name="세부자산군"/>
    <tableColumn id="5" xr3:uid="{00000000-0010-0000-0000-000005000000}" name="세부자산군2"/>
    <tableColumn id="10" xr3:uid="{00000000-0010-0000-0000-00000A000000}" name="기초평가손익" dataDxfId="26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MA_한투183611" displayName="CMA_한투183611" ref="A1:S32" totalsRowShown="0" headerRowDxfId="82" headerRowCellStyle="쉼표 [0]">
  <autoFilter ref="A1:S32" xr:uid="{00000000-0009-0000-0100-00000A000000}"/>
  <tableColumns count="19">
    <tableColumn id="1" xr3:uid="{00000000-0010-0000-0900-000001000000}" name="거래일자" dataDxfId="81"/>
    <tableColumn id="5" xr3:uid="{00000000-0010-0000-0900-000005000000}" name="종목코드" dataDxfId="80"/>
    <tableColumn id="9" xr3:uid="{00000000-0010-0000-0900-000009000000}" name="종목명" dataDxfId="79">
      <calculatedColumnFormula>VLOOKUP(CMA_한투183611[[#This Row],[종목코드]],표3[],2,FALSE)</calculatedColumnFormula>
    </tableColumn>
    <tableColumn id="10" xr3:uid="{00000000-0010-0000-0900-00000A000000}" name="상품명" dataDxfId="78">
      <calculatedColumnFormula>VLOOKUP(CMA_한투183611[[#This Row],[종목코드]],표3[],4,FALSE)</calculatedColumnFormula>
    </tableColumn>
    <tableColumn id="6" xr3:uid="{00000000-0010-0000-0900-000006000000}" name="매입수량" dataDxfId="77"/>
    <tableColumn id="2" xr3:uid="{00000000-0010-0000-0900-000002000000}" name="매입액" dataDxfId="76" dataCellStyle="쉼표 [0]"/>
    <tableColumn id="12" xr3:uid="{00000000-0010-0000-0900-00000C000000}" name="현금지출" dataDxfId="75" dataCellStyle="쉼표 [0]"/>
    <tableColumn id="16" xr3:uid="{00000000-0010-0000-0900-000010000000}" name="매입비용" dataDxfId="74">
      <calculatedColumnFormula>CMA_한투183611[[#This Row],[현금지출]]-CMA_한투183611[[#This Row],[매입액]]</calculatedColumnFormula>
    </tableColumn>
    <tableColumn id="7" xr3:uid="{00000000-0010-0000-0900-000007000000}" name="매도수량" dataDxfId="73"/>
    <tableColumn id="3" xr3:uid="{00000000-0010-0000-0900-000003000000}" name="매도원금"/>
    <tableColumn id="15" xr3:uid="{00000000-0010-0000-0900-00000F000000}" name="매도액"/>
    <tableColumn id="14" xr3:uid="{00000000-0010-0000-0900-00000E000000}" name="이자배당액"/>
    <tableColumn id="13" xr3:uid="{00000000-0010-0000-0900-00000D000000}" name="현금수입"/>
    <tableColumn id="17" xr3:uid="{00000000-0010-0000-0900-000011000000}" name="매매수익">
      <calculatedColumnFormula>CMA_한투183611[[#This Row],[매도액]]-CMA_한투183611[[#This Row],[매도원금]]</calculatedColumnFormula>
    </tableColumn>
    <tableColumn id="18" xr3:uid="{00000000-0010-0000-0900-000012000000}" name="매도비용">
      <calculatedColumnFormula>CMA_한투183611[[#This Row],[매도액]]+CMA_한투183611[[#This Row],[이자배당액]]-CMA_한투183611[[#This Row],[현금수입]]</calculatedColumnFormula>
    </tableColumn>
    <tableColumn id="19" xr3:uid="{00000000-0010-0000-0900-000013000000}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xr3:uid="{00000000-0010-0000-0900-000004000000}" name="입출금"/>
    <tableColumn id="21" xr3:uid="{00000000-0010-0000-0900-000015000000}" name="순현금수입" dataDxfId="72">
      <calculatedColumnFormula>CMA_한투183611[[#This Row],[입출금]]+CMA_한투183611[[#This Row],[현금수입]]-CMA_한투183611[[#This Row],[현금지출]]</calculatedColumnFormula>
    </tableColumn>
    <tableColumn id="22" xr3:uid="{00000000-0010-0000-0900-000016000000}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MA_한투18361112" displayName="CMA_한투18361112" ref="A1:S5" totalsRowShown="0" headerRowDxfId="70" headerRowCellStyle="쉼표 [0]">
  <autoFilter ref="A1:S5" xr:uid="{00000000-0009-0000-0100-00000B000000}"/>
  <tableColumns count="19">
    <tableColumn id="1" xr3:uid="{00000000-0010-0000-0A00-000001000000}" name="거래일자" dataDxfId="69"/>
    <tableColumn id="5" xr3:uid="{00000000-0010-0000-0A00-000005000000}" name="종목코드" dataDxfId="68"/>
    <tableColumn id="9" xr3:uid="{00000000-0010-0000-0A00-000009000000}" name="종목명" dataDxfId="67">
      <calculatedColumnFormula>VLOOKUP(CMA_한투18361112[[#This Row],[종목코드]],표3[],2,FALSE)</calculatedColumnFormula>
    </tableColumn>
    <tableColumn id="10" xr3:uid="{00000000-0010-0000-0A00-00000A000000}" name="상품명" dataDxfId="66">
      <calculatedColumnFormula>VLOOKUP(CMA_한투18361112[[#This Row],[종목코드]],표3[],4,FALSE)</calculatedColumnFormula>
    </tableColumn>
    <tableColumn id="6" xr3:uid="{00000000-0010-0000-0A00-000006000000}" name="매입수량" dataDxfId="65"/>
    <tableColumn id="2" xr3:uid="{00000000-0010-0000-0A00-000002000000}" name="매입액"/>
    <tableColumn id="12" xr3:uid="{00000000-0010-0000-0A00-00000C000000}" name="현금지출"/>
    <tableColumn id="16" xr3:uid="{00000000-0010-0000-0A00-000010000000}" name="매입비용" dataDxfId="64">
      <calculatedColumnFormula>CMA_한투18361112[[#This Row],[현금지출]]-CMA_한투18361112[[#This Row],[매입액]]</calculatedColumnFormula>
    </tableColumn>
    <tableColumn id="7" xr3:uid="{00000000-0010-0000-0A00-000007000000}" name="매도수량" dataDxfId="63"/>
    <tableColumn id="3" xr3:uid="{00000000-0010-0000-0A00-000003000000}" name="매도원금"/>
    <tableColumn id="15" xr3:uid="{00000000-0010-0000-0A00-00000F000000}" name="매도액"/>
    <tableColumn id="14" xr3:uid="{00000000-0010-0000-0A00-00000E000000}" name="이자배당액"/>
    <tableColumn id="13" xr3:uid="{00000000-0010-0000-0A00-00000D000000}" name="현금수입"/>
    <tableColumn id="17" xr3:uid="{00000000-0010-0000-0A00-000011000000}" name="매매수익">
      <calculatedColumnFormula>CMA_한투18361112[[#This Row],[매도액]]-CMA_한투18361112[[#This Row],[매도원금]]</calculatedColumnFormula>
    </tableColumn>
    <tableColumn id="18" xr3:uid="{00000000-0010-0000-0A00-000012000000}" name="매도비용">
      <calculatedColumnFormula>CMA_한투18361112[[#This Row],[매도액]]+CMA_한투18361112[[#This Row],[이자배당액]]-CMA_한투18361112[[#This Row],[현금수입]]</calculatedColumnFormula>
    </tableColumn>
    <tableColumn id="19" xr3:uid="{00000000-0010-0000-0A00-000013000000}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xr3:uid="{00000000-0010-0000-0A00-000004000000}" name="입출금"/>
    <tableColumn id="21" xr3:uid="{00000000-0010-0000-0A00-000015000000}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xr3:uid="{00000000-0010-0000-0A00-000016000000}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CMA_한투183" displayName="CMA_한투183" ref="A1:S2" totalsRowShown="0" headerRowDxfId="60" dataDxfId="59" headerRowCellStyle="쉼표 [0]" dataCellStyle="쉼표 [0]">
  <autoFilter ref="A1:S2" xr:uid="{00000000-0009-0000-0100-000002000000}"/>
  <tableColumns count="19">
    <tableColumn id="1" xr3:uid="{00000000-0010-0000-0B00-000001000000}" name="거래일자" dataDxfId="58"/>
    <tableColumn id="5" xr3:uid="{00000000-0010-0000-0B00-000005000000}" name="종목코드" dataDxfId="57"/>
    <tableColumn id="9" xr3:uid="{00000000-0010-0000-0B00-000009000000}" name="종목명" dataDxfId="56">
      <calculatedColumnFormula>VLOOKUP(CMA_한투183[[#This Row],[종목코드]],표3[],2,FALSE)</calculatedColumnFormula>
    </tableColumn>
    <tableColumn id="10" xr3:uid="{00000000-0010-0000-0B00-00000A000000}" name="상품명" dataDxfId="55">
      <calculatedColumnFormula>VLOOKUP(CMA_한투183[[#This Row],[종목코드]],표3[],4,FALSE)</calculatedColumnFormula>
    </tableColumn>
    <tableColumn id="6" xr3:uid="{00000000-0010-0000-0B00-000006000000}" name="매입수량" dataDxfId="54"/>
    <tableColumn id="2" xr3:uid="{00000000-0010-0000-0B00-000002000000}" name="매입액" dataDxfId="53" dataCellStyle="쉼표 [0]"/>
    <tableColumn id="12" xr3:uid="{00000000-0010-0000-0B00-00000C000000}" name="현금지출" dataDxfId="52" dataCellStyle="쉼표 [0]"/>
    <tableColumn id="16" xr3:uid="{00000000-0010-0000-0B00-000010000000}" name="매입비용" dataDxfId="51" dataCellStyle="쉼표 [0]">
      <calculatedColumnFormula>CMA_한투183[[#This Row],[현금지출]]-CMA_한투183[[#This Row],[매입액]]</calculatedColumnFormula>
    </tableColumn>
    <tableColumn id="7" xr3:uid="{00000000-0010-0000-0B00-000007000000}" name="매도수량" dataDxfId="50" dataCellStyle="쉼표 [0]"/>
    <tableColumn id="3" xr3:uid="{00000000-0010-0000-0B00-000003000000}" name="매도원금" dataDxfId="49" dataCellStyle="쉼표 [0]"/>
    <tableColumn id="15" xr3:uid="{00000000-0010-0000-0B00-00000F000000}" name="매도액" dataDxfId="48" dataCellStyle="쉼표 [0]"/>
    <tableColumn id="14" xr3:uid="{00000000-0010-0000-0B00-00000E000000}" name="이자배당액" dataDxfId="47" dataCellStyle="쉼표 [0]"/>
    <tableColumn id="13" xr3:uid="{00000000-0010-0000-0B00-00000D000000}" name="현금수입" dataDxfId="46" dataCellStyle="쉼표 [0]"/>
    <tableColumn id="17" xr3:uid="{00000000-0010-0000-0B00-000011000000}" name="매매수익" dataDxfId="45" dataCellStyle="쉼표 [0]">
      <calculatedColumnFormula>CMA_한투183[[#This Row],[매도액]]-CMA_한투183[[#This Row],[매도원금]]</calculatedColumnFormula>
    </tableColumn>
    <tableColumn id="18" xr3:uid="{00000000-0010-0000-0B00-000012000000}" name="매도비용" dataDxfId="44" dataCellStyle="쉼표 [0]">
      <calculatedColumnFormula>CMA_한투183[[#This Row],[매도액]]+CMA_한투183[[#This Row],[이자배당액]]-CMA_한투183[[#This Row],[현금수입]]</calculatedColumnFormula>
    </tableColumn>
    <tableColumn id="19" xr3:uid="{00000000-0010-0000-0B00-000013000000}" name="순수익" dataDxfId="43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xr3:uid="{00000000-0010-0000-0B00-000004000000}" name="입출금" dataDxfId="42" dataCellStyle="쉼표 [0]"/>
    <tableColumn id="21" xr3:uid="{00000000-0010-0000-0B00-000015000000}" name="순현금수입" dataDxfId="41" dataCellStyle="쉼표 [0]">
      <calculatedColumnFormula>CMA_한투183[[#This Row],[입출금]]+CMA_한투183[[#This Row],[현금수입]]-CMA_한투183[[#This Row],[현금지출]]</calculatedColumnFormula>
    </tableColumn>
    <tableColumn id="22" xr3:uid="{00000000-0010-0000-0B00-000016000000}" name="누적" dataDxfId="40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CMA_한투1836" displayName="CMA_한투1836" ref="A1:S2" insertRow="1" totalsRowShown="0" headerRowDxfId="39" headerRowCellStyle="쉼표 [0]">
  <autoFilter ref="A1:S2" xr:uid="{00000000-0009-0000-0100-000005000000}"/>
  <tableColumns count="19">
    <tableColumn id="1" xr3:uid="{00000000-0010-0000-0C00-000001000000}" name="거래일자" dataDxfId="38"/>
    <tableColumn id="5" xr3:uid="{00000000-0010-0000-0C00-000005000000}" name="종목코드" dataDxfId="37"/>
    <tableColumn id="9" xr3:uid="{00000000-0010-0000-0C00-000009000000}" name="종목명" dataDxfId="36">
      <calculatedColumnFormula>VLOOKUP(CMA_한투1836[[#This Row],[종목코드]],표3[],2,FALSE)</calculatedColumnFormula>
    </tableColumn>
    <tableColumn id="10" xr3:uid="{00000000-0010-0000-0C00-00000A000000}" name="상품명" dataDxfId="35">
      <calculatedColumnFormula>VLOOKUP(CMA_한투1836[[#This Row],[종목코드]],표3[],4,FALSE)</calculatedColumnFormula>
    </tableColumn>
    <tableColumn id="6" xr3:uid="{00000000-0010-0000-0C00-000006000000}" name="매입수량" dataDxfId="34"/>
    <tableColumn id="2" xr3:uid="{00000000-0010-0000-0C00-000002000000}" name="매입액"/>
    <tableColumn id="12" xr3:uid="{00000000-0010-0000-0C00-00000C000000}" name="현금지출"/>
    <tableColumn id="16" xr3:uid="{00000000-0010-0000-0C00-000010000000}" name="매입비용" dataDxfId="33">
      <calculatedColumnFormula>CMA_한투1836[[#This Row],[현금지출]]-CMA_한투1836[[#This Row],[매입액]]</calculatedColumnFormula>
    </tableColumn>
    <tableColumn id="7" xr3:uid="{00000000-0010-0000-0C00-000007000000}" name="매도수량" dataDxfId="32"/>
    <tableColumn id="3" xr3:uid="{00000000-0010-0000-0C00-000003000000}" name="매도원금"/>
    <tableColumn id="15" xr3:uid="{00000000-0010-0000-0C00-00000F000000}" name="매도액"/>
    <tableColumn id="14" xr3:uid="{00000000-0010-0000-0C00-00000E000000}" name="이자배당액"/>
    <tableColumn id="13" xr3:uid="{00000000-0010-0000-0C00-00000D000000}" name="현금수입"/>
    <tableColumn id="17" xr3:uid="{00000000-0010-0000-0C00-000011000000}" name="매매수익">
      <calculatedColumnFormula>CMA_한투1836[[#This Row],[매도액]]-CMA_한투1836[[#This Row],[매도원금]]</calculatedColumnFormula>
    </tableColumn>
    <tableColumn id="18" xr3:uid="{00000000-0010-0000-0C00-000012000000}" name="매도비용">
      <calculatedColumnFormula>CMA_한투1836[[#This Row],[매도액]]+CMA_한투1836[[#This Row],[이자배당액]]-CMA_한투1836[[#This Row],[현금수입]]</calculatedColumnFormula>
    </tableColumn>
    <tableColumn id="19" xr3:uid="{00000000-0010-0000-0C00-000013000000}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xr3:uid="{00000000-0010-0000-0C00-000004000000}" name="입출금"/>
    <tableColumn id="21" xr3:uid="{00000000-0010-0000-0C00-000015000000}" name="순현금수입" dataDxfId="31">
      <calculatedColumnFormula>CMA_한투1836[[#This Row],[입출금]]+CMA_한투1836[[#This Row],[현금수입]]-CMA_한투1836[[#This Row],[현금지출]]</calculatedColumnFormula>
    </tableColumn>
    <tableColumn id="22" xr3:uid="{00000000-0010-0000-0C00-000016000000}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MA_한투1838" displayName="CMA_한투1838" ref="A1:S2" insertRow="1" totalsRowShown="0" headerRowDxfId="29" dataDxfId="28" headerRowCellStyle="쉼표 [0]" dataCellStyle="쉼표 [0]">
  <autoFilter ref="A1:S2" xr:uid="{00000000-0009-0000-0100-000007000000}"/>
  <tableColumns count="19">
    <tableColumn id="1" xr3:uid="{00000000-0010-0000-0D00-000001000000}" name="거래일자" dataDxfId="27"/>
    <tableColumn id="5" xr3:uid="{00000000-0010-0000-0D00-000005000000}" name="종목코드" dataDxfId="26"/>
    <tableColumn id="9" xr3:uid="{00000000-0010-0000-0D00-000009000000}" name="종목명" dataDxfId="25">
      <calculatedColumnFormula>VLOOKUP(CMA_한투1838[[#This Row],[종목코드]],표3[],2,FALSE)</calculatedColumnFormula>
    </tableColumn>
    <tableColumn id="10" xr3:uid="{00000000-0010-0000-0D00-00000A000000}" name="상품명" dataDxfId="24">
      <calculatedColumnFormula>VLOOKUP(CMA_한투1838[[#This Row],[종목코드]],표3[],4,FALSE)</calculatedColumnFormula>
    </tableColumn>
    <tableColumn id="6" xr3:uid="{00000000-0010-0000-0D00-000006000000}" name="매입수량" dataDxfId="23"/>
    <tableColumn id="2" xr3:uid="{00000000-0010-0000-0D00-000002000000}" name="매입액" dataDxfId="22" dataCellStyle="쉼표 [0]"/>
    <tableColumn id="12" xr3:uid="{00000000-0010-0000-0D00-00000C000000}" name="현금지출" dataDxfId="21" dataCellStyle="쉼표 [0]"/>
    <tableColumn id="16" xr3:uid="{00000000-0010-0000-0D00-000010000000}" name="매입비용" dataDxfId="20" dataCellStyle="쉼표 [0]">
      <calculatedColumnFormula>CMA_한투1838[[#This Row],[현금지출]]-CMA_한투1838[[#This Row],[매입액]]</calculatedColumnFormula>
    </tableColumn>
    <tableColumn id="7" xr3:uid="{00000000-0010-0000-0D00-000007000000}" name="매도수량" dataDxfId="19" dataCellStyle="쉼표 [0]"/>
    <tableColumn id="3" xr3:uid="{00000000-0010-0000-0D00-000003000000}" name="매도원금" dataDxfId="18" dataCellStyle="쉼표 [0]"/>
    <tableColumn id="15" xr3:uid="{00000000-0010-0000-0D00-00000F000000}" name="매도액" dataDxfId="17" dataCellStyle="쉼표 [0]"/>
    <tableColumn id="14" xr3:uid="{00000000-0010-0000-0D00-00000E000000}" name="이자배당액" dataDxfId="16" dataCellStyle="쉼표 [0]"/>
    <tableColumn id="13" xr3:uid="{00000000-0010-0000-0D00-00000D000000}" name="현금수입" dataDxfId="15" dataCellStyle="쉼표 [0]"/>
    <tableColumn id="17" xr3:uid="{00000000-0010-0000-0D00-000011000000}" name="매매수익" dataDxfId="14" dataCellStyle="쉼표 [0]">
      <calculatedColumnFormula>CMA_한투1838[[#This Row],[매도액]]-CMA_한투1838[[#This Row],[매도원금]]</calculatedColumnFormula>
    </tableColumn>
    <tableColumn id="18" xr3:uid="{00000000-0010-0000-0D00-000012000000}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xr3:uid="{00000000-0010-0000-0D00-000013000000}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xr3:uid="{00000000-0010-0000-0D00-000004000000}" name="입출금" dataDxfId="11" dataCellStyle="쉼표 [0]"/>
    <tableColumn id="21" xr3:uid="{00000000-0010-0000-0D00-000015000000}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xr3:uid="{00000000-0010-0000-0D00-000016000000}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표8" displayName="표8" ref="A1:F340" totalsRowShown="0" headerRowDxfId="8">
  <autoFilter ref="A1:F340" xr:uid="{00000000-0009-0000-0100-000008000000}"/>
  <tableColumns count="6">
    <tableColumn id="1" xr3:uid="{00000000-0010-0000-0E00-000001000000}" name="거래일자" dataDxfId="7"/>
    <tableColumn id="4" xr3:uid="{00000000-0010-0000-0E00-000004000000}" name="원화자금유입" dataDxfId="6"/>
    <tableColumn id="2" xr3:uid="{00000000-0010-0000-0E00-000002000000}" name="원화투자회수" dataDxfId="5" dataCellStyle="쉼표 [0]"/>
    <tableColumn id="6" xr3:uid="{00000000-0010-0000-0E00-000006000000}" name="원화투자지출" dataDxfId="4" dataCellStyle="쉼표 [0]">
      <calculatedColumnFormula>IF(WEEKDAY(표8[[#This Row],[거래일자]])=4, 2000000,0)</calculatedColumnFormula>
    </tableColumn>
    <tableColumn id="3" xr3:uid="{00000000-0010-0000-0E00-000003000000}" name="원화자금유출" dataDxfId="3" dataCellStyle="쉼표 [0]"/>
    <tableColumn id="5" xr3:uid="{00000000-0010-0000-0E00-000005000000}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표1" displayName="표1" ref="A1:T57" totalsRowShown="0" headerRowDxfId="1">
  <autoFilter ref="A1:T57" xr:uid="{00000000-0009-0000-0100-00000C000000}"/>
  <tableColumns count="20">
    <tableColumn id="2" xr3:uid="{00000000-0010-0000-0F00-000002000000}" name="종목코드"/>
    <tableColumn id="3" xr3:uid="{00000000-0010-0000-0F00-000003000000}" name="거래일자" dataDxfId="0"/>
    <tableColumn id="4" xr3:uid="{00000000-0010-0000-0F00-000004000000}" name="종목명"/>
    <tableColumn id="5" xr3:uid="{00000000-0010-0000-0F00-000005000000}" name="통화"/>
    <tableColumn id="6" xr3:uid="{00000000-0010-0000-0F00-000006000000}" name="계좌"/>
    <tableColumn id="7" xr3:uid="{00000000-0010-0000-0F00-000007000000}" name="보유수량"/>
    <tableColumn id="8" xr3:uid="{00000000-0010-0000-0F00-000008000000}" name="장부금액"/>
    <tableColumn id="9" xr3:uid="{00000000-0010-0000-0F00-000009000000}" name="평잔"/>
    <tableColumn id="10" xr3:uid="{00000000-0010-0000-0F00-00000A000000}" name="수익"/>
    <tableColumn id="11" xr3:uid="{00000000-0010-0000-0F00-00000B000000}" name="비용"/>
    <tableColumn id="12" xr3:uid="{00000000-0010-0000-0F00-00000C000000}" name="실현손익"/>
    <tableColumn id="13" xr3:uid="{00000000-0010-0000-0F00-00000D000000}" name="실현수익률"/>
    <tableColumn id="14" xr3:uid="{00000000-0010-0000-0F00-00000E000000}" name="자산군"/>
    <tableColumn id="15" xr3:uid="{00000000-0010-0000-0F00-00000F000000}" name="세부자산군"/>
    <tableColumn id="16" xr3:uid="{00000000-0010-0000-0F00-000010000000}" name="세부자산군2"/>
    <tableColumn id="17" xr3:uid="{00000000-0010-0000-0F00-000011000000}" name="평가금액"/>
    <tableColumn id="18" xr3:uid="{00000000-0010-0000-0F00-000012000000}" name="평가손익"/>
    <tableColumn id="19" xr3:uid="{00000000-0010-0000-0F00-000013000000}" name="평가수익률"/>
    <tableColumn id="20" xr3:uid="{00000000-0010-0000-0F00-000014000000}" name="총손익"/>
    <tableColumn id="21" xr3:uid="{00000000-0010-0000-0F00-000015000000}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연금종목정보" displayName="연금종목정보" ref="A1:J17" totalsRowShown="0">
  <autoFilter ref="A1:J17" xr:uid="{00000000-0009-0000-0100-00000D000000}"/>
  <tableColumns count="10">
    <tableColumn id="1" xr3:uid="{00000000-0010-0000-0100-000001000000}" name="종목코드"/>
    <tableColumn id="2" xr3:uid="{00000000-0010-0000-0100-000002000000}" name="종목명"/>
    <tableColumn id="8" xr3:uid="{00000000-0010-0000-0100-000008000000}" name="평가금액" dataDxfId="262" dataCellStyle="쉼표 [0]"/>
    <tableColumn id="3" xr3:uid="{00000000-0010-0000-0100-000003000000}" name="상품명"/>
    <tableColumn id="4" xr3:uid="{00000000-0010-0000-0100-000004000000}" name="계좌"/>
    <tableColumn id="11" xr3:uid="{00000000-0010-0000-0100-00000B000000}" name="통화"/>
    <tableColumn id="5" xr3:uid="{00000000-0010-0000-0100-000005000000}" name="자산군"/>
    <tableColumn id="6" xr3:uid="{00000000-0010-0000-0100-000006000000}" name="세부자산군"/>
    <tableColumn id="13" xr3:uid="{00000000-0010-0000-0100-00000D000000}" name="세부자산군2"/>
    <tableColumn id="12" xr3:uid="{00000000-0010-0000-0100-00000C000000}" name="기초평가손익" dataDxfId="261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농협IRP" displayName="농협IRP" ref="A1:S5" totalsRowShown="0" headerRowDxfId="260" headerRowBorderDxfId="259" tableBorderDxfId="258" totalsRowBorderDxfId="257" headerRowCellStyle="쉼표 [0]">
  <autoFilter ref="A1:S5" xr:uid="{00000000-0009-0000-0100-00000F000000}"/>
  <tableColumns count="19">
    <tableColumn id="1" xr3:uid="{00000000-0010-0000-0200-000001000000}" name="거래일자" dataDxfId="256"/>
    <tableColumn id="2" xr3:uid="{00000000-0010-0000-0200-000002000000}" name="종목코드" dataDxfId="255"/>
    <tableColumn id="3" xr3:uid="{00000000-0010-0000-0200-000003000000}" name="종목명" dataDxfId="254">
      <calculatedColumnFormula>VLOOKUP(농협IRP[[#This Row],[종목코드]],연금종목정보[],2,FALSE)</calculatedColumnFormula>
    </tableColumn>
    <tableColumn id="4" xr3:uid="{00000000-0010-0000-0200-000004000000}" name="상품명" dataDxfId="253">
      <calculatedColumnFormula>VLOOKUP(농협IRP[[#This Row],[종목코드]],연금종목정보[],4,FALSE)</calculatedColumnFormula>
    </tableColumn>
    <tableColumn id="5" xr3:uid="{00000000-0010-0000-0200-000005000000}" name="매입수량" dataDxfId="252" dataCellStyle="쉼표 [0]"/>
    <tableColumn id="6" xr3:uid="{00000000-0010-0000-0200-000006000000}" name="매입액" dataDxfId="251" dataCellStyle="쉼표 [0]"/>
    <tableColumn id="7" xr3:uid="{00000000-0010-0000-0200-000007000000}" name="현금지출" dataDxfId="250" dataCellStyle="쉼표 [0]"/>
    <tableColumn id="8" xr3:uid="{00000000-0010-0000-0200-000008000000}" name="매입비용" dataDxfId="249" dataCellStyle="쉼표 [0]">
      <calculatedColumnFormula>농협IRP[[#This Row],[현금지출]]-농협IRP[[#This Row],[매입액]]</calculatedColumnFormula>
    </tableColumn>
    <tableColumn id="9" xr3:uid="{00000000-0010-0000-0200-000009000000}" name="매도수량" dataDxfId="248" dataCellStyle="쉼표 [0]"/>
    <tableColumn id="10" xr3:uid="{00000000-0010-0000-0200-00000A000000}" name="매도원금" dataDxfId="247" dataCellStyle="쉼표 [0]"/>
    <tableColumn id="11" xr3:uid="{00000000-0010-0000-0200-00000B000000}" name="매도액" dataDxfId="246" dataCellStyle="쉼표 [0]"/>
    <tableColumn id="12" xr3:uid="{00000000-0010-0000-0200-00000C000000}" name="이자배당액" dataDxfId="245" dataCellStyle="쉼표 [0]"/>
    <tableColumn id="13" xr3:uid="{00000000-0010-0000-0200-00000D000000}" name="현금수입" dataDxfId="244" dataCellStyle="쉼표 [0]"/>
    <tableColumn id="14" xr3:uid="{00000000-0010-0000-0200-00000E000000}" name="매매수익" dataDxfId="243" dataCellStyle="쉼표 [0]">
      <calculatedColumnFormula>농협IRP[[#This Row],[매도액]]-농협IRP[[#This Row],[매도원금]]</calculatedColumnFormula>
    </tableColumn>
    <tableColumn id="15" xr3:uid="{00000000-0010-0000-0200-00000F000000}" name="매도비용" dataDxfId="242" dataCellStyle="쉼표 [0]">
      <calculatedColumnFormula>농협IRP[[#This Row],[매도액]]+농협IRP[[#This Row],[이자배당액]]-농협IRP[[#This Row],[현금수입]]</calculatedColumnFormula>
    </tableColumn>
    <tableColumn id="16" xr3:uid="{00000000-0010-0000-0200-000010000000}" name="순수익" dataDxfId="241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xr3:uid="{00000000-0010-0000-0200-000011000000}" name="입출금" dataDxfId="240"/>
    <tableColumn id="18" xr3:uid="{00000000-0010-0000-0200-000012000000}" name="순현금수입" dataDxfId="239" dataCellStyle="쉼표 [0]">
      <calculatedColumnFormula>농협IRP[[#This Row],[입출금]]+농협IRP[[#This Row],[현금수입]]-농협IRP[[#This Row],[현금지출]]</calculatedColumnFormula>
    </tableColumn>
    <tableColumn id="19" xr3:uid="{00000000-0010-0000-0200-000013000000}" name="누적" dataDxfId="23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삼성DC" displayName="삼성DC" ref="A1:S12" totalsRowShown="0" headerRowDxfId="237" headerRowBorderDxfId="236" tableBorderDxfId="235" totalsRowBorderDxfId="234" headerRowCellStyle="쉼표 [0]">
  <autoFilter ref="A1:S12" xr:uid="{00000000-0009-0000-0100-00000E000000}"/>
  <tableColumns count="19">
    <tableColumn id="1" xr3:uid="{00000000-0010-0000-0300-000001000000}" name="거래일자" dataDxfId="233"/>
    <tableColumn id="2" xr3:uid="{00000000-0010-0000-0300-000002000000}" name="종목코드" dataDxfId="232"/>
    <tableColumn id="3" xr3:uid="{00000000-0010-0000-0300-000003000000}" name="종목명" dataDxfId="231">
      <calculatedColumnFormula>VLOOKUP(삼성DC[[#This Row],[종목코드]],연금종목정보[],2,FALSE)</calculatedColumnFormula>
    </tableColumn>
    <tableColumn id="4" xr3:uid="{00000000-0010-0000-0300-000004000000}" name="상품명" dataDxfId="230">
      <calculatedColumnFormula>VLOOKUP(삼성DC[[#This Row],[종목코드]],연금종목정보[],4,FALSE)</calculatedColumnFormula>
    </tableColumn>
    <tableColumn id="5" xr3:uid="{00000000-0010-0000-0300-000005000000}" name="매입수량" dataDxfId="229" dataCellStyle="쉼표 [0]"/>
    <tableColumn id="6" xr3:uid="{00000000-0010-0000-0300-000006000000}" name="매입액" dataDxfId="228" dataCellStyle="쉼표 [0]"/>
    <tableColumn id="7" xr3:uid="{00000000-0010-0000-0300-000007000000}" name="현금지출" dataDxfId="227" dataCellStyle="쉼표 [0]"/>
    <tableColumn id="8" xr3:uid="{00000000-0010-0000-0300-000008000000}" name="매입비용" dataDxfId="226" dataCellStyle="쉼표 [0]">
      <calculatedColumnFormula>삼성DC[[#This Row],[현금지출]]-삼성DC[[#This Row],[매입액]]</calculatedColumnFormula>
    </tableColumn>
    <tableColumn id="9" xr3:uid="{00000000-0010-0000-0300-000009000000}" name="매도수량" dataDxfId="225" dataCellStyle="쉼표 [0]"/>
    <tableColumn id="10" xr3:uid="{00000000-0010-0000-0300-00000A000000}" name="매도원금" dataDxfId="224" dataCellStyle="쉼표 [0]"/>
    <tableColumn id="11" xr3:uid="{00000000-0010-0000-0300-00000B000000}" name="매도액" dataDxfId="223" dataCellStyle="쉼표 [0]"/>
    <tableColumn id="12" xr3:uid="{00000000-0010-0000-0300-00000C000000}" name="이자배당액" dataDxfId="222" dataCellStyle="쉼표 [0]"/>
    <tableColumn id="13" xr3:uid="{00000000-0010-0000-0300-00000D000000}" name="현금수입" dataDxfId="221" dataCellStyle="쉼표 [0]"/>
    <tableColumn id="14" xr3:uid="{00000000-0010-0000-0300-00000E000000}" name="매매수익" dataDxfId="220" dataCellStyle="쉼표 [0]">
      <calculatedColumnFormula>삼성DC[[#This Row],[매도액]]-삼성DC[[#This Row],[매도원금]]</calculatedColumnFormula>
    </tableColumn>
    <tableColumn id="15" xr3:uid="{00000000-0010-0000-0300-00000F000000}" name="매도비용" dataDxfId="219" dataCellStyle="쉼표 [0]">
      <calculatedColumnFormula>삼성DC[[#This Row],[매도액]]+삼성DC[[#This Row],[이자배당액]]-삼성DC[[#This Row],[현금수입]]</calculatedColumnFormula>
    </tableColumn>
    <tableColumn id="16" xr3:uid="{00000000-0010-0000-0300-000010000000}" name="순수익" dataDxfId="218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xr3:uid="{00000000-0010-0000-0300-000011000000}" name="입출금" dataDxfId="217"/>
    <tableColumn id="18" xr3:uid="{00000000-0010-0000-0300-000012000000}" name="순현금수입" dataDxfId="216" dataCellStyle="쉼표 [0]">
      <calculatedColumnFormula>삼성DC[[#This Row],[입출금]]+삼성DC[[#This Row],[현금수입]]-삼성DC[[#This Row],[현금지출]]</calculatedColumnFormula>
    </tableColumn>
    <tableColumn id="19" xr3:uid="{00000000-0010-0000-0300-000013000000}" name="누적" dataDxfId="215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4000000}" name="농협IRP17" displayName="농협IRP17" ref="A1:S2" totalsRowShown="0" headerRowDxfId="214" headerRowBorderDxfId="213" tableBorderDxfId="212" totalsRowBorderDxfId="211" headerRowCellStyle="쉼표 [0]">
  <autoFilter ref="A1:S2" xr:uid="{00000000-0009-0000-0100-000012000000}"/>
  <tableColumns count="19">
    <tableColumn id="1" xr3:uid="{00000000-0010-0000-0400-000001000000}" name="거래일자" dataDxfId="210"/>
    <tableColumn id="2" xr3:uid="{00000000-0010-0000-0400-000002000000}" name="종목코드" dataDxfId="209"/>
    <tableColumn id="3" xr3:uid="{00000000-0010-0000-0400-000003000000}" name="종목명" dataDxfId="208">
      <calculatedColumnFormula>VLOOKUP(농협IRP17[[#This Row],[종목코드]],연금종목정보[],2,FALSE)</calculatedColumnFormula>
    </tableColumn>
    <tableColumn id="4" xr3:uid="{00000000-0010-0000-0400-000004000000}" name="상품명" dataDxfId="207">
      <calculatedColumnFormula>VLOOKUP(농협IRP17[[#This Row],[종목코드]],연금종목정보[],4,FALSE)</calculatedColumnFormula>
    </tableColumn>
    <tableColumn id="5" xr3:uid="{00000000-0010-0000-0400-000005000000}" name="매입수량" dataDxfId="206" dataCellStyle="쉼표 [0]"/>
    <tableColumn id="6" xr3:uid="{00000000-0010-0000-0400-000006000000}" name="매입액" dataDxfId="205" dataCellStyle="쉼표 [0]"/>
    <tableColumn id="7" xr3:uid="{00000000-0010-0000-0400-000007000000}" name="현금지출" dataDxfId="204" dataCellStyle="쉼표 [0]"/>
    <tableColumn id="8" xr3:uid="{00000000-0010-0000-0400-000008000000}" name="매입비용" dataDxfId="203" dataCellStyle="쉼표 [0]"/>
    <tableColumn id="9" xr3:uid="{00000000-0010-0000-0400-000009000000}" name="매도수량" dataDxfId="202" dataCellStyle="쉼표 [0]"/>
    <tableColumn id="10" xr3:uid="{00000000-0010-0000-0400-00000A000000}" name="매도원금" dataDxfId="201" dataCellStyle="쉼표 [0]"/>
    <tableColumn id="11" xr3:uid="{00000000-0010-0000-0400-00000B000000}" name="매도액" dataDxfId="200" dataCellStyle="쉼표 [0]"/>
    <tableColumn id="12" xr3:uid="{00000000-0010-0000-0400-00000C000000}" name="이자배당액" dataDxfId="199" dataCellStyle="쉼표 [0]"/>
    <tableColumn id="13" xr3:uid="{00000000-0010-0000-0400-00000D000000}" name="현금수입" dataDxfId="198" dataCellStyle="쉼표 [0]"/>
    <tableColumn id="14" xr3:uid="{00000000-0010-0000-0400-00000E000000}" name="매매수익" dataDxfId="197" dataCellStyle="쉼표 [0]"/>
    <tableColumn id="15" xr3:uid="{00000000-0010-0000-0400-00000F000000}" name="매도비용" dataDxfId="196" dataCellStyle="쉼표 [0]"/>
    <tableColumn id="16" xr3:uid="{00000000-0010-0000-0400-000010000000}" name="순수익" dataDxfId="195" dataCellStyle="쉼표 [0]"/>
    <tableColumn id="17" xr3:uid="{00000000-0010-0000-0400-000011000000}" name="입출금" dataDxfId="194"/>
    <tableColumn id="18" xr3:uid="{00000000-0010-0000-0400-000012000000}" name="순현금수입" dataDxfId="193" dataCellStyle="쉼표 [0]"/>
    <tableColumn id="19" xr3:uid="{00000000-0010-0000-0400-000013000000}" name="누적" dataDxfId="192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불리오" displayName="불리오" ref="A1:S37" totalsRowShown="0" headerRowDxfId="191" dataDxfId="190" headerRowCellStyle="쉼표 [0]" dataCellStyle="쉼표 [0]">
  <autoFilter ref="A1:S37" xr:uid="{00000000-0009-0000-0100-000001000000}"/>
  <tableColumns count="19">
    <tableColumn id="1" xr3:uid="{00000000-0010-0000-0500-000001000000}" name="거래일자" dataDxfId="189"/>
    <tableColumn id="4" xr3:uid="{00000000-0010-0000-0500-000004000000}" name="종목코드" dataDxfId="188"/>
    <tableColumn id="9" xr3:uid="{00000000-0010-0000-0500-000009000000}" name="종목명" dataDxfId="187">
      <calculatedColumnFormula>VLOOKUP(불리오[[#This Row],[종목코드]],표3[],2,FALSE)</calculatedColumnFormula>
    </tableColumn>
    <tableColumn id="10" xr3:uid="{00000000-0010-0000-0500-00000A000000}" name="상품명" dataDxfId="186">
      <calculatedColumnFormula>VLOOKUP(불리오[[#This Row],[종목코드]],표3[],4,FALSE)</calculatedColumnFormula>
    </tableColumn>
    <tableColumn id="6" xr3:uid="{00000000-0010-0000-0500-000006000000}" name="매입수량" dataDxfId="185"/>
    <tableColumn id="2" xr3:uid="{00000000-0010-0000-0500-000002000000}" name="매입액" dataDxfId="184" dataCellStyle="쉼표 [0]"/>
    <tableColumn id="16" xr3:uid="{00000000-0010-0000-0500-000010000000}" name="현금지출" dataDxfId="183" dataCellStyle="쉼표 [0]"/>
    <tableColumn id="12" xr3:uid="{00000000-0010-0000-0500-00000C000000}" name="매입비용" dataDxfId="182" dataCellStyle="쉼표 [0]">
      <calculatedColumnFormula>불리오[[#This Row],[현금지출]]-불리오[[#This Row],[매입액]]</calculatedColumnFormula>
    </tableColumn>
    <tableColumn id="7" xr3:uid="{00000000-0010-0000-0500-000007000000}" name="매도수량" dataDxfId="181" dataCellStyle="쉼표 [0]"/>
    <tableColumn id="3" xr3:uid="{00000000-0010-0000-0500-000003000000}" name="매도원금" dataDxfId="180" dataCellStyle="쉼표 [0]"/>
    <tableColumn id="19" xr3:uid="{00000000-0010-0000-0500-000013000000}" name="매도액" dataDxfId="179" dataCellStyle="쉼표 [0]"/>
    <tableColumn id="14" xr3:uid="{00000000-0010-0000-0500-00000E000000}" name="이자배당액" dataDxfId="178" dataCellStyle="쉼표 [0]"/>
    <tableColumn id="17" xr3:uid="{00000000-0010-0000-0500-000011000000}" name="현금수입" dataDxfId="177" dataCellStyle="쉼표 [0]"/>
    <tableColumn id="18" xr3:uid="{00000000-0010-0000-0500-000012000000}" name="매매수익" dataDxfId="176" dataCellStyle="쉼표 [0]">
      <calculatedColumnFormula>불리오[[#This Row],[매도액]]-불리오[[#This Row],[매도원금]]</calculatedColumnFormula>
    </tableColumn>
    <tableColumn id="15" xr3:uid="{00000000-0010-0000-0500-00000F000000}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xr3:uid="{00000000-0010-0000-0500-00000D000000}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xr3:uid="{00000000-0010-0000-0500-000005000000}" name="입출금" dataDxfId="173" dataCellStyle="쉼표 [0]"/>
    <tableColumn id="22" xr3:uid="{00000000-0010-0000-0500-000016000000}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xr3:uid="{00000000-0010-0000-0500-000017000000}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표4" displayName="표4" ref="A1:S11" totalsRowShown="0" headerRowDxfId="170" dataDxfId="168" headerRowBorderDxfId="169" tableBorderDxfId="167" headerRowCellStyle="쉼표 [0]">
  <autoFilter ref="A1:S11" xr:uid="{00000000-0009-0000-0100-000004000000}"/>
  <tableColumns count="19">
    <tableColumn id="1" xr3:uid="{00000000-0010-0000-0600-000001000000}" name="거래일자" dataDxfId="166"/>
    <tableColumn id="17" xr3:uid="{00000000-0010-0000-0600-000011000000}" name="종목코드" dataDxfId="165"/>
    <tableColumn id="2" xr3:uid="{00000000-0010-0000-0600-000002000000}" name="종목명" dataDxfId="164">
      <calculatedColumnFormula>VLOOKUP(표4[[#This Row],[종목코드]],표3[],2,FALSE)</calculatedColumnFormula>
    </tableColumn>
    <tableColumn id="3" xr3:uid="{00000000-0010-0000-0600-000003000000}" name="상품명" dataDxfId="163">
      <calculatedColumnFormula>VLOOKUP(표4[[#This Row],[종목코드]],표3[],4,FALSE)</calculatedColumnFormula>
    </tableColumn>
    <tableColumn id="18" xr3:uid="{00000000-0010-0000-0600-000012000000}" name="매입수량" dataDxfId="162"/>
    <tableColumn id="4" xr3:uid="{00000000-0010-0000-0600-000004000000}" name="매입액" dataDxfId="161" dataCellStyle="쉼표 [0]"/>
    <tableColumn id="5" xr3:uid="{00000000-0010-0000-0600-000005000000}" name="현금지출" dataDxfId="160" dataCellStyle="쉼표 [0]"/>
    <tableColumn id="6" xr3:uid="{00000000-0010-0000-0600-000006000000}" name="매입비용" dataDxfId="159" dataCellStyle="쉼표 [0]">
      <calculatedColumnFormula>표4[[#This Row],[현금지출]]-표4[[#This Row],[매입액]]</calculatedColumnFormula>
    </tableColumn>
    <tableColumn id="19" xr3:uid="{00000000-0010-0000-0600-000013000000}" name="매도수량" dataDxfId="158" dataCellStyle="쉼표 [0]"/>
    <tableColumn id="7" xr3:uid="{00000000-0010-0000-0600-000007000000}" name="매도원금" dataDxfId="157" dataCellStyle="쉼표 [0]"/>
    <tableColumn id="8" xr3:uid="{00000000-0010-0000-0600-000008000000}" name="매도액" dataDxfId="156" dataCellStyle="쉼표 [0]"/>
    <tableColumn id="9" xr3:uid="{00000000-0010-0000-0600-000009000000}" name="이자배당액" dataDxfId="155" dataCellStyle="쉼표 [0]"/>
    <tableColumn id="10" xr3:uid="{00000000-0010-0000-0600-00000A000000}" name="현금수입" dataDxfId="154" dataCellStyle="쉼표 [0]"/>
    <tableColumn id="11" xr3:uid="{00000000-0010-0000-0600-00000B000000}" name="매매수익" dataDxfId="153" dataCellStyle="쉼표 [0]">
      <calculatedColumnFormula>표4[[#This Row],[매도액]]-표4[[#This Row],[매도원금]]</calculatedColumnFormula>
    </tableColumn>
    <tableColumn id="12" xr3:uid="{00000000-0010-0000-0600-00000C000000}" name="매도비용" dataDxfId="152" dataCellStyle="쉼표 [0]">
      <calculatedColumnFormula>표4[[#This Row],[매도액]]+표4[[#This Row],[이자배당액]]-표4[[#This Row],[현금수입]]</calculatedColumnFormula>
    </tableColumn>
    <tableColumn id="13" xr3:uid="{00000000-0010-0000-0600-00000D000000}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xr3:uid="{00000000-0010-0000-0600-00000E000000}" name="입출금" dataDxfId="150"/>
    <tableColumn id="15" xr3:uid="{00000000-0010-0000-0600-00000F000000}" name="순현금수입" dataDxfId="149">
      <calculatedColumnFormula>표4[[#This Row],[입출금]]+표4[[#This Row],[현금수입]]-표4[[#This Row],[현금지출]]</calculatedColumnFormula>
    </tableColumn>
    <tableColumn id="16" xr3:uid="{00000000-0010-0000-0600-000010000000}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표4_10" displayName="표4_10" ref="A1:S4" totalsRowShown="0" headerRowDxfId="147" dataDxfId="145" headerRowBorderDxfId="146" tableBorderDxfId="144" headerRowCellStyle="쉼표 [0]">
  <autoFilter ref="A1:S4" xr:uid="{00000000-0009-0000-0100-000009000000}"/>
  <tableColumns count="19">
    <tableColumn id="1" xr3:uid="{00000000-0010-0000-0700-000001000000}" name="거래일자" dataDxfId="143"/>
    <tableColumn id="17" xr3:uid="{00000000-0010-0000-0700-000011000000}" name="종목코드" dataDxfId="142"/>
    <tableColumn id="2" xr3:uid="{00000000-0010-0000-0700-000002000000}" name="종목명" dataDxfId="141">
      <calculatedColumnFormula>VLOOKUP(표4_10[[#This Row],[종목코드]],표3[],2,FALSE)</calculatedColumnFormula>
    </tableColumn>
    <tableColumn id="3" xr3:uid="{00000000-0010-0000-0700-000003000000}" name="상품명" dataDxfId="140">
      <calculatedColumnFormula>VLOOKUP(표4_10[[#This Row],[종목코드]],표3[],4,FALSE)</calculatedColumnFormula>
    </tableColumn>
    <tableColumn id="18" xr3:uid="{00000000-0010-0000-0700-000012000000}" name="매입수량" dataDxfId="139"/>
    <tableColumn id="4" xr3:uid="{00000000-0010-0000-0700-000004000000}" name="매입액" dataDxfId="138" dataCellStyle="쉼표 [0]"/>
    <tableColumn id="5" xr3:uid="{00000000-0010-0000-0700-000005000000}" name="현금지출" dataDxfId="137" dataCellStyle="쉼표 [0]"/>
    <tableColumn id="6" xr3:uid="{00000000-0010-0000-0700-000006000000}" name="매입비용" dataDxfId="136" dataCellStyle="쉼표 [0]">
      <calculatedColumnFormula>표4_10[[#This Row],[현금지출]]-표4_10[[#This Row],[매입액]]</calculatedColumnFormula>
    </tableColumn>
    <tableColumn id="19" xr3:uid="{00000000-0010-0000-0700-000013000000}" name="매도수량" dataDxfId="135" dataCellStyle="쉼표 [0]"/>
    <tableColumn id="7" xr3:uid="{00000000-0010-0000-0700-000007000000}" name="매도원금" dataDxfId="134" dataCellStyle="쉼표 [0]"/>
    <tableColumn id="8" xr3:uid="{00000000-0010-0000-0700-000008000000}" name="매도액" dataDxfId="133" dataCellStyle="쉼표 [0]"/>
    <tableColumn id="9" xr3:uid="{00000000-0010-0000-0700-000009000000}" name="이자배당액" dataDxfId="132" dataCellStyle="쉼표 [0]"/>
    <tableColumn id="10" xr3:uid="{00000000-0010-0000-0700-00000A000000}" name="현금수입" dataDxfId="131" dataCellStyle="쉼표 [0]"/>
    <tableColumn id="11" xr3:uid="{00000000-0010-0000-0700-00000B000000}" name="매매수익" dataDxfId="130" dataCellStyle="쉼표 [0]">
      <calculatedColumnFormula>표4_10[[#This Row],[매도액]]-표4_10[[#This Row],[매도원금]]</calculatedColumnFormula>
    </tableColumn>
    <tableColumn id="12" xr3:uid="{00000000-0010-0000-0700-00000C000000}" name="매도비용" dataDxfId="129" dataCellStyle="쉼표 [0]">
      <calculatedColumnFormula>표4_10[[#This Row],[매도액]]+표4_10[[#This Row],[이자배당액]]-표4_10[[#This Row],[현금수입]]</calculatedColumnFormula>
    </tableColumn>
    <tableColumn id="13" xr3:uid="{00000000-0010-0000-0700-00000D000000}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xr3:uid="{00000000-0010-0000-0700-00000E000000}" name="입출금" dataDxfId="127"/>
    <tableColumn id="15" xr3:uid="{00000000-0010-0000-0700-00000F000000}" name="순현금수입" dataDxfId="126">
      <calculatedColumnFormula>표4_10[[#This Row],[입출금]]+표4_10[[#This Row],[현금수입]]-표4_10[[#This Row],[현금지출]]</calculatedColumnFormula>
    </tableColumn>
    <tableColumn id="16" xr3:uid="{00000000-0010-0000-0700-000010000000}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CMA_한투1837" displayName="CMA_한투1837" ref="A1:T4" totalsRowShown="0" headerRowDxfId="124" dataDxfId="123" headerRowCellStyle="쉼표 [0]" dataCellStyle="쉼표 [0]">
  <autoFilter ref="A1:T4" xr:uid="{00000000-0009-0000-0100-000006000000}"/>
  <tableColumns count="20">
    <tableColumn id="1" xr3:uid="{00000000-0010-0000-0800-000001000000}" name="거래일자" dataDxfId="122" totalsRowDxfId="121"/>
    <tableColumn id="6" xr3:uid="{00000000-0010-0000-0800-000006000000}" name="종목코드" dataDxfId="120" totalsRowDxfId="119"/>
    <tableColumn id="9" xr3:uid="{00000000-0010-0000-0800-000009000000}" name="종목명" dataDxfId="118" totalsRowDxfId="117">
      <calculatedColumnFormula>VLOOKUP(CMA_한투1837[[#This Row],[종목코드]],표3[],2,FALSE)</calculatedColumnFormula>
    </tableColumn>
    <tableColumn id="10" xr3:uid="{00000000-0010-0000-0800-00000A000000}" name="상품명" dataDxfId="116" totalsRowDxfId="115">
      <calculatedColumnFormula>VLOOKUP(CMA_한투1837[[#This Row],[종목코드]],표3[],4,FALSE)</calculatedColumnFormula>
    </tableColumn>
    <tableColumn id="7" xr3:uid="{00000000-0010-0000-0800-000007000000}" name="매입수량" dataDxfId="114" totalsRowDxfId="113"/>
    <tableColumn id="2" xr3:uid="{00000000-0010-0000-0800-000002000000}" name="매입액" dataDxfId="112" totalsRowDxfId="111" dataCellStyle="쉼표 [0]"/>
    <tableColumn id="5" xr3:uid="{00000000-0010-0000-0800-000005000000}" name="현금지출" dataDxfId="110" totalsRowDxfId="109" dataCellStyle="쉼표 [0]"/>
    <tableColumn id="16" xr3:uid="{00000000-0010-0000-0800-000010000000}" name="매입비용" dataDxfId="108" totalsRowDxfId="107" dataCellStyle="쉼표 [0]">
      <calculatedColumnFormula>CMA_한투1837[[#This Row],[현금지출]]-CMA_한투1837[[#This Row],[매입액]]</calculatedColumnFormula>
    </tableColumn>
    <tableColumn id="8" xr3:uid="{00000000-0010-0000-0800-000008000000}" name="매도수량" dataDxfId="106" totalsRowDxfId="105" dataCellStyle="쉼표 [0]"/>
    <tableColumn id="3" xr3:uid="{00000000-0010-0000-0800-000003000000}" name="매도원금" dataDxfId="104" totalsRowDxfId="103" dataCellStyle="쉼표 [0]"/>
    <tableColumn id="15" xr3:uid="{00000000-0010-0000-0800-00000F000000}" name="매도액" dataDxfId="102" totalsRowDxfId="101" dataCellStyle="쉼표 [0]"/>
    <tableColumn id="14" xr3:uid="{00000000-0010-0000-0800-00000E000000}" name="이자배당액" dataDxfId="100" totalsRowDxfId="99" dataCellStyle="쉼표 [0]"/>
    <tableColumn id="13" xr3:uid="{00000000-0010-0000-0800-00000D000000}" name="현금수입" dataDxfId="98" totalsRowDxfId="97" dataCellStyle="쉼표 [0]"/>
    <tableColumn id="17" xr3:uid="{00000000-0010-0000-0800-000011000000}" name="매매수익" dataDxfId="96" totalsRowDxfId="95" dataCellStyle="쉼표 [0]">
      <calculatedColumnFormula>CMA_한투1837[[#This Row],[매도액]]-CMA_한투1837[[#This Row],[매도원금]]</calculatedColumnFormula>
    </tableColumn>
    <tableColumn id="18" xr3:uid="{00000000-0010-0000-0800-000012000000}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xr3:uid="{00000000-0010-0000-0800-000013000000}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xr3:uid="{00000000-0010-0000-0800-000004000000}" name="입출금" dataDxfId="90" totalsRowDxfId="89" dataCellStyle="쉼표 [0]"/>
    <tableColumn id="21" xr3:uid="{00000000-0010-0000-0800-000015000000}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xr3:uid="{00000000-0010-0000-0800-000016000000}" name="누적" dataDxfId="86" totalsRowDxfId="85" dataCellStyle="쉼표 [0]">
      <calculatedColumnFormula>SUM($R$2:R2)</calculatedColumnFormula>
    </tableColumn>
    <tableColumn id="12" xr3:uid="{00000000-0010-0000-0800-00000C000000}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topLeftCell="A37" workbookViewId="0">
      <selection activeCell="F65" sqref="F65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C39">
        <v>3118.02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C41">
        <v>5045369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C42">
        <f>5056743+4774227+604108</f>
        <v>10435078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C44">
        <v>1497062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C47">
        <v>1054767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459</v>
      </c>
      <c r="B54" s="5" t="s">
        <v>237</v>
      </c>
      <c r="C54">
        <v>1969.4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430</v>
      </c>
      <c r="B58" s="5" t="s">
        <v>312</v>
      </c>
      <c r="C58">
        <v>0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422</v>
      </c>
      <c r="B59" s="5" t="s">
        <v>424</v>
      </c>
      <c r="C59">
        <v>0</v>
      </c>
      <c r="D59" t="s">
        <v>425</v>
      </c>
      <c r="E59" t="s">
        <v>426</v>
      </c>
      <c r="F59" t="s">
        <v>427</v>
      </c>
      <c r="G59" t="s">
        <v>428</v>
      </c>
      <c r="H59" t="s">
        <v>429</v>
      </c>
      <c r="J59" s="5">
        <v>0</v>
      </c>
    </row>
    <row r="60" spans="1:10" x14ac:dyDescent="0.3">
      <c r="A60" s="31" t="s">
        <v>437</v>
      </c>
      <c r="B60" s="5" t="s">
        <v>432</v>
      </c>
      <c r="C60">
        <v>0</v>
      </c>
      <c r="D60" t="s">
        <v>431</v>
      </c>
      <c r="E60" t="s">
        <v>426</v>
      </c>
      <c r="F60" t="s">
        <v>17</v>
      </c>
      <c r="G60" t="s">
        <v>428</v>
      </c>
      <c r="H60" t="s">
        <v>429</v>
      </c>
      <c r="J60" s="5">
        <v>0</v>
      </c>
    </row>
    <row r="61" spans="1:10" x14ac:dyDescent="0.3">
      <c r="A61" s="31" t="s">
        <v>438</v>
      </c>
      <c r="B61" s="5" t="s">
        <v>433</v>
      </c>
      <c r="C61">
        <v>0</v>
      </c>
      <c r="D61" t="s">
        <v>434</v>
      </c>
      <c r="E61" t="s">
        <v>426</v>
      </c>
      <c r="F61" t="s">
        <v>17</v>
      </c>
      <c r="G61" t="s">
        <v>428</v>
      </c>
      <c r="H61" t="s">
        <v>429</v>
      </c>
      <c r="J61" s="5">
        <v>0</v>
      </c>
    </row>
    <row r="62" spans="1:10" x14ac:dyDescent="0.3">
      <c r="A62" s="31" t="s">
        <v>439</v>
      </c>
      <c r="B62" s="5" t="s">
        <v>435</v>
      </c>
      <c r="C62">
        <v>0</v>
      </c>
      <c r="D62" t="s">
        <v>436</v>
      </c>
      <c r="E62" t="s">
        <v>426</v>
      </c>
      <c r="F62" t="s">
        <v>17</v>
      </c>
      <c r="G62" t="s">
        <v>428</v>
      </c>
      <c r="H62" t="s">
        <v>429</v>
      </c>
      <c r="J62" s="5">
        <v>0</v>
      </c>
    </row>
    <row r="63" spans="1:10" x14ac:dyDescent="0.3">
      <c r="A63" s="31" t="s">
        <v>449</v>
      </c>
      <c r="B63" s="5" t="s">
        <v>458</v>
      </c>
      <c r="C63">
        <v>0</v>
      </c>
      <c r="D63" t="s">
        <v>456</v>
      </c>
      <c r="E63" t="s">
        <v>453</v>
      </c>
      <c r="F63" t="s">
        <v>18</v>
      </c>
      <c r="G63" t="s">
        <v>454</v>
      </c>
      <c r="H63" t="s">
        <v>457</v>
      </c>
      <c r="J63" s="5">
        <v>0</v>
      </c>
    </row>
    <row r="64" spans="1:10" x14ac:dyDescent="0.3">
      <c r="A64" s="31" t="s">
        <v>450</v>
      </c>
      <c r="B64" s="5" t="s">
        <v>451</v>
      </c>
      <c r="C64">
        <v>0</v>
      </c>
      <c r="D64" t="s">
        <v>452</v>
      </c>
      <c r="E64" t="s">
        <v>453</v>
      </c>
      <c r="F64" t="s">
        <v>18</v>
      </c>
      <c r="G64" t="s">
        <v>454</v>
      </c>
      <c r="H64" t="s">
        <v>455</v>
      </c>
      <c r="J64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"/>
  <sheetViews>
    <sheetView workbookViewId="0">
      <pane xSplit="4" ySplit="1" topLeftCell="O2" activePane="bottomRight" state="frozen"/>
      <selection activeCell="A46" sqref="A46"/>
      <selection pane="topRight" activeCell="O1" sqref="O1"/>
      <selection pane="bottomLeft" activeCell="A2" sqref="A2"/>
      <selection pane="bottomRight" activeCell="C10" sqref="C10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101">
        <v>45341</v>
      </c>
      <c r="B4" s="108" t="s">
        <v>423</v>
      </c>
      <c r="C4" s="99" t="str">
        <f>VLOOKUP(표4_10[[#This Row],[종목코드]],표3[],2,FALSE)</f>
        <v>일본배당주</v>
      </c>
      <c r="D4" s="102" t="str">
        <f>VLOOKUP(표4_10[[#This Row],[종목코드]],표3[],4,FALSE)</f>
        <v>NEXT FUNDS JAPAN HIGH DIVIDEND EQUITY ACTIVE EXCHANGE TRADED</v>
      </c>
      <c r="E4" s="43">
        <v>151</v>
      </c>
      <c r="F4" s="103">
        <v>335069</v>
      </c>
      <c r="G4" s="104">
        <v>336007</v>
      </c>
      <c r="H4" s="104">
        <f>표4_10[[#This Row],[현금지출]]-표4_10[[#This Row],[매입액]]</f>
        <v>938</v>
      </c>
      <c r="I4" s="100">
        <v>0</v>
      </c>
      <c r="J4" s="103">
        <v>0</v>
      </c>
      <c r="K4" s="103">
        <v>0</v>
      </c>
      <c r="L4" s="103">
        <v>0</v>
      </c>
      <c r="M4" s="103">
        <v>0</v>
      </c>
      <c r="N4" s="103">
        <f>표4_10[[#This Row],[매도액]]-표4_10[[#This Row],[매도원금]]</f>
        <v>0</v>
      </c>
      <c r="O4" s="103">
        <f>표4_10[[#This Row],[매도액]]+표4_10[[#This Row],[이자배당액]]-표4_10[[#This Row],[현금수입]]</f>
        <v>0</v>
      </c>
      <c r="P4" s="105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5">
        <v>2999992</v>
      </c>
      <c r="G4" s="95">
        <v>2999992</v>
      </c>
      <c r="H4" s="96">
        <f>CMA_한투1837[[#This Row],[현금지출]]-CMA_한투1837[[#This Row],[매입액]]</f>
        <v>0</v>
      </c>
      <c r="I4" s="96">
        <v>0</v>
      </c>
      <c r="J4" s="95">
        <v>0</v>
      </c>
      <c r="K4" s="95">
        <v>0</v>
      </c>
      <c r="L4" s="95">
        <v>0</v>
      </c>
      <c r="M4" s="95">
        <v>0</v>
      </c>
      <c r="N4" s="96">
        <f>CMA_한투1837[[#This Row],[매도액]]-CMA_한투1837[[#This Row],[매도원금]]</f>
        <v>0</v>
      </c>
      <c r="O4" s="96">
        <f>CMA_한투1837[[#This Row],[매도액]]+CMA_한투1837[[#This Row],[이자배당액]]-CMA_한투1837[[#This Row],[현금수입]]</f>
        <v>0</v>
      </c>
      <c r="P4" s="96">
        <f>CMA_한투1837[[#This Row],[매매수익]]+CMA_한투1837[[#This Row],[이자배당액]]-CMA_한투1837[[#This Row],[매도비용]]-CMA_한투1837[[#This Row],[매입비용]]</f>
        <v>0</v>
      </c>
      <c r="Q4" s="98">
        <v>2999992</v>
      </c>
      <c r="R4" s="96">
        <f>CMA_한투1837[[#This Row],[입출금]]+CMA_한투1837[[#This Row],[현금수입]]-CMA_한투1837[[#This Row],[현금지출]]</f>
        <v>0</v>
      </c>
      <c r="S4" s="96">
        <f>SUM($R$2:R4)</f>
        <v>0</v>
      </c>
      <c r="T4" s="97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5"/>
  <sheetViews>
    <sheetView topLeftCell="G1" zoomScale="85" zoomScaleNormal="85" workbookViewId="0">
      <selection activeCell="S32" sqref="S32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3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9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10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430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10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SUM($R$2:R27)</f>
        <v>8710530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3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 s="5">
        <f>SUM($R$2:R28)</f>
        <v>8532120</v>
      </c>
    </row>
    <row r="29" spans="1:19" x14ac:dyDescent="0.3">
      <c r="A29" s="3">
        <v>45343</v>
      </c>
      <c r="B29" s="31" t="s">
        <v>272</v>
      </c>
      <c r="C29" s="9" t="str">
        <f>VLOOKUP(CMA_한투183611[[#This Row],[종목코드]],표3[],2,FALSE)</f>
        <v>한투예수금</v>
      </c>
      <c r="D29" s="33" t="str">
        <f>VLOOKUP(CMA_한투183611[[#This Row],[종목코드]],표3[],4,FALSE)</f>
        <v>한국투자증권 직접투자 원화예수금</v>
      </c>
      <c r="E29" s="113"/>
      <c r="H29" s="5">
        <f>CMA_한투183611[[#This Row],[현금지출]]-CMA_한투183611[[#This Row],[매입액]]</f>
        <v>0</v>
      </c>
      <c r="J29" s="50"/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0</v>
      </c>
      <c r="Q29">
        <v>8000000</v>
      </c>
      <c r="R29" s="5">
        <f>CMA_한투183611[[#This Row],[입출금]]+CMA_한투183611[[#This Row],[현금수입]]-CMA_한투183611[[#This Row],[현금지출]]</f>
        <v>8000000</v>
      </c>
      <c r="S29" s="5">
        <f>SUM($R$2:R29)</f>
        <v>16532120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미국단기회사채</v>
      </c>
      <c r="D30" s="33" t="str">
        <f>VLOOKUP(CMA_한투183611[[#This Row],[종목코드]],표3[],4,FALSE)</f>
        <v>KBSTAR 미국단기투자등급회사채액티비</v>
      </c>
      <c r="E30" s="40">
        <v>330</v>
      </c>
      <c r="F30" s="7">
        <v>3507900</v>
      </c>
      <c r="G30" s="7">
        <v>3508190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-3508190</v>
      </c>
      <c r="S30">
        <f>SUM($R$2:R30)</f>
        <v>13023930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글로벌AI주식</v>
      </c>
      <c r="D31" s="33" t="str">
        <f>VLOOKUP(CMA_한투183611[[#This Row],[종목코드]],표3[],4,FALSE)</f>
        <v>TIMEFOLIO 글로벌AI인공지능액티브</v>
      </c>
      <c r="E31" s="40">
        <v>116</v>
      </c>
      <c r="F31" s="7">
        <v>2013760</v>
      </c>
      <c r="G31" s="7">
        <v>2014050</v>
      </c>
      <c r="H31" s="5">
        <f>CMA_한투183611[[#This Row],[현금지출]]-CMA_한투183611[[#This Row],[매입액]]</f>
        <v>290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-290</v>
      </c>
      <c r="Q31">
        <v>0</v>
      </c>
      <c r="R31" s="5">
        <f>CMA_한투183611[[#This Row],[입출금]]+CMA_한투183611[[#This Row],[현금수입]]-CMA_한투183611[[#This Row],[현금지출]]</f>
        <v>-2014050</v>
      </c>
      <c r="S31">
        <f>SUM($R$2:R31)</f>
        <v>11009880</v>
      </c>
    </row>
    <row r="32" spans="1:19" x14ac:dyDescent="0.3">
      <c r="A32" s="3">
        <v>45343</v>
      </c>
      <c r="B32" s="31" t="s">
        <v>439</v>
      </c>
      <c r="C32" s="9" t="str">
        <f>VLOOKUP(CMA_한투183611[[#This Row],[종목코드]],표3[],2,FALSE)</f>
        <v>미국배당주</v>
      </c>
      <c r="D32" s="33" t="str">
        <f>VLOOKUP(CMA_한투183611[[#This Row],[종목코드]],표3[],4,FALSE)</f>
        <v>TIGER 미국배당다우존스</v>
      </c>
      <c r="E32" s="40">
        <v>183</v>
      </c>
      <c r="F32" s="7">
        <v>2009340</v>
      </c>
      <c r="G32" s="7">
        <v>2009850</v>
      </c>
      <c r="H32" s="5">
        <f>CMA_한투183611[[#This Row],[현금지출]]-CMA_한투183611[[#This Row],[매입액]]</f>
        <v>510</v>
      </c>
      <c r="I32" s="35">
        <v>0</v>
      </c>
      <c r="J32" s="7">
        <v>0</v>
      </c>
      <c r="K32">
        <v>0</v>
      </c>
      <c r="L32" s="7">
        <v>0</v>
      </c>
      <c r="M32">
        <v>0</v>
      </c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-510</v>
      </c>
      <c r="Q32">
        <v>0</v>
      </c>
      <c r="R32" s="5">
        <f>CMA_한투183611[[#This Row],[입출금]]+CMA_한투183611[[#This Row],[현금수입]]-CMA_한투183611[[#This Row],[현금지출]]</f>
        <v>-2009850</v>
      </c>
      <c r="S32">
        <f>SUM($R$2:R32)</f>
        <v>9000030</v>
      </c>
    </row>
    <row r="35" spans="10:15" x14ac:dyDescent="0.3">
      <c r="J35"/>
      <c r="L35"/>
      <c r="O35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topLeftCell="D1" zoomScale="85" zoomScaleNormal="85" workbookViewId="0">
      <selection activeCell="N4" sqref="N4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"/>
  <sheetViews>
    <sheetView workbookViewId="0">
      <selection activeCell="E10" sqref="E10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10010000</v>
      </c>
      <c r="G2" s="8">
        <v>10010000</v>
      </c>
      <c r="H2" s="8">
        <f>CMA_한투183[[#This Row],[현금지출]]-CMA_한투183[[#This Row],[매입액]]</f>
        <v>0</v>
      </c>
      <c r="I2" s="12">
        <v>0</v>
      </c>
      <c r="J2" s="7">
        <v>0</v>
      </c>
      <c r="K2" s="7">
        <v>0</v>
      </c>
      <c r="L2" s="7">
        <v>0</v>
      </c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10010000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topLeftCell="C1" workbookViewId="0">
      <selection activeCell="I11" sqref="I11"/>
    </sheetView>
  </sheetViews>
  <sheetFormatPr defaultRowHeight="16.5" x14ac:dyDescent="0.3"/>
  <cols>
    <col min="1" max="1" width="11.125" bestFit="1" customWidth="1"/>
    <col min="2" max="2" width="21.375" bestFit="1" customWidth="1"/>
    <col min="3" max="3" width="11.5" style="50" customWidth="1"/>
    <col min="4" max="4" width="46.625" customWidth="1"/>
    <col min="7" max="7" width="11.875" bestFit="1" customWidth="1"/>
    <col min="10" max="10" width="13.75" customWidth="1"/>
    <col min="12" max="12" width="10.25" customWidth="1"/>
  </cols>
  <sheetData>
    <row r="1" spans="1:10" x14ac:dyDescent="0.3">
      <c r="A1" t="s">
        <v>318</v>
      </c>
      <c r="B1" t="s">
        <v>319</v>
      </c>
      <c r="C1" s="50" t="s">
        <v>338</v>
      </c>
      <c r="D1" t="s">
        <v>320</v>
      </c>
      <c r="E1" t="s">
        <v>321</v>
      </c>
      <c r="F1" t="s">
        <v>416</v>
      </c>
      <c r="G1" t="s">
        <v>322</v>
      </c>
      <c r="H1" t="s">
        <v>323</v>
      </c>
      <c r="I1" t="s">
        <v>421</v>
      </c>
      <c r="J1" t="s">
        <v>420</v>
      </c>
    </row>
    <row r="2" spans="1:10" x14ac:dyDescent="0.3">
      <c r="A2" t="s">
        <v>324</v>
      </c>
      <c r="B2" t="s">
        <v>385</v>
      </c>
      <c r="C2" s="50">
        <v>548019</v>
      </c>
      <c r="D2" t="s">
        <v>325</v>
      </c>
      <c r="E2" t="s">
        <v>326</v>
      </c>
      <c r="F2" t="s">
        <v>417</v>
      </c>
      <c r="G2" t="s">
        <v>21</v>
      </c>
      <c r="H2" t="s">
        <v>327</v>
      </c>
      <c r="J2">
        <v>0</v>
      </c>
    </row>
    <row r="3" spans="1:10" x14ac:dyDescent="0.3">
      <c r="A3" t="s">
        <v>332</v>
      </c>
      <c r="B3" t="s">
        <v>330</v>
      </c>
      <c r="C3" s="50">
        <v>9732471</v>
      </c>
      <c r="D3" t="s">
        <v>330</v>
      </c>
      <c r="E3" t="s">
        <v>326</v>
      </c>
      <c r="F3" t="s">
        <v>417</v>
      </c>
      <c r="G3" t="s">
        <v>328</v>
      </c>
      <c r="H3" t="s">
        <v>329</v>
      </c>
      <c r="J3">
        <v>0</v>
      </c>
    </row>
    <row r="4" spans="1:10" x14ac:dyDescent="0.3">
      <c r="A4" t="s">
        <v>333</v>
      </c>
      <c r="B4" t="s">
        <v>331</v>
      </c>
      <c r="C4" s="50">
        <v>6199116</v>
      </c>
      <c r="D4" t="s">
        <v>331</v>
      </c>
      <c r="E4" t="s">
        <v>326</v>
      </c>
      <c r="F4" t="s">
        <v>417</v>
      </c>
      <c r="G4" t="s">
        <v>328</v>
      </c>
      <c r="H4" t="s">
        <v>329</v>
      </c>
      <c r="J4">
        <v>0</v>
      </c>
    </row>
    <row r="5" spans="1:10" x14ac:dyDescent="0.3">
      <c r="A5" s="31">
        <v>226490</v>
      </c>
      <c r="B5" t="s">
        <v>334</v>
      </c>
      <c r="C5" s="50">
        <v>3575705</v>
      </c>
      <c r="D5" t="s">
        <v>335</v>
      </c>
      <c r="E5" t="s">
        <v>326</v>
      </c>
      <c r="F5" t="s">
        <v>417</v>
      </c>
      <c r="G5" t="s">
        <v>336</v>
      </c>
      <c r="H5" t="s">
        <v>337</v>
      </c>
      <c r="J5">
        <v>0</v>
      </c>
    </row>
    <row r="6" spans="1:10" x14ac:dyDescent="0.3">
      <c r="A6" t="s">
        <v>371</v>
      </c>
      <c r="B6" t="s">
        <v>375</v>
      </c>
      <c r="C6" s="50">
        <v>15156281</v>
      </c>
      <c r="D6" t="s">
        <v>339</v>
      </c>
      <c r="E6" t="s">
        <v>348</v>
      </c>
      <c r="F6" t="s">
        <v>418</v>
      </c>
      <c r="G6" t="s">
        <v>328</v>
      </c>
      <c r="H6" t="s">
        <v>329</v>
      </c>
      <c r="J6">
        <v>0</v>
      </c>
    </row>
    <row r="7" spans="1:10" x14ac:dyDescent="0.3">
      <c r="A7" t="s">
        <v>373</v>
      </c>
      <c r="B7" t="s">
        <v>374</v>
      </c>
      <c r="C7" s="50">
        <v>9950017</v>
      </c>
      <c r="D7" t="s">
        <v>340</v>
      </c>
      <c r="E7" t="s">
        <v>348</v>
      </c>
      <c r="F7" t="s">
        <v>419</v>
      </c>
      <c r="G7" t="s">
        <v>328</v>
      </c>
      <c r="H7" t="s">
        <v>329</v>
      </c>
      <c r="J7">
        <v>0</v>
      </c>
    </row>
    <row r="8" spans="1:10" x14ac:dyDescent="0.3">
      <c r="A8" t="s">
        <v>358</v>
      </c>
      <c r="B8" t="s">
        <v>376</v>
      </c>
      <c r="C8" s="50">
        <v>4252948</v>
      </c>
      <c r="D8" t="s">
        <v>350</v>
      </c>
      <c r="E8" t="s">
        <v>348</v>
      </c>
      <c r="F8" t="s">
        <v>417</v>
      </c>
      <c r="G8" t="s">
        <v>351</v>
      </c>
      <c r="H8" t="s">
        <v>352</v>
      </c>
      <c r="J8">
        <v>0</v>
      </c>
    </row>
    <row r="9" spans="1:10" x14ac:dyDescent="0.3">
      <c r="A9" t="s">
        <v>360</v>
      </c>
      <c r="B9" t="s">
        <v>377</v>
      </c>
      <c r="C9" s="50">
        <v>4200467</v>
      </c>
      <c r="D9" t="s">
        <v>341</v>
      </c>
      <c r="E9" t="s">
        <v>348</v>
      </c>
      <c r="F9" t="s">
        <v>417</v>
      </c>
      <c r="G9" t="s">
        <v>328</v>
      </c>
      <c r="H9" t="s">
        <v>329</v>
      </c>
      <c r="J9">
        <v>0</v>
      </c>
    </row>
    <row r="10" spans="1:10" x14ac:dyDescent="0.3">
      <c r="A10" t="s">
        <v>362</v>
      </c>
      <c r="B10" t="s">
        <v>378</v>
      </c>
      <c r="C10" s="50">
        <v>2109942</v>
      </c>
      <c r="D10" t="s">
        <v>342</v>
      </c>
      <c r="E10" t="s">
        <v>348</v>
      </c>
      <c r="F10" t="s">
        <v>417</v>
      </c>
      <c r="G10" t="s">
        <v>328</v>
      </c>
      <c r="H10" t="s">
        <v>329</v>
      </c>
      <c r="J10">
        <v>0</v>
      </c>
    </row>
    <row r="11" spans="1:10" x14ac:dyDescent="0.3">
      <c r="A11" t="s">
        <v>363</v>
      </c>
      <c r="B11" t="s">
        <v>379</v>
      </c>
      <c r="C11" s="50">
        <v>2107970</v>
      </c>
      <c r="D11" t="s">
        <v>343</v>
      </c>
      <c r="E11" t="s">
        <v>348</v>
      </c>
      <c r="F11" t="s">
        <v>418</v>
      </c>
      <c r="G11" t="s">
        <v>328</v>
      </c>
      <c r="H11" t="s">
        <v>329</v>
      </c>
      <c r="J11">
        <v>0</v>
      </c>
    </row>
    <row r="12" spans="1:10" x14ac:dyDescent="0.3">
      <c r="A12" t="s">
        <v>364</v>
      </c>
      <c r="B12" t="s">
        <v>380</v>
      </c>
      <c r="C12" s="50">
        <v>4245573</v>
      </c>
      <c r="D12" t="s">
        <v>344</v>
      </c>
      <c r="E12" t="s">
        <v>348</v>
      </c>
      <c r="F12" t="s">
        <v>417</v>
      </c>
      <c r="G12" t="s">
        <v>351</v>
      </c>
      <c r="H12" t="s">
        <v>352</v>
      </c>
      <c r="J12">
        <v>0</v>
      </c>
    </row>
    <row r="13" spans="1:10" x14ac:dyDescent="0.3">
      <c r="A13" t="s">
        <v>365</v>
      </c>
      <c r="B13" t="s">
        <v>381</v>
      </c>
      <c r="C13" s="50">
        <v>6843270</v>
      </c>
      <c r="D13" t="s">
        <v>345</v>
      </c>
      <c r="E13" t="s">
        <v>348</v>
      </c>
      <c r="F13" t="s">
        <v>417</v>
      </c>
      <c r="G13" t="s">
        <v>353</v>
      </c>
      <c r="H13" t="s">
        <v>354</v>
      </c>
      <c r="J13">
        <v>0</v>
      </c>
    </row>
    <row r="14" spans="1:10" x14ac:dyDescent="0.3">
      <c r="A14" t="s">
        <v>366</v>
      </c>
      <c r="B14" t="s">
        <v>382</v>
      </c>
      <c r="C14" s="50">
        <v>2056309</v>
      </c>
      <c r="D14" t="s">
        <v>346</v>
      </c>
      <c r="E14" t="s">
        <v>348</v>
      </c>
      <c r="F14" t="s">
        <v>417</v>
      </c>
      <c r="G14" t="s">
        <v>355</v>
      </c>
      <c r="H14" t="s">
        <v>356</v>
      </c>
      <c r="J14">
        <v>0</v>
      </c>
    </row>
    <row r="15" spans="1:10" x14ac:dyDescent="0.3">
      <c r="A15" t="s">
        <v>367</v>
      </c>
      <c r="B15" t="s">
        <v>383</v>
      </c>
      <c r="C15" s="50">
        <v>2065314</v>
      </c>
      <c r="D15" t="s">
        <v>347</v>
      </c>
      <c r="E15" t="s">
        <v>348</v>
      </c>
      <c r="F15" t="s">
        <v>417</v>
      </c>
      <c r="G15" t="s">
        <v>355</v>
      </c>
      <c r="H15" t="s">
        <v>356</v>
      </c>
      <c r="J15">
        <v>0</v>
      </c>
    </row>
    <row r="16" spans="1:10" x14ac:dyDescent="0.3">
      <c r="A16" t="s">
        <v>369</v>
      </c>
      <c r="B16" t="s">
        <v>384</v>
      </c>
      <c r="C16" s="50">
        <v>3086</v>
      </c>
      <c r="D16" t="s">
        <v>349</v>
      </c>
      <c r="E16" t="s">
        <v>348</v>
      </c>
      <c r="F16" t="s">
        <v>417</v>
      </c>
      <c r="G16" t="s">
        <v>21</v>
      </c>
      <c r="H16" t="s">
        <v>17</v>
      </c>
      <c r="J16">
        <v>0</v>
      </c>
    </row>
    <row r="17" spans="1:10" x14ac:dyDescent="0.3">
      <c r="A17" t="s">
        <v>413</v>
      </c>
      <c r="B17" t="s">
        <v>414</v>
      </c>
      <c r="C17" s="50">
        <v>12709251</v>
      </c>
      <c r="D17" t="s">
        <v>415</v>
      </c>
      <c r="E17" t="s">
        <v>410</v>
      </c>
      <c r="F17" t="s">
        <v>417</v>
      </c>
      <c r="G17" t="s">
        <v>411</v>
      </c>
      <c r="H17" t="s">
        <v>412</v>
      </c>
      <c r="J17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"/>
  <sheetViews>
    <sheetView workbookViewId="0">
      <selection activeCell="F6" sqref="F6"/>
    </sheetView>
  </sheetViews>
  <sheetFormatPr defaultRowHeight="16.5" x14ac:dyDescent="0.3"/>
  <cols>
    <col min="1" max="2" width="10.25" customWidth="1"/>
    <col min="4" max="4" width="43.1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386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농협현금성자산</v>
      </c>
      <c r="E2" s="74">
        <v>1</v>
      </c>
      <c r="F2" s="75">
        <v>547863</v>
      </c>
      <c r="G2" s="75">
        <v>547863</v>
      </c>
      <c r="H2" s="76">
        <f>농협IRP[[#This Row],[현금지출]]-농협IRP[[#This Row],[매입액]]</f>
        <v>0</v>
      </c>
      <c r="I2" s="77"/>
      <c r="J2" s="75"/>
      <c r="K2" s="75"/>
      <c r="L2" s="78"/>
      <c r="M2" s="75"/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547863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387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신한정기예금1Y</v>
      </c>
      <c r="E3" s="74">
        <v>1</v>
      </c>
      <c r="F3" s="75">
        <v>9523204</v>
      </c>
      <c r="G3" s="75">
        <v>9523204</v>
      </c>
      <c r="H3" s="76">
        <f>농협IRP[[#This Row],[현금지출]]-농협IRP[[#This Row],[매입액]]</f>
        <v>0</v>
      </c>
      <c r="I3" s="77"/>
      <c r="J3" s="75"/>
      <c r="K3" s="75"/>
      <c r="L3" s="78"/>
      <c r="M3" s="75"/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9523204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388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다올정기예금1Y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/>
      <c r="J4" s="84"/>
      <c r="K4" s="84"/>
      <c r="L4" s="87"/>
      <c r="M4" s="84"/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>
        <v>226490</v>
      </c>
      <c r="C5" s="80" t="str">
        <f>VLOOKUP(농협IRP[[#This Row],[종목코드]],연금종목정보[],2,FALSE)</f>
        <v>KODEX 코스피</v>
      </c>
      <c r="D5" s="82" t="str">
        <f>VLOOKUP(농협IRP[[#This Row],[종목코드]],연금종목정보[],4,FALSE)</f>
        <v>삼성 KODEX 코스피증권상장지수투자신탁(주식)</v>
      </c>
      <c r="E5" s="83">
        <v>1</v>
      </c>
      <c r="F5" s="84">
        <v>3390170</v>
      </c>
      <c r="G5" s="85">
        <v>3390170</v>
      </c>
      <c r="H5" s="85">
        <f>농협IRP[[#This Row],[현금지출]]-농협IRP[[#This Row],[매입액]]</f>
        <v>0</v>
      </c>
      <c r="I5" s="86"/>
      <c r="J5" s="84"/>
      <c r="K5" s="84"/>
      <c r="L5" s="87"/>
      <c r="M5" s="84"/>
      <c r="N5" s="87">
        <f>농협IRP[[#This Row],[매도액]]-농협IRP[[#This Row],[매도원금]]</f>
        <v>0</v>
      </c>
      <c r="O5" s="87">
        <f>농협IRP[[#This Row],[매도액]]+농협IRP[[#This Row],[이자배당액]]-농협IRP[[#This Row],[현금수입]]</f>
        <v>0</v>
      </c>
      <c r="P5" s="87">
        <f>농협IRP[[#This Row],[매매수익]]+농협IRP[[#This Row],[이자배당액]]-농협IRP[[#This Row],[매도비용]]-농협IRP[[#This Row],[매입비용]]</f>
        <v>0</v>
      </c>
      <c r="Q5" s="85">
        <v>3390170</v>
      </c>
      <c r="R5" s="86">
        <f>농협IRP[[#This Row],[입출금]]+농협IRP[[#This Row],[현금수입]]-농협IRP[[#This Row],[현금지출]]</f>
        <v>0</v>
      </c>
      <c r="S5" s="86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workbookViewId="0">
      <selection activeCell="F13" sqref="F13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370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삼성화재 금리연동형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372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삼성화재 이율보증형 1Y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357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삼성퇴직연금인덱스증권투자신탁제1호(주식)_Ce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359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삼성퇴직연금Active채권종합증권자투자신탁 제1호(채권)_Ce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361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미래에셋퇴직플랜KRX100인덱스안정형40증권자투자신탁1호(채권혼합)_C-P2e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363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신영퇴직연금배당40증권자투자신탁(채권혼합)_C-E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364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신영퇴직연금배당주식증권자투자신탁(주식)_C-E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365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한국투자TDF알아서2045증권투자신탁(주식혼합-재간접형)_C-Re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366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KB미국대표성장주증권자투자신탁(주식)(H)C-퇴직e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367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삼성미국인덱스증권자투자신탁H(주식)_Cpe(퇴직연금)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368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삼성화재신탁 대기자금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2" sqref="H2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</cols>
  <sheetData>
    <row r="1" spans="1:19" x14ac:dyDescent="0.3">
      <c r="A1" s="13" t="s">
        <v>394</v>
      </c>
      <c r="B1" s="13" t="s">
        <v>77</v>
      </c>
      <c r="C1" s="13" t="s">
        <v>395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396</v>
      </c>
      <c r="I1" s="41" t="s">
        <v>134</v>
      </c>
      <c r="J1" s="15" t="s">
        <v>53</v>
      </c>
      <c r="K1" s="15" t="s">
        <v>397</v>
      </c>
      <c r="L1" s="15" t="s">
        <v>398</v>
      </c>
      <c r="M1" s="15" t="s">
        <v>399</v>
      </c>
      <c r="N1" s="15" t="s">
        <v>400</v>
      </c>
      <c r="O1" s="15" t="s">
        <v>401</v>
      </c>
      <c r="P1" s="15" t="s">
        <v>402</v>
      </c>
      <c r="Q1" s="16" t="s">
        <v>403</v>
      </c>
      <c r="R1" s="16" t="s">
        <v>61</v>
      </c>
      <c r="S1" s="16" t="s">
        <v>404</v>
      </c>
    </row>
    <row r="2" spans="1:19" x14ac:dyDescent="0.3">
      <c r="A2" s="71">
        <v>45327</v>
      </c>
      <c r="B2" t="s">
        <v>413</v>
      </c>
      <c r="C2" s="71" t="str">
        <f>VLOOKUP(농협IRP17[[#This Row],[종목코드]],연금종목정보[],2,FALSE)</f>
        <v>엔투현금</v>
      </c>
      <c r="D2" s="94" t="str">
        <f>VLOOKUP(농협IRP17[[#This Row],[종목코드]],연금종목정보[],4,FALSE)</f>
        <v>NH투자증권 예수금</v>
      </c>
      <c r="E2" s="74">
        <v>1</v>
      </c>
      <c r="F2" s="75">
        <v>12709251</v>
      </c>
      <c r="G2" s="75">
        <v>12709251</v>
      </c>
      <c r="H2" s="76"/>
      <c r="I2" s="77"/>
      <c r="J2" s="75"/>
      <c r="K2" s="75"/>
      <c r="L2" s="78"/>
      <c r="M2" s="75"/>
      <c r="N2" s="78"/>
      <c r="O2" s="78"/>
      <c r="P2" s="78"/>
      <c r="Q2" s="75">
        <v>12709251</v>
      </c>
      <c r="R2" s="77"/>
      <c r="S2" s="78">
        <f>SUM($R$2:R2)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workbookViewId="0">
      <selection activeCell="C5" sqref="C5"/>
    </sheetView>
  </sheetViews>
  <sheetFormatPr defaultRowHeight="16.5" x14ac:dyDescent="0.3"/>
  <cols>
    <col min="1" max="2" width="10.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5" x14ac:dyDescent="0.3">
      <c r="A1" t="s">
        <v>390</v>
      </c>
      <c r="B1" t="s">
        <v>391</v>
      </c>
      <c r="C1" t="s">
        <v>392</v>
      </c>
      <c r="D1" t="s">
        <v>393</v>
      </c>
    </row>
    <row r="2" spans="1:5" x14ac:dyDescent="0.3">
      <c r="C2">
        <v>547863</v>
      </c>
      <c r="D2">
        <v>548019</v>
      </c>
      <c r="E2" t="s">
        <v>177</v>
      </c>
    </row>
    <row r="3" spans="1:5" x14ac:dyDescent="0.3">
      <c r="A3" s="89">
        <v>44979</v>
      </c>
      <c r="B3" s="89">
        <f t="shared" ref="B3:B22" si="0">EDATE(A3,12)</f>
        <v>45344</v>
      </c>
      <c r="C3" s="90">
        <v>212400</v>
      </c>
      <c r="D3" s="90">
        <v>219265</v>
      </c>
    </row>
    <row r="4" spans="1:5" x14ac:dyDescent="0.3">
      <c r="A4" s="89">
        <v>44979</v>
      </c>
      <c r="B4" s="89">
        <f t="shared" si="0"/>
        <v>45344</v>
      </c>
      <c r="C4" s="90">
        <v>389501</v>
      </c>
      <c r="D4" s="90">
        <v>402090</v>
      </c>
    </row>
    <row r="5" spans="1:5" x14ac:dyDescent="0.3">
      <c r="A5" s="89">
        <v>44979</v>
      </c>
      <c r="B5" s="89">
        <f t="shared" si="0"/>
        <v>45344</v>
      </c>
      <c r="C5" s="90">
        <v>254275</v>
      </c>
      <c r="D5" s="90">
        <v>262494</v>
      </c>
    </row>
    <row r="6" spans="1:5" x14ac:dyDescent="0.3">
      <c r="A6" s="89">
        <v>44979</v>
      </c>
      <c r="B6" s="89">
        <f t="shared" si="0"/>
        <v>45344</v>
      </c>
      <c r="C6" s="90">
        <v>340900</v>
      </c>
      <c r="D6" s="90">
        <v>351919</v>
      </c>
    </row>
    <row r="7" spans="1:5" x14ac:dyDescent="0.3">
      <c r="A7" s="89">
        <v>44981</v>
      </c>
      <c r="B7" s="89">
        <f t="shared" si="0"/>
        <v>45346</v>
      </c>
      <c r="C7" s="90">
        <v>212483</v>
      </c>
      <c r="D7" s="90">
        <v>219311</v>
      </c>
    </row>
    <row r="8" spans="1:5" x14ac:dyDescent="0.3">
      <c r="A8" s="89">
        <v>45007</v>
      </c>
      <c r="B8" s="89">
        <f t="shared" si="0"/>
        <v>45373</v>
      </c>
      <c r="C8" s="90">
        <v>212212</v>
      </c>
      <c r="D8" s="90">
        <v>218517</v>
      </c>
    </row>
    <row r="9" spans="1:5" x14ac:dyDescent="0.3">
      <c r="A9" s="89">
        <v>45007</v>
      </c>
      <c r="B9" s="89">
        <f t="shared" si="0"/>
        <v>45373</v>
      </c>
      <c r="C9" s="90">
        <v>389614</v>
      </c>
      <c r="D9" s="90">
        <v>401191</v>
      </c>
    </row>
    <row r="10" spans="1:5" x14ac:dyDescent="0.3">
      <c r="A10" s="89">
        <v>45007</v>
      </c>
      <c r="B10" s="89">
        <f t="shared" si="0"/>
        <v>45373</v>
      </c>
      <c r="C10" s="90">
        <v>254450</v>
      </c>
      <c r="D10" s="90">
        <v>262010</v>
      </c>
    </row>
    <row r="11" spans="1:5" x14ac:dyDescent="0.3">
      <c r="A11" s="89">
        <v>45007</v>
      </c>
      <c r="B11" s="89">
        <f t="shared" si="0"/>
        <v>45373</v>
      </c>
      <c r="C11" s="90">
        <v>340900</v>
      </c>
      <c r="D11" s="90">
        <v>351029</v>
      </c>
    </row>
    <row r="12" spans="1:5" x14ac:dyDescent="0.3">
      <c r="A12" s="89">
        <v>45008</v>
      </c>
      <c r="B12" s="89">
        <f t="shared" si="0"/>
        <v>45374</v>
      </c>
      <c r="C12" s="90">
        <v>212160</v>
      </c>
      <c r="D12" s="90">
        <v>218444</v>
      </c>
    </row>
    <row r="13" spans="1:5" x14ac:dyDescent="0.3">
      <c r="A13" s="89">
        <v>45038</v>
      </c>
      <c r="B13" s="89">
        <f t="shared" si="0"/>
        <v>45404</v>
      </c>
      <c r="C13" s="90">
        <v>216264</v>
      </c>
      <c r="D13" s="90">
        <v>221639</v>
      </c>
    </row>
    <row r="14" spans="1:5" x14ac:dyDescent="0.3">
      <c r="A14" s="89">
        <v>45038</v>
      </c>
      <c r="B14" s="89">
        <f t="shared" si="0"/>
        <v>45404</v>
      </c>
      <c r="C14" s="90">
        <v>212180</v>
      </c>
      <c r="D14" s="90">
        <v>217453</v>
      </c>
    </row>
    <row r="15" spans="1:5" x14ac:dyDescent="0.3">
      <c r="A15" s="89">
        <v>45038</v>
      </c>
      <c r="B15" s="89">
        <f t="shared" si="0"/>
        <v>45404</v>
      </c>
      <c r="C15" s="90">
        <v>390036</v>
      </c>
      <c r="D15" s="90">
        <v>399730</v>
      </c>
    </row>
    <row r="16" spans="1:5" x14ac:dyDescent="0.3">
      <c r="A16" s="89">
        <v>45038</v>
      </c>
      <c r="B16" s="89">
        <f t="shared" si="0"/>
        <v>45404</v>
      </c>
      <c r="C16" s="90">
        <v>254675</v>
      </c>
      <c r="D16" s="90">
        <v>261004</v>
      </c>
    </row>
    <row r="17" spans="1:4" x14ac:dyDescent="0.3">
      <c r="A17" s="89">
        <v>45040</v>
      </c>
      <c r="B17" s="89">
        <f t="shared" si="0"/>
        <v>45406</v>
      </c>
      <c r="C17" s="90">
        <v>340900</v>
      </c>
      <c r="D17" s="90">
        <v>349314</v>
      </c>
    </row>
    <row r="18" spans="1:4" x14ac:dyDescent="0.3">
      <c r="A18" s="89">
        <v>45068</v>
      </c>
      <c r="B18" s="89">
        <f t="shared" si="0"/>
        <v>45434</v>
      </c>
      <c r="C18" s="90">
        <v>216196</v>
      </c>
      <c r="D18" s="90">
        <v>220979</v>
      </c>
    </row>
    <row r="19" spans="1:4" x14ac:dyDescent="0.3">
      <c r="A19" s="89">
        <v>45068</v>
      </c>
      <c r="B19" s="89">
        <f t="shared" si="0"/>
        <v>45434</v>
      </c>
      <c r="C19" s="90">
        <v>212154</v>
      </c>
      <c r="D19" s="90">
        <v>216847</v>
      </c>
    </row>
    <row r="20" spans="1:4" x14ac:dyDescent="0.3">
      <c r="A20" s="89">
        <v>45068</v>
      </c>
      <c r="B20" s="89">
        <f t="shared" si="0"/>
        <v>45434</v>
      </c>
      <c r="C20" s="90">
        <v>340900</v>
      </c>
      <c r="D20" s="90">
        <v>348442</v>
      </c>
    </row>
    <row r="21" spans="1:4" x14ac:dyDescent="0.3">
      <c r="A21" s="89">
        <v>45069</v>
      </c>
      <c r="B21" s="89">
        <f t="shared" si="0"/>
        <v>45435</v>
      </c>
      <c r="C21" s="90">
        <v>255275</v>
      </c>
      <c r="D21" s="90">
        <v>260900</v>
      </c>
    </row>
    <row r="22" spans="1:4" x14ac:dyDescent="0.3">
      <c r="A22" s="89">
        <v>45070</v>
      </c>
      <c r="B22" s="89">
        <f t="shared" si="0"/>
        <v>45436</v>
      </c>
      <c r="C22" s="90">
        <v>257342</v>
      </c>
      <c r="D22" s="90">
        <v>262991</v>
      </c>
    </row>
    <row r="23" spans="1:4" x14ac:dyDescent="0.3">
      <c r="A23" s="89">
        <v>45099</v>
      </c>
      <c r="B23" s="89">
        <f>EDATE(A23,12)</f>
        <v>45465</v>
      </c>
      <c r="C23" s="90">
        <v>396945</v>
      </c>
      <c r="D23" s="90">
        <v>405338</v>
      </c>
    </row>
    <row r="24" spans="1:4" x14ac:dyDescent="0.3">
      <c r="A24" s="89">
        <v>45099</v>
      </c>
      <c r="B24" s="89">
        <f t="shared" ref="B24:B36" si="1">EDATE(A24,12)</f>
        <v>45465</v>
      </c>
      <c r="C24" s="90">
        <v>154520</v>
      </c>
      <c r="D24" s="90">
        <v>157787</v>
      </c>
    </row>
    <row r="25" spans="1:4" x14ac:dyDescent="0.3">
      <c r="A25" s="89">
        <v>45099</v>
      </c>
      <c r="B25" s="89">
        <f t="shared" si="1"/>
        <v>45465</v>
      </c>
      <c r="C25" s="90">
        <v>257719</v>
      </c>
      <c r="D25" s="90">
        <v>263168</v>
      </c>
    </row>
    <row r="26" spans="1:4" x14ac:dyDescent="0.3">
      <c r="A26" s="89">
        <v>45099</v>
      </c>
      <c r="B26" s="89">
        <f t="shared" si="1"/>
        <v>45465</v>
      </c>
      <c r="C26" s="90">
        <v>255725</v>
      </c>
      <c r="D26" s="90">
        <v>261132</v>
      </c>
    </row>
    <row r="27" spans="1:4" x14ac:dyDescent="0.3">
      <c r="A27" s="89">
        <v>45099</v>
      </c>
      <c r="B27" s="89">
        <f t="shared" si="1"/>
        <v>45465</v>
      </c>
      <c r="C27" s="90">
        <v>340900</v>
      </c>
      <c r="D27" s="90">
        <v>348108</v>
      </c>
    </row>
    <row r="28" spans="1:4" x14ac:dyDescent="0.3">
      <c r="A28" s="89">
        <v>45101</v>
      </c>
      <c r="B28" s="89">
        <f t="shared" si="1"/>
        <v>45467</v>
      </c>
      <c r="C28" s="90">
        <v>216278</v>
      </c>
      <c r="D28" s="90">
        <v>220810</v>
      </c>
    </row>
    <row r="29" spans="1:4" x14ac:dyDescent="0.3">
      <c r="A29" s="3">
        <v>45131</v>
      </c>
      <c r="B29" s="89">
        <f t="shared" si="1"/>
        <v>45497</v>
      </c>
      <c r="C29" s="90">
        <v>340900</v>
      </c>
      <c r="D29" s="90">
        <v>347183</v>
      </c>
    </row>
    <row r="30" spans="1:4" x14ac:dyDescent="0.3">
      <c r="A30" s="3">
        <v>45160</v>
      </c>
      <c r="B30" s="89">
        <f t="shared" si="1"/>
        <v>45526</v>
      </c>
      <c r="C30" s="90">
        <v>340900</v>
      </c>
      <c r="D30" s="90">
        <v>346279</v>
      </c>
    </row>
    <row r="31" spans="1:4" x14ac:dyDescent="0.3">
      <c r="A31" s="3">
        <v>45191</v>
      </c>
      <c r="B31" s="89">
        <f t="shared" si="1"/>
        <v>45557</v>
      </c>
      <c r="C31" s="90">
        <v>340900</v>
      </c>
      <c r="D31" s="90">
        <v>345313</v>
      </c>
    </row>
    <row r="32" spans="1:4" x14ac:dyDescent="0.3">
      <c r="A32" s="3">
        <v>45222</v>
      </c>
      <c r="B32" s="89">
        <f t="shared" si="1"/>
        <v>45588</v>
      </c>
      <c r="C32" s="90">
        <v>340900</v>
      </c>
      <c r="D32" s="90">
        <v>344493</v>
      </c>
    </row>
    <row r="33" spans="1:5" x14ac:dyDescent="0.3">
      <c r="A33" s="3">
        <v>45225</v>
      </c>
      <c r="B33" s="89">
        <f t="shared" si="1"/>
        <v>45591</v>
      </c>
      <c r="C33" s="90">
        <v>6123103</v>
      </c>
      <c r="D33" s="90">
        <v>6199116</v>
      </c>
      <c r="E33" t="s">
        <v>389</v>
      </c>
    </row>
    <row r="34" spans="1:5" x14ac:dyDescent="0.3">
      <c r="A34" s="3">
        <v>45252</v>
      </c>
      <c r="B34" s="89">
        <f t="shared" si="1"/>
        <v>45618</v>
      </c>
      <c r="C34" s="90">
        <v>340900</v>
      </c>
      <c r="D34" s="90">
        <v>343526</v>
      </c>
    </row>
    <row r="35" spans="1:5" x14ac:dyDescent="0.3">
      <c r="A35" s="3">
        <v>45282</v>
      </c>
      <c r="B35" s="89">
        <f t="shared" si="1"/>
        <v>45648</v>
      </c>
      <c r="C35" s="90">
        <v>340900</v>
      </c>
      <c r="D35" s="90">
        <v>342441</v>
      </c>
    </row>
    <row r="36" spans="1:5" x14ac:dyDescent="0.3">
      <c r="A36" s="3">
        <v>45313</v>
      </c>
      <c r="B36" s="89">
        <f t="shared" si="1"/>
        <v>45679</v>
      </c>
      <c r="C36" s="90">
        <v>340900</v>
      </c>
      <c r="D36" s="90">
        <v>341324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405</v>
      </c>
      <c r="B1" t="s">
        <v>406</v>
      </c>
      <c r="D1" t="s">
        <v>407</v>
      </c>
    </row>
    <row r="2" spans="1:4" x14ac:dyDescent="0.3">
      <c r="A2" s="3">
        <v>43524</v>
      </c>
      <c r="B2" s="3">
        <v>45351</v>
      </c>
      <c r="C2" t="s">
        <v>408</v>
      </c>
      <c r="D2">
        <v>5600</v>
      </c>
    </row>
    <row r="3" spans="1:4" x14ac:dyDescent="0.3">
      <c r="A3" s="3">
        <v>43868</v>
      </c>
      <c r="B3" s="3">
        <v>45329</v>
      </c>
      <c r="C3" t="s">
        <v>408</v>
      </c>
      <c r="D3">
        <v>6070</v>
      </c>
    </row>
    <row r="4" spans="1:4" x14ac:dyDescent="0.3">
      <c r="A4" s="3">
        <v>44244</v>
      </c>
      <c r="B4" s="3">
        <v>45339</v>
      </c>
      <c r="C4" t="s">
        <v>408</v>
      </c>
      <c r="D4">
        <v>6510</v>
      </c>
    </row>
    <row r="5" spans="1:4" x14ac:dyDescent="0.3">
      <c r="A5" s="3">
        <v>44609</v>
      </c>
      <c r="B5" s="3">
        <v>45339</v>
      </c>
      <c r="C5" t="s">
        <v>408</v>
      </c>
      <c r="D5">
        <v>6260</v>
      </c>
    </row>
    <row r="6" spans="1:4" x14ac:dyDescent="0.3">
      <c r="A6" s="3">
        <v>44966</v>
      </c>
      <c r="B6" s="3">
        <v>45331</v>
      </c>
      <c r="C6" t="s">
        <v>408</v>
      </c>
      <c r="D6" s="90">
        <v>6470</v>
      </c>
    </row>
    <row r="7" spans="1:4" x14ac:dyDescent="0.3">
      <c r="A7" s="3">
        <v>45322</v>
      </c>
      <c r="B7" s="3">
        <v>45688</v>
      </c>
      <c r="C7" t="s">
        <v>408</v>
      </c>
      <c r="D7" s="90">
        <v>9915590</v>
      </c>
    </row>
    <row r="8" spans="1:4" x14ac:dyDescent="0.3">
      <c r="A8" s="3">
        <v>45314</v>
      </c>
      <c r="B8" s="3"/>
      <c r="C8" t="s">
        <v>409</v>
      </c>
      <c r="D8" s="50">
        <v>5064619</v>
      </c>
    </row>
    <row r="9" spans="1:4" x14ac:dyDescent="0.3">
      <c r="A9" s="3">
        <v>45323</v>
      </c>
      <c r="B9" s="3"/>
      <c r="C9" t="s">
        <v>409</v>
      </c>
      <c r="D9" s="50">
        <v>10087835</v>
      </c>
    </row>
    <row r="10" spans="1:4" x14ac:dyDescent="0.3">
      <c r="A10" s="3">
        <v>45322</v>
      </c>
      <c r="B10" s="3"/>
      <c r="C10" s="93" t="s">
        <v>364</v>
      </c>
      <c r="D10">
        <v>4195346</v>
      </c>
    </row>
    <row r="11" spans="1:4" x14ac:dyDescent="0.3">
      <c r="A11" s="3">
        <v>45322</v>
      </c>
      <c r="B11" s="3"/>
      <c r="C11" s="93" t="s">
        <v>363</v>
      </c>
      <c r="D11">
        <v>2097673</v>
      </c>
    </row>
    <row r="12" spans="1:4" x14ac:dyDescent="0.3">
      <c r="A12" s="3">
        <v>45322</v>
      </c>
      <c r="B12" s="3"/>
      <c r="C12" s="93" t="s">
        <v>361</v>
      </c>
      <c r="D12">
        <v>2097673</v>
      </c>
    </row>
    <row r="13" spans="1:4" x14ac:dyDescent="0.3">
      <c r="A13" s="3">
        <v>45322</v>
      </c>
      <c r="B13" s="3"/>
      <c r="C13" s="93" t="s">
        <v>359</v>
      </c>
      <c r="D13">
        <v>4195346</v>
      </c>
    </row>
    <row r="14" spans="1:4" x14ac:dyDescent="0.3">
      <c r="A14" s="3">
        <v>45322</v>
      </c>
      <c r="B14" s="3"/>
      <c r="C14" s="93" t="s">
        <v>357</v>
      </c>
      <c r="D14">
        <v>4195346</v>
      </c>
    </row>
    <row r="15" spans="1:4" x14ac:dyDescent="0.3">
      <c r="A15" s="3">
        <v>45323</v>
      </c>
      <c r="B15" s="3"/>
      <c r="C15" s="93" t="s">
        <v>367</v>
      </c>
      <c r="D15">
        <v>2097672</v>
      </c>
    </row>
    <row r="16" spans="1:4" x14ac:dyDescent="0.3">
      <c r="A16" s="3">
        <v>45323</v>
      </c>
      <c r="B16" s="3"/>
      <c r="C16" s="93" t="s">
        <v>366</v>
      </c>
      <c r="D16">
        <v>2097673</v>
      </c>
    </row>
    <row r="17" spans="1:4" x14ac:dyDescent="0.3">
      <c r="A17" s="3">
        <v>45324</v>
      </c>
      <c r="B17" s="3"/>
      <c r="C17" s="93" t="s">
        <v>365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7"/>
  <sheetViews>
    <sheetView workbookViewId="0">
      <pane xSplit="4" ySplit="1" topLeftCell="L2" activePane="bottomRight" state="frozen"/>
      <selection activeCell="A59" sqref="A59"/>
      <selection pane="topRight" activeCell="F1" sqref="F1"/>
      <selection pane="bottomLeft" activeCell="A69" sqref="A69"/>
      <selection pane="bottomRight" activeCell="D15" sqref="D15"/>
    </sheetView>
  </sheetViews>
  <sheetFormatPr defaultRowHeight="16.5" x14ac:dyDescent="0.3"/>
  <cols>
    <col min="1" max="1" width="11.125" style="92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2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2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2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2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2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2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2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2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2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2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2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2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2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2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2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2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1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2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1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2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1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2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1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2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1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2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1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2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1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2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1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2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1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2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1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2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1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2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1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2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1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2">
        <v>45341</v>
      </c>
      <c r="B29" s="46" t="s">
        <v>440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5">
        <v>0</v>
      </c>
      <c r="G29" s="96">
        <v>0</v>
      </c>
      <c r="H29" s="96">
        <f>불리오[[#This Row],[현금지출]]-불리오[[#This Row],[매입액]]</f>
        <v>0</v>
      </c>
      <c r="I29" s="111">
        <v>1</v>
      </c>
      <c r="J29" s="95">
        <v>18.149999999999999</v>
      </c>
      <c r="K29" s="95">
        <v>16.36</v>
      </c>
      <c r="L29" s="112">
        <v>0</v>
      </c>
      <c r="M29" s="95">
        <v>16.350000000000001</v>
      </c>
      <c r="N29" s="112">
        <f>불리오[[#This Row],[매도액]]-불리오[[#This Row],[매도원금]]</f>
        <v>-1.7899999999999991</v>
      </c>
      <c r="O29" s="112">
        <f>불리오[[#This Row],[매도액]]+불리오[[#This Row],[이자배당액]]-불리오[[#This Row],[현금수입]]</f>
        <v>9.9999999999980105E-3</v>
      </c>
      <c r="P29" s="112">
        <f>불리오[[#This Row],[매매수익]]+불리오[[#This Row],[이자배당액]]-불리오[[#This Row],[매도비용]]-불리오[[#This Row],[매입비용]]</f>
        <v>-1.7999999999999972</v>
      </c>
      <c r="Q29" s="91">
        <v>0</v>
      </c>
      <c r="R29" s="111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2">
        <v>45341</v>
      </c>
      <c r="B30" s="46" t="s">
        <v>441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5">
        <v>0</v>
      </c>
      <c r="G30" s="96">
        <v>0</v>
      </c>
      <c r="H30" s="96">
        <f>불리오[[#This Row],[현금지출]]-불리오[[#This Row],[매입액]]</f>
        <v>0</v>
      </c>
      <c r="I30" s="111">
        <v>1</v>
      </c>
      <c r="J30" s="95">
        <v>35.590000000000003</v>
      </c>
      <c r="K30" s="95">
        <v>32.86</v>
      </c>
      <c r="L30" s="112">
        <v>0</v>
      </c>
      <c r="M30" s="95">
        <v>32.82</v>
      </c>
      <c r="N30" s="112">
        <f>불리오[[#This Row],[매도액]]-불리오[[#This Row],[매도원금]]</f>
        <v>-2.730000000000004</v>
      </c>
      <c r="O30" s="112">
        <f>불리오[[#This Row],[매도액]]+불리오[[#This Row],[이자배당액]]-불리오[[#This Row],[현금수입]]</f>
        <v>3.9999999999999147E-2</v>
      </c>
      <c r="P30" s="112">
        <f>불리오[[#This Row],[매매수익]]+불리오[[#This Row],[이자배당액]]-불리오[[#This Row],[매도비용]]-불리오[[#This Row],[매입비용]]</f>
        <v>-2.7700000000000031</v>
      </c>
      <c r="Q30" s="91">
        <v>0</v>
      </c>
      <c r="R30" s="111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2">
        <v>45341</v>
      </c>
      <c r="B31" s="46" t="s">
        <v>442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5">
        <v>0</v>
      </c>
      <c r="G31" s="96">
        <v>0</v>
      </c>
      <c r="H31" s="96">
        <f>불리오[[#This Row],[현금지출]]-불리오[[#This Row],[매입액]]</f>
        <v>0</v>
      </c>
      <c r="I31" s="111">
        <v>1</v>
      </c>
      <c r="J31" s="95">
        <v>25.08</v>
      </c>
      <c r="K31" s="95">
        <v>23.23</v>
      </c>
      <c r="L31" s="112">
        <v>0</v>
      </c>
      <c r="M31" s="95">
        <v>23.21</v>
      </c>
      <c r="N31" s="112">
        <f>불리오[[#This Row],[매도액]]-불리오[[#This Row],[매도원금]]</f>
        <v>-1.8499999999999979</v>
      </c>
      <c r="O31" s="112">
        <f>불리오[[#This Row],[매도액]]+불리오[[#This Row],[이자배당액]]-불리오[[#This Row],[현금수입]]</f>
        <v>1.9999999999999574E-2</v>
      </c>
      <c r="P31" s="112">
        <f>불리오[[#This Row],[매매수익]]+불리오[[#This Row],[이자배당액]]-불리오[[#This Row],[매도비용]]-불리오[[#This Row],[매입비용]]</f>
        <v>-1.8699999999999974</v>
      </c>
      <c r="Q31" s="91">
        <v>0</v>
      </c>
      <c r="R31" s="111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2">
        <v>45341</v>
      </c>
      <c r="B32" s="46" t="s">
        <v>443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5">
        <v>0</v>
      </c>
      <c r="G32" s="96">
        <v>0</v>
      </c>
      <c r="H32" s="96">
        <f>불리오[[#This Row],[현금지출]]-불리오[[#This Row],[매입액]]</f>
        <v>0</v>
      </c>
      <c r="I32" s="111">
        <v>1</v>
      </c>
      <c r="J32" s="95">
        <v>24.2</v>
      </c>
      <c r="K32" s="95">
        <v>24.65</v>
      </c>
      <c r="L32" s="112">
        <v>0</v>
      </c>
      <c r="M32" s="95">
        <v>24.62</v>
      </c>
      <c r="N32" s="112">
        <f>불리오[[#This Row],[매도액]]-불리오[[#This Row],[매도원금]]</f>
        <v>0.44999999999999929</v>
      </c>
      <c r="O32" s="112">
        <f>불리오[[#This Row],[매도액]]+불리오[[#This Row],[이자배당액]]-불리오[[#This Row],[현금수입]]</f>
        <v>2.9999999999997584E-2</v>
      </c>
      <c r="P32" s="112">
        <f>불리오[[#This Row],[매매수익]]+불리오[[#This Row],[이자배당액]]-불리오[[#This Row],[매도비용]]-불리오[[#This Row],[매입비용]]</f>
        <v>0.42000000000000171</v>
      </c>
      <c r="Q32" s="91">
        <v>0</v>
      </c>
      <c r="R32" s="111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2">
        <v>45341</v>
      </c>
      <c r="B33" s="46" t="s">
        <v>444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5">
        <v>0</v>
      </c>
      <c r="G33" s="96">
        <v>0</v>
      </c>
      <c r="H33" s="96">
        <f>불리오[[#This Row],[현금지출]]-불리오[[#This Row],[매입액]]</f>
        <v>0</v>
      </c>
      <c r="I33" s="111">
        <v>17</v>
      </c>
      <c r="J33" s="95">
        <v>395.59</v>
      </c>
      <c r="K33" s="95">
        <v>394.91</v>
      </c>
      <c r="L33" s="112">
        <v>0</v>
      </c>
      <c r="M33" s="95">
        <v>394.25</v>
      </c>
      <c r="N33" s="112">
        <f>불리오[[#This Row],[매도액]]-불리오[[#This Row],[매도원금]]</f>
        <v>-0.67999999999994998</v>
      </c>
      <c r="O33" s="112">
        <f>불리오[[#This Row],[매도액]]+불리오[[#This Row],[이자배당액]]-불리오[[#This Row],[현금수입]]</f>
        <v>0.66000000000002501</v>
      </c>
      <c r="P33" s="112">
        <f>불리오[[#This Row],[매매수익]]+불리오[[#This Row],[이자배당액]]-불리오[[#This Row],[매도비용]]-불리오[[#This Row],[매입비용]]</f>
        <v>-1.339999999999975</v>
      </c>
      <c r="Q33" s="91">
        <v>0</v>
      </c>
      <c r="R33" s="111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2">
        <v>45343</v>
      </c>
      <c r="B34" s="46" t="s">
        <v>445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5">
        <v>67.81</v>
      </c>
      <c r="G34" s="96">
        <v>67.92</v>
      </c>
      <c r="H34" s="96">
        <f>불리오[[#This Row],[현금지출]]-불리오[[#This Row],[매입액]]</f>
        <v>0.10999999999999943</v>
      </c>
      <c r="I34" s="111">
        <v>0</v>
      </c>
      <c r="J34" s="95">
        <v>0</v>
      </c>
      <c r="K34" s="95">
        <v>0</v>
      </c>
      <c r="L34" s="112">
        <v>0</v>
      </c>
      <c r="M34" s="95">
        <v>0</v>
      </c>
      <c r="N34" s="112">
        <f>불리오[[#This Row],[매도액]]-불리오[[#This Row],[매도원금]]</f>
        <v>0</v>
      </c>
      <c r="O34" s="112">
        <f>불리오[[#This Row],[매도액]]+불리오[[#This Row],[이자배당액]]-불리오[[#This Row],[현금수입]]</f>
        <v>0</v>
      </c>
      <c r="P34" s="112">
        <f>불리오[[#This Row],[매매수익]]+불리오[[#This Row],[이자배당액]]-불리오[[#This Row],[매도비용]]-불리오[[#This Row],[매입비용]]</f>
        <v>-0.10999999999999943</v>
      </c>
      <c r="Q34" s="114">
        <v>0</v>
      </c>
      <c r="R34" s="111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2">
        <v>45343</v>
      </c>
      <c r="B35" s="46" t="s">
        <v>446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5">
        <v>27.4</v>
      </c>
      <c r="G35" s="96">
        <v>27.439999999999998</v>
      </c>
      <c r="H35" s="96">
        <f>불리오[[#This Row],[현금지출]]-불리오[[#This Row],[매입액]]</f>
        <v>3.9999999999999147E-2</v>
      </c>
      <c r="I35" s="111">
        <v>0</v>
      </c>
      <c r="J35" s="95">
        <v>0</v>
      </c>
      <c r="K35" s="95">
        <v>0</v>
      </c>
      <c r="L35" s="112">
        <v>0</v>
      </c>
      <c r="M35" s="95">
        <v>0</v>
      </c>
      <c r="N35" s="112">
        <f>불리오[[#This Row],[매도액]]-불리오[[#This Row],[매도원금]]</f>
        <v>0</v>
      </c>
      <c r="O35" s="112">
        <f>불리오[[#This Row],[매도액]]+불리오[[#This Row],[이자배당액]]-불리오[[#This Row],[현금수입]]</f>
        <v>0</v>
      </c>
      <c r="P35" s="112">
        <f>불리오[[#This Row],[매매수익]]+불리오[[#This Row],[이자배당액]]-불리오[[#This Row],[매도비용]]-불리오[[#This Row],[매입비용]]</f>
        <v>-3.9999999999999147E-2</v>
      </c>
      <c r="Q35" s="114">
        <v>0</v>
      </c>
      <c r="R35" s="111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2">
        <v>45343</v>
      </c>
      <c r="B36" s="46" t="s">
        <v>447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5">
        <v>36.68</v>
      </c>
      <c r="G36" s="96">
        <v>36.74</v>
      </c>
      <c r="H36" s="96">
        <f>불리오[[#This Row],[현금지출]]-불리오[[#This Row],[매입액]]</f>
        <v>6.0000000000002274E-2</v>
      </c>
      <c r="I36" s="111">
        <v>0</v>
      </c>
      <c r="J36" s="95">
        <v>0</v>
      </c>
      <c r="K36" s="95">
        <v>0</v>
      </c>
      <c r="L36" s="112">
        <v>0</v>
      </c>
      <c r="M36" s="95">
        <v>0</v>
      </c>
      <c r="N36" s="112">
        <f>불리오[[#This Row],[매도액]]-불리오[[#This Row],[매도원금]]</f>
        <v>0</v>
      </c>
      <c r="O36" s="112">
        <f>불리오[[#This Row],[매도액]]+불리오[[#This Row],[이자배당액]]-불리오[[#This Row],[현금수입]]</f>
        <v>0</v>
      </c>
      <c r="P36" s="112">
        <f>불리오[[#This Row],[매매수익]]+불리오[[#This Row],[이자배당액]]-불리오[[#This Row],[매도비용]]-불리오[[#This Row],[매입비용]]</f>
        <v>-6.0000000000002274E-2</v>
      </c>
      <c r="Q36" s="114">
        <v>0</v>
      </c>
      <c r="R36" s="111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x14ac:dyDescent="0.3">
      <c r="A37" s="92">
        <v>45343</v>
      </c>
      <c r="B37" s="46" t="s">
        <v>448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5">
        <f>8*48.05</f>
        <v>384.4</v>
      </c>
      <c r="G37" s="96">
        <v>385.04999999999995</v>
      </c>
      <c r="H37" s="96">
        <f>불리오[[#This Row],[현금지출]]-불리오[[#This Row],[매입액]]</f>
        <v>0.64999999999997726</v>
      </c>
      <c r="I37" s="111">
        <v>0</v>
      </c>
      <c r="J37" s="95">
        <v>0</v>
      </c>
      <c r="K37" s="95">
        <v>0</v>
      </c>
      <c r="L37" s="112">
        <v>0</v>
      </c>
      <c r="M37" s="95">
        <v>0</v>
      </c>
      <c r="N37" s="112">
        <f>불리오[[#This Row],[매도액]]-불리오[[#This Row],[매도원금]]</f>
        <v>0</v>
      </c>
      <c r="O37" s="112">
        <f>불리오[[#This Row],[매도액]]+불리오[[#This Row],[이자배당액]]-불리오[[#This Row],[현금수입]]</f>
        <v>0</v>
      </c>
      <c r="P37" s="112">
        <f>불리오[[#This Row],[매매수익]]+불리오[[#This Row],[이자배당액]]-불리오[[#This Row],[매도비용]]-불리오[[#This Row],[매입비용]]</f>
        <v>-0.64999999999997726</v>
      </c>
      <c r="Q37" s="114">
        <v>0</v>
      </c>
      <c r="R37" s="111">
        <f>불리오[[#This Row],[입출금]]+불리오[[#This Row],[현금수입]]-불리오[[#This Row],[현금지출]]</f>
        <v>-385.04999999999995</v>
      </c>
      <c r="S37" s="11">
        <f>SUM($R$2:R37)</f>
        <v>30.199999999999818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F11" sqref="F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459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9" t="s">
        <v>460</v>
      </c>
      <c r="C6" s="117" t="str">
        <f>VLOOKUP(표4[[#This Row],[종목코드]],표3[],2,FALSE)</f>
        <v>직접운용달러</v>
      </c>
      <c r="D6" s="118" t="str">
        <f>VLOOKUP(표4[[#This Row],[종목코드]],표3[],4,FALSE)</f>
        <v>한국투자증권 직접투자계좌 달러예수금</v>
      </c>
      <c r="E6" s="113"/>
      <c r="F6" s="119"/>
      <c r="G6" s="120"/>
      <c r="H6" s="120">
        <f>표4[[#This Row],[현금지출]]-표4[[#This Row],[매입액]]</f>
        <v>0</v>
      </c>
      <c r="I6" s="100"/>
      <c r="J6" s="119"/>
      <c r="K6" s="119"/>
      <c r="L6" s="119"/>
      <c r="M6" s="119"/>
      <c r="N6" s="119">
        <f>표4[[#This Row],[매도액]]-표4[[#This Row],[매도원금]]</f>
        <v>0</v>
      </c>
      <c r="O6" s="119">
        <f>표4[[#This Row],[매도액]]+표4[[#This Row],[이자배당액]]-표4[[#This Row],[현금수입]]</f>
        <v>0</v>
      </c>
      <c r="P6" s="122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5">
        <f>SUM($R$2:R6)</f>
        <v>0</v>
      </c>
    </row>
    <row r="7" spans="1:19" x14ac:dyDescent="0.3">
      <c r="A7" s="101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3">
        <v>0</v>
      </c>
      <c r="G7" s="104">
        <v>0</v>
      </c>
      <c r="H7" s="104">
        <f>표4[[#This Row],[현금지출]]-표4[[#This Row],[매입액]]</f>
        <v>0</v>
      </c>
      <c r="I7" s="100">
        <v>1</v>
      </c>
      <c r="J7" s="103">
        <v>5835.86</v>
      </c>
      <c r="K7" s="103">
        <f>3884.79+2023.91</f>
        <v>5908.7</v>
      </c>
      <c r="L7" s="103">
        <v>0</v>
      </c>
      <c r="M7" s="103">
        <v>5897.5</v>
      </c>
      <c r="N7" s="103">
        <f>표4[[#This Row],[매도액]]-표4[[#This Row],[매도원금]]</f>
        <v>72.840000000000146</v>
      </c>
      <c r="O7" s="103">
        <f>표4[[#This Row],[매도액]]+표4[[#This Row],[이자배당액]]-표4[[#This Row],[현금수입]]</f>
        <v>11.199999999999818</v>
      </c>
      <c r="P7" s="105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101">
        <v>45341</v>
      </c>
      <c r="B8" s="99" t="s">
        <v>89</v>
      </c>
      <c r="C8" s="106" t="str">
        <f>VLOOKUP(표4[[#This Row],[종목코드]],표3[],2,FALSE)</f>
        <v>한투외화RP</v>
      </c>
      <c r="D8" s="107" t="str">
        <f>VLOOKUP(표4[[#This Row],[종목코드]],표3[],4,FALSE)</f>
        <v>한국투자증권 직접투자계좌 외화RP</v>
      </c>
      <c r="E8" s="43">
        <v>1</v>
      </c>
      <c r="F8" s="103">
        <v>5897.5</v>
      </c>
      <c r="G8" s="103">
        <v>5897.5</v>
      </c>
      <c r="H8" s="104">
        <f>표4[[#This Row],[현금지출]]-표4[[#This Row],[매입액]]</f>
        <v>0</v>
      </c>
      <c r="I8" s="100">
        <v>0</v>
      </c>
      <c r="J8" s="103">
        <v>0</v>
      </c>
      <c r="K8" s="103">
        <v>0</v>
      </c>
      <c r="L8" s="103">
        <v>0</v>
      </c>
      <c r="M8" s="103">
        <v>0</v>
      </c>
      <c r="N8" s="103">
        <f>표4[[#This Row],[매도액]]-표4[[#This Row],[매도원금]]</f>
        <v>0</v>
      </c>
      <c r="O8" s="103">
        <f>표4[[#This Row],[매도액]]+표4[[#This Row],[이자배당액]]-표4[[#This Row],[현금수입]]</f>
        <v>0</v>
      </c>
      <c r="P8" s="105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4">
        <v>45342</v>
      </c>
      <c r="B9" s="99" t="s">
        <v>89</v>
      </c>
      <c r="C9" s="117" t="str">
        <f>VLOOKUP(표4[[#This Row],[종목코드]],표3[],2,FALSE)</f>
        <v>한투외화RP</v>
      </c>
      <c r="D9" s="118" t="str">
        <f>VLOOKUP(표4[[#This Row],[종목코드]],표3[],4,FALSE)</f>
        <v>한국투자증권 직접투자계좌 외화RP</v>
      </c>
      <c r="E9" s="43">
        <v>0</v>
      </c>
      <c r="F9" s="119">
        <v>0</v>
      </c>
      <c r="G9" s="120">
        <v>0</v>
      </c>
      <c r="H9" s="120">
        <f>표4[[#This Row],[현금지출]]-표4[[#This Row],[매입액]]</f>
        <v>0</v>
      </c>
      <c r="I9" s="100">
        <v>1</v>
      </c>
      <c r="J9" s="119">
        <v>5897.5</v>
      </c>
      <c r="K9" s="119">
        <v>5898.02</v>
      </c>
      <c r="L9" s="119">
        <v>0</v>
      </c>
      <c r="M9" s="119">
        <v>5897.95</v>
      </c>
      <c r="N9" s="119">
        <f>표4[[#This Row],[매도액]]-표4[[#This Row],[매도원금]]</f>
        <v>0.52000000000043656</v>
      </c>
      <c r="O9" s="119">
        <f>표4[[#This Row],[매도액]]+표4[[#This Row],[이자배당액]]-표4[[#This Row],[현금수입]]</f>
        <v>7.0000000000618456E-2</v>
      </c>
      <c r="P9" s="122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5">
        <v>45343</v>
      </c>
      <c r="B10" s="99" t="s">
        <v>449</v>
      </c>
      <c r="C10" s="117" t="str">
        <f>VLOOKUP(표4[[#This Row],[종목코드]],표3[],2,FALSE)</f>
        <v>미국인프라</v>
      </c>
      <c r="D10" s="118" t="str">
        <f>VLOOKUP(표4[[#This Row],[종목코드]],표3[],4,FALSE)</f>
        <v>GLOBAL X US INFRASTRUCTURE DEVELOPMENT ETF</v>
      </c>
      <c r="E10" s="43">
        <v>89</v>
      </c>
      <c r="F10" s="119">
        <v>3220.02</v>
      </c>
      <c r="G10" s="120">
        <v>3228.06</v>
      </c>
      <c r="H10" s="120">
        <f>표4[[#This Row],[현금지출]]-표4[[#This Row],[매입액]]</f>
        <v>8.0399999999999636</v>
      </c>
      <c r="I10" s="100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f>표4[[#This Row],[매도액]]-표4[[#This Row],[매도원금]]</f>
        <v>0</v>
      </c>
      <c r="O10" s="119">
        <f>표4[[#This Row],[매도액]]+표4[[#This Row],[이자배당액]]-표4[[#This Row],[현금수입]]</f>
        <v>0</v>
      </c>
      <c r="P10" s="122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23">
        <v>45343</v>
      </c>
      <c r="B11" s="116" t="s">
        <v>450</v>
      </c>
      <c r="C11" s="106" t="str">
        <f>VLOOKUP(표4[[#This Row],[종목코드]],표3[],2,FALSE)</f>
        <v>미국부동산</v>
      </c>
      <c r="D11" s="107" t="str">
        <f>VLOOKUP(표4[[#This Row],[종목코드]],표3[],4,FALSE)</f>
        <v>VANGUARD REAL ESTATE ETF</v>
      </c>
      <c r="E11" s="43">
        <v>31</v>
      </c>
      <c r="F11" s="103">
        <v>2607.7200000000003</v>
      </c>
      <c r="G11" s="104">
        <v>2614.2300000000005</v>
      </c>
      <c r="H11" s="104">
        <f>표4[[#This Row],[현금지출]]-표4[[#This Row],[매입액]]</f>
        <v>6.5100000000002183</v>
      </c>
      <c r="I11" s="121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f>표4[[#This Row],[매도액]]-표4[[#This Row],[매도원금]]</f>
        <v>0</v>
      </c>
      <c r="O11" s="103">
        <f>표4[[#This Row],[매도액]]+표4[[#This Row],[이자배당액]]-표4[[#This Row],[현금수입]]</f>
        <v>0</v>
      </c>
      <c r="P11" s="105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삼성DC</vt:lpstr>
      <vt:lpstr>엔투저축연금</vt:lpstr>
      <vt:lpstr>농협IRP (2)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infomax</cp:lastModifiedBy>
  <dcterms:created xsi:type="dcterms:W3CDTF">2023-07-30T03:48:56Z</dcterms:created>
  <dcterms:modified xsi:type="dcterms:W3CDTF">2024-02-21T01:33:12Z</dcterms:modified>
</cp:coreProperties>
</file>