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750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E43" i="1"/>
  <c r="F43" i="1"/>
  <c r="G43" i="1"/>
  <c r="M43" i="1"/>
  <c r="I43" i="1"/>
  <c r="H43" i="1"/>
  <c r="J43" i="1"/>
  <c r="K43" i="1"/>
  <c r="N43" i="1"/>
  <c r="L43" i="1"/>
  <c r="O43" i="1"/>
  <c r="D42" i="1"/>
  <c r="E42" i="1"/>
  <c r="F42" i="1"/>
  <c r="G42" i="1"/>
  <c r="M42" i="1"/>
  <c r="I42" i="1"/>
  <c r="H42" i="1"/>
  <c r="J42" i="1"/>
  <c r="K42" i="1"/>
  <c r="N42" i="1"/>
  <c r="L42" i="1"/>
  <c r="O42" i="1"/>
  <c r="D41" i="1"/>
  <c r="E41" i="1"/>
  <c r="F41" i="1"/>
  <c r="G41" i="1"/>
  <c r="M41" i="1"/>
  <c r="I41" i="1"/>
  <c r="H41" i="1"/>
  <c r="J41" i="1"/>
  <c r="K41" i="1"/>
  <c r="N41" i="1"/>
  <c r="L41" i="1"/>
  <c r="O41" i="1"/>
  <c r="D40" i="1"/>
  <c r="E40" i="1"/>
  <c r="F40" i="1"/>
  <c r="G40" i="1"/>
  <c r="M40" i="1"/>
  <c r="I40" i="1"/>
  <c r="H40" i="1"/>
  <c r="J40" i="1"/>
  <c r="K40" i="1"/>
  <c r="N40" i="1"/>
  <c r="L40" i="1"/>
  <c r="O40" i="1"/>
  <c r="D39" i="1"/>
  <c r="E39" i="1"/>
  <c r="F39" i="1"/>
  <c r="G39" i="1"/>
  <c r="M39" i="1"/>
  <c r="I39" i="1"/>
  <c r="H39" i="1"/>
  <c r="J39" i="1"/>
  <c r="K39" i="1"/>
  <c r="N39" i="1"/>
  <c r="L39" i="1"/>
  <c r="O39" i="1"/>
  <c r="D38" i="1"/>
  <c r="E38" i="1"/>
  <c r="F38" i="1"/>
  <c r="G38" i="1"/>
  <c r="M38" i="1"/>
  <c r="I38" i="1"/>
  <c r="H38" i="1"/>
  <c r="J38" i="1"/>
  <c r="K38" i="1"/>
  <c r="N38" i="1"/>
  <c r="L38" i="1"/>
  <c r="O38" i="1"/>
  <c r="D37" i="1"/>
  <c r="E37" i="1"/>
  <c r="F37" i="1"/>
  <c r="G37" i="1"/>
  <c r="M37" i="1"/>
  <c r="I37" i="1"/>
  <c r="H37" i="1"/>
  <c r="J37" i="1"/>
  <c r="K37" i="1"/>
  <c r="N37" i="1"/>
  <c r="L37" i="1"/>
  <c r="O37" i="1"/>
  <c r="B37" i="1"/>
  <c r="D36" i="1"/>
  <c r="E36" i="1"/>
  <c r="F36" i="1"/>
  <c r="G36" i="1"/>
  <c r="M36" i="1"/>
  <c r="I36" i="1"/>
  <c r="H36" i="1"/>
  <c r="J36" i="1"/>
  <c r="K36" i="1"/>
  <c r="N36" i="1"/>
  <c r="L36" i="1"/>
  <c r="O36" i="1"/>
  <c r="D15" i="1"/>
  <c r="E15" i="1"/>
  <c r="F15" i="1"/>
  <c r="G15" i="1"/>
  <c r="M15" i="1"/>
  <c r="I15" i="1"/>
  <c r="H15" i="1"/>
  <c r="J15" i="1"/>
  <c r="K15" i="1"/>
  <c r="N15" i="1"/>
  <c r="L15" i="1"/>
  <c r="O15" i="1"/>
  <c r="D16" i="1"/>
  <c r="E16" i="1"/>
  <c r="F16" i="1"/>
  <c r="G16" i="1"/>
  <c r="M16" i="1"/>
  <c r="I16" i="1"/>
  <c r="H16" i="1"/>
  <c r="J16" i="1"/>
  <c r="K16" i="1"/>
  <c r="N16" i="1"/>
  <c r="L16" i="1"/>
  <c r="O16" i="1"/>
  <c r="D17" i="1"/>
  <c r="E17" i="1"/>
  <c r="F17" i="1"/>
  <c r="G17" i="1"/>
  <c r="M17" i="1"/>
  <c r="I17" i="1"/>
  <c r="H17" i="1"/>
  <c r="J17" i="1"/>
  <c r="K17" i="1"/>
  <c r="N17" i="1"/>
  <c r="L17" i="1"/>
  <c r="O17" i="1"/>
  <c r="D18" i="1"/>
  <c r="E18" i="1"/>
  <c r="F18" i="1"/>
  <c r="G18" i="1"/>
  <c r="M18" i="1"/>
  <c r="I18" i="1"/>
  <c r="H18" i="1"/>
  <c r="J18" i="1"/>
  <c r="K18" i="1"/>
  <c r="N18" i="1"/>
  <c r="L18" i="1"/>
  <c r="O18" i="1"/>
  <c r="D19" i="1"/>
  <c r="E19" i="1"/>
  <c r="F19" i="1"/>
  <c r="G19" i="1"/>
  <c r="M19" i="1"/>
  <c r="I19" i="1"/>
  <c r="H19" i="1"/>
  <c r="J19" i="1"/>
  <c r="K19" i="1"/>
  <c r="N19" i="1"/>
  <c r="L19" i="1"/>
  <c r="O19" i="1"/>
  <c r="D20" i="1"/>
  <c r="E20" i="1"/>
  <c r="F20" i="1"/>
  <c r="G20" i="1"/>
  <c r="M20" i="1"/>
  <c r="I20" i="1"/>
  <c r="H20" i="1"/>
  <c r="J20" i="1"/>
  <c r="K20" i="1"/>
  <c r="N20" i="1"/>
  <c r="L20" i="1"/>
  <c r="O20" i="1"/>
  <c r="D21" i="1"/>
  <c r="E21" i="1"/>
  <c r="F21" i="1"/>
  <c r="G21" i="1"/>
  <c r="M21" i="1"/>
  <c r="I21" i="1"/>
  <c r="H21" i="1"/>
  <c r="J21" i="1"/>
  <c r="K21" i="1"/>
  <c r="N21" i="1"/>
  <c r="L21" i="1"/>
  <c r="O21" i="1"/>
  <c r="D22" i="1"/>
  <c r="E22" i="1"/>
  <c r="F22" i="1"/>
  <c r="G22" i="1"/>
  <c r="M22" i="1"/>
  <c r="I22" i="1"/>
  <c r="H22" i="1"/>
  <c r="J22" i="1"/>
  <c r="K22" i="1"/>
  <c r="N22" i="1"/>
  <c r="L22" i="1"/>
  <c r="O22" i="1"/>
  <c r="D23" i="1"/>
  <c r="E23" i="1"/>
  <c r="F23" i="1"/>
  <c r="G23" i="1"/>
  <c r="M23" i="1"/>
  <c r="I23" i="1"/>
  <c r="H23" i="1"/>
  <c r="J23" i="1"/>
  <c r="K23" i="1"/>
  <c r="N23" i="1"/>
  <c r="L23" i="1"/>
  <c r="O23" i="1"/>
  <c r="D24" i="1"/>
  <c r="E24" i="1"/>
  <c r="F24" i="1"/>
  <c r="G24" i="1"/>
  <c r="M24" i="1"/>
  <c r="I24" i="1"/>
  <c r="H24" i="1"/>
  <c r="J24" i="1"/>
  <c r="K24" i="1"/>
  <c r="N24" i="1"/>
  <c r="L24" i="1"/>
  <c r="O24" i="1"/>
  <c r="D25" i="1"/>
  <c r="E25" i="1"/>
  <c r="F25" i="1"/>
  <c r="G25" i="1"/>
  <c r="M25" i="1"/>
  <c r="I25" i="1"/>
  <c r="H25" i="1"/>
  <c r="J25" i="1"/>
  <c r="K25" i="1"/>
  <c r="N25" i="1"/>
  <c r="L25" i="1"/>
  <c r="O25" i="1"/>
  <c r="D26" i="1"/>
  <c r="E26" i="1"/>
  <c r="F26" i="1"/>
  <c r="G26" i="1"/>
  <c r="M26" i="1"/>
  <c r="I26" i="1"/>
  <c r="H26" i="1"/>
  <c r="J26" i="1"/>
  <c r="K26" i="1"/>
  <c r="N26" i="1"/>
  <c r="L26" i="1"/>
  <c r="O26" i="1"/>
  <c r="D27" i="1"/>
  <c r="E27" i="1"/>
  <c r="F27" i="1"/>
  <c r="G27" i="1"/>
  <c r="M27" i="1"/>
  <c r="I27" i="1"/>
  <c r="H27" i="1"/>
  <c r="J27" i="1"/>
  <c r="K27" i="1"/>
  <c r="N27" i="1"/>
  <c r="L27" i="1"/>
  <c r="O27" i="1"/>
  <c r="D28" i="1"/>
  <c r="E28" i="1"/>
  <c r="F28" i="1"/>
  <c r="G28" i="1"/>
  <c r="M28" i="1"/>
  <c r="I28" i="1"/>
  <c r="H28" i="1"/>
  <c r="J28" i="1"/>
  <c r="K28" i="1"/>
  <c r="N28" i="1"/>
  <c r="L28" i="1"/>
  <c r="O28" i="1"/>
  <c r="D29" i="1"/>
  <c r="E29" i="1"/>
  <c r="F29" i="1"/>
  <c r="G29" i="1"/>
  <c r="M29" i="1"/>
  <c r="I29" i="1"/>
  <c r="H29" i="1"/>
  <c r="J29" i="1"/>
  <c r="K29" i="1"/>
  <c r="N29" i="1"/>
  <c r="L29" i="1"/>
  <c r="O29" i="1"/>
  <c r="D30" i="1"/>
  <c r="E30" i="1"/>
  <c r="F30" i="1"/>
  <c r="G30" i="1"/>
  <c r="M30" i="1"/>
  <c r="I30" i="1"/>
  <c r="H30" i="1"/>
  <c r="J30" i="1"/>
  <c r="K30" i="1"/>
  <c r="N30" i="1"/>
  <c r="L30" i="1"/>
  <c r="O30" i="1"/>
  <c r="D31" i="1"/>
  <c r="E31" i="1"/>
  <c r="F31" i="1"/>
  <c r="G31" i="1"/>
  <c r="M31" i="1"/>
  <c r="I31" i="1"/>
  <c r="H31" i="1"/>
  <c r="J31" i="1"/>
  <c r="K31" i="1"/>
  <c r="N31" i="1"/>
  <c r="L31" i="1"/>
  <c r="O31" i="1"/>
  <c r="D32" i="1"/>
  <c r="E32" i="1"/>
  <c r="F32" i="1"/>
  <c r="G32" i="1"/>
  <c r="M32" i="1"/>
  <c r="I32" i="1"/>
  <c r="H32" i="1"/>
  <c r="J32" i="1"/>
  <c r="K32" i="1"/>
  <c r="N32" i="1"/>
  <c r="L32" i="1"/>
  <c r="O32" i="1"/>
  <c r="D33" i="1"/>
  <c r="E33" i="1"/>
  <c r="F33" i="1"/>
  <c r="G33" i="1"/>
  <c r="M33" i="1"/>
  <c r="I33" i="1"/>
  <c r="H33" i="1"/>
  <c r="J33" i="1"/>
  <c r="K33" i="1"/>
  <c r="N33" i="1"/>
  <c r="L33" i="1"/>
  <c r="O33" i="1"/>
  <c r="D34" i="1"/>
  <c r="E34" i="1"/>
  <c r="F34" i="1"/>
  <c r="G34" i="1"/>
  <c r="M34" i="1"/>
  <c r="I34" i="1"/>
  <c r="H34" i="1"/>
  <c r="J34" i="1"/>
  <c r="K34" i="1"/>
  <c r="N34" i="1"/>
  <c r="L34" i="1"/>
  <c r="O34" i="1"/>
  <c r="D35" i="1"/>
  <c r="E35" i="1"/>
  <c r="F35" i="1"/>
  <c r="G35" i="1"/>
  <c r="M35" i="1"/>
  <c r="I35" i="1"/>
  <c r="H35" i="1"/>
  <c r="J35" i="1"/>
  <c r="K35" i="1"/>
  <c r="N35" i="1"/>
  <c r="L35" i="1"/>
  <c r="O35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D14" i="1"/>
  <c r="E14" i="1"/>
  <c r="F14" i="1"/>
  <c r="G14" i="1"/>
  <c r="M14" i="1"/>
  <c r="I14" i="1"/>
  <c r="H14" i="1"/>
  <c r="J14" i="1"/>
  <c r="K14" i="1"/>
  <c r="N14" i="1"/>
  <c r="L14" i="1"/>
  <c r="O14" i="1"/>
  <c r="B14" i="1"/>
  <c r="D13" i="1"/>
  <c r="E13" i="1"/>
  <c r="F13" i="1"/>
  <c r="G13" i="1"/>
  <c r="M13" i="1"/>
  <c r="I13" i="1"/>
  <c r="H13" i="1"/>
  <c r="J13" i="1"/>
  <c r="K13" i="1"/>
  <c r="N13" i="1"/>
  <c r="L13" i="1"/>
  <c r="O13" i="1"/>
  <c r="L7" i="1"/>
  <c r="D8" i="1"/>
  <c r="F8" i="1"/>
  <c r="I8" i="1"/>
  <c r="J8" i="1"/>
  <c r="K8" i="1"/>
  <c r="N8" i="1"/>
  <c r="L8" i="1"/>
  <c r="D9" i="1"/>
  <c r="F9" i="1"/>
  <c r="I9" i="1"/>
  <c r="J9" i="1"/>
  <c r="K9" i="1"/>
  <c r="N9" i="1"/>
  <c r="L9" i="1"/>
  <c r="D10" i="1"/>
  <c r="F10" i="1"/>
  <c r="I10" i="1"/>
  <c r="J10" i="1"/>
  <c r="K10" i="1"/>
  <c r="N10" i="1"/>
  <c r="L10" i="1"/>
  <c r="L11" i="1"/>
  <c r="L12" i="1"/>
  <c r="D6" i="1"/>
  <c r="F6" i="1"/>
  <c r="I6" i="1"/>
  <c r="J6" i="1"/>
  <c r="K6" i="1"/>
  <c r="N6" i="1"/>
  <c r="L6" i="1"/>
  <c r="O7" i="1"/>
  <c r="H8" i="1"/>
  <c r="O8" i="1"/>
  <c r="H9" i="1"/>
  <c r="O9" i="1"/>
  <c r="H10" i="1"/>
  <c r="O10" i="1"/>
  <c r="O11" i="1"/>
  <c r="O12" i="1"/>
  <c r="N7" i="1"/>
  <c r="N11" i="1"/>
  <c r="N12" i="1"/>
  <c r="K7" i="1"/>
  <c r="K11" i="1"/>
  <c r="K12" i="1"/>
  <c r="J7" i="1"/>
  <c r="J11" i="1"/>
  <c r="J12" i="1"/>
  <c r="M7" i="1"/>
  <c r="M8" i="1"/>
  <c r="M9" i="1"/>
  <c r="M10" i="1"/>
  <c r="M11" i="1"/>
  <c r="M12" i="1"/>
  <c r="M6" i="1"/>
  <c r="I7" i="1"/>
  <c r="I11" i="1"/>
  <c r="I12" i="1"/>
  <c r="H7" i="1"/>
  <c r="H11" i="1"/>
  <c r="H12" i="1"/>
  <c r="H6" i="1"/>
  <c r="G7" i="1"/>
  <c r="G8" i="1"/>
  <c r="G9" i="1"/>
  <c r="G10" i="1"/>
  <c r="G11" i="1"/>
  <c r="G12" i="1"/>
  <c r="F7" i="1"/>
  <c r="F11" i="1"/>
  <c r="F12" i="1"/>
  <c r="E7" i="1"/>
  <c r="E8" i="1"/>
  <c r="E9" i="1"/>
  <c r="E10" i="1"/>
  <c r="E11" i="1"/>
  <c r="E12" i="1"/>
  <c r="D7" i="1"/>
  <c r="D11" i="1"/>
  <c r="D12" i="1"/>
  <c r="B12" i="1"/>
  <c r="B11" i="1"/>
  <c r="B10" i="1"/>
  <c r="B9" i="1"/>
  <c r="B8" i="1"/>
  <c r="B7" i="1"/>
  <c r="O6" i="1"/>
  <c r="G6" i="1"/>
  <c r="E6" i="1"/>
</calcChain>
</file>

<file path=xl/sharedStrings.xml><?xml version="1.0" encoding="utf-8"?>
<sst xmlns="http://schemas.openxmlformats.org/spreadsheetml/2006/main" count="40" uniqueCount="40">
  <si>
    <t>Salario de la persona</t>
  </si>
  <si>
    <t>Subsidio de transporte</t>
  </si>
  <si>
    <t>SMLMV</t>
  </si>
  <si>
    <t>Aportes a pension empleado</t>
  </si>
  <si>
    <t>Aportes a pension empresa</t>
  </si>
  <si>
    <t>Sueldo real</t>
  </si>
  <si>
    <t>Aportes a FSP</t>
  </si>
  <si>
    <t>UVT</t>
  </si>
  <si>
    <t>ILG</t>
  </si>
  <si>
    <t>Base gravable</t>
  </si>
  <si>
    <t>Retencion en la fuente</t>
  </si>
  <si>
    <t>Rango</t>
  </si>
  <si>
    <t>Base gravable en UVT</t>
  </si>
  <si>
    <t>Salario a entregar</t>
  </si>
  <si>
    <t xml:space="preserve">#empleados </t>
  </si>
  <si>
    <t>ap salud emp</t>
  </si>
  <si>
    <t>ap sal empre</t>
  </si>
  <si>
    <t>2 minimos</t>
  </si>
  <si>
    <t>2m - 1</t>
  </si>
  <si>
    <t>2m + 1</t>
  </si>
  <si>
    <t>4m</t>
  </si>
  <si>
    <t>4m - 1</t>
  </si>
  <si>
    <t>4m + 1</t>
  </si>
  <si>
    <t>16m</t>
  </si>
  <si>
    <t>16 - 1</t>
  </si>
  <si>
    <t>16 + 1</t>
  </si>
  <si>
    <t>17 - 1</t>
  </si>
  <si>
    <t>17 + 1</t>
  </si>
  <si>
    <t>18 + 1</t>
  </si>
  <si>
    <t>18 - 1</t>
  </si>
  <si>
    <t>19 + 1</t>
  </si>
  <si>
    <t>19 - 1</t>
  </si>
  <si>
    <t>20 + 1</t>
  </si>
  <si>
    <t>20 - 1</t>
  </si>
  <si>
    <t>BG &lt; 95</t>
  </si>
  <si>
    <t>BG &gt; 95</t>
  </si>
  <si>
    <t>BG = 95</t>
  </si>
  <si>
    <t>BG = 150</t>
  </si>
  <si>
    <t>BG = 360</t>
  </si>
  <si>
    <t>Los calculos dan cerca pero no exactos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</si>
</sst>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zoomScale="120" zoomScaleNormal="120" zoomScalePageLayoutView="120" workbookViewId="0">
      <selection activeCell="B45" sqref="B45"/>
    </sheetView>
  </sheetViews>
  <sheetFormatPr baseColWidth="10" defaultRowHeight="15" x14ac:dyDescent="0"/>
  <cols>
    <col min="2" max="2" width="19.6640625" bestFit="1" customWidth="1"/>
    <col min="3" max="3" width="11.6640625" bestFit="1" customWidth="1"/>
    <col min="4" max="5" width="12.1640625" bestFit="1" customWidth="1"/>
    <col min="6" max="6" width="24.5" bestFit="1" customWidth="1"/>
    <col min="7" max="7" width="23.5" bestFit="1" customWidth="1"/>
    <col min="9" max="9" width="12.33203125" bestFit="1" customWidth="1"/>
    <col min="11" max="11" width="12.5" bestFit="1" customWidth="1"/>
    <col min="12" max="12" width="19.6640625" bestFit="1" customWidth="1"/>
    <col min="14" max="14" width="19" customWidth="1"/>
    <col min="15" max="15" width="15.6640625" customWidth="1"/>
  </cols>
  <sheetData>
    <row r="1" spans="1:15">
      <c r="B1" t="s">
        <v>1</v>
      </c>
      <c r="C1" t="s">
        <v>2</v>
      </c>
      <c r="D1" t="s">
        <v>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1:15">
      <c r="B2">
        <v>74000</v>
      </c>
      <c r="C2">
        <v>644350</v>
      </c>
      <c r="D2">
        <v>28279</v>
      </c>
      <c r="E2">
        <v>0.01</v>
      </c>
      <c r="F2">
        <v>1.2E-2</v>
      </c>
      <c r="G2">
        <v>1.4E-2</v>
      </c>
      <c r="H2">
        <v>1.6E-2</v>
      </c>
      <c r="I2">
        <v>1.7999999999999999E-2</v>
      </c>
      <c r="J2">
        <v>0.02</v>
      </c>
    </row>
    <row r="3" spans="1:15">
      <c r="B3">
        <v>74000</v>
      </c>
      <c r="C3">
        <v>644350</v>
      </c>
      <c r="D3">
        <v>28279</v>
      </c>
      <c r="E3">
        <v>0.01</v>
      </c>
      <c r="F3">
        <v>1.2E-2</v>
      </c>
      <c r="G3">
        <v>1.4E-2</v>
      </c>
      <c r="H3">
        <v>1.6E-2</v>
      </c>
      <c r="I3">
        <v>1.7999999999999999E-2</v>
      </c>
      <c r="J3">
        <v>0.02</v>
      </c>
    </row>
    <row r="4" spans="1:15">
      <c r="B4">
        <v>74000</v>
      </c>
      <c r="C4">
        <v>644350</v>
      </c>
      <c r="D4">
        <v>28279</v>
      </c>
      <c r="E4">
        <v>0.01</v>
      </c>
      <c r="F4">
        <v>1.2E-2</v>
      </c>
      <c r="G4">
        <v>1.4E-2</v>
      </c>
      <c r="H4">
        <v>1.6E-2</v>
      </c>
      <c r="I4">
        <v>1.7999999999999999E-2</v>
      </c>
      <c r="J4">
        <v>0.02</v>
      </c>
    </row>
    <row r="5" spans="1:15">
      <c r="B5" t="s">
        <v>0</v>
      </c>
      <c r="C5" t="s">
        <v>14</v>
      </c>
      <c r="D5" t="s">
        <v>15</v>
      </c>
      <c r="E5" t="s">
        <v>16</v>
      </c>
      <c r="F5" t="s">
        <v>3</v>
      </c>
      <c r="G5" t="s">
        <v>4</v>
      </c>
      <c r="H5" t="s">
        <v>5</v>
      </c>
      <c r="I5" t="s">
        <v>6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</row>
    <row r="6" spans="1:15">
      <c r="B6" s="1">
        <v>3500000</v>
      </c>
      <c r="C6">
        <v>1</v>
      </c>
      <c r="D6">
        <f>0.04*B6 *C6</f>
        <v>140000</v>
      </c>
      <c r="E6">
        <f>0.045*B6*C6</f>
        <v>157500</v>
      </c>
      <c r="F6">
        <f>0.04*B6*C6</f>
        <v>140000</v>
      </c>
      <c r="G6">
        <f>0.08*B6*C6</f>
        <v>280000</v>
      </c>
      <c r="H6">
        <f>B6-D6/C6-F6/C6-I6/C6+IF(B6/$C$2 &lt;= 2, $B$2, 0)</f>
        <v>3185000</v>
      </c>
      <c r="I6">
        <f>B6*M6*C6</f>
        <v>35000</v>
      </c>
      <c r="J6" s="1">
        <f>B6-D6/C6-F6/C6-I6/C6</f>
        <v>3185000</v>
      </c>
      <c r="K6">
        <f>(J6-J6*0.25)*C6</f>
        <v>2388750</v>
      </c>
      <c r="L6">
        <f>C6 * IF(AND(N6 &gt; 0, N6 &lt;= 95),0,IF(AND(N6 &gt; 95, N6 &lt;= 150),((N6 - 95)*$D$2)*0.19,IF(AND(N6 &gt; 150, N6 &lt;= 360),((N6 - 150)*$D$2)*0.28 + 10*$D$2,((N6 - 360)*$D$2)*0.33 + 69*$D$2)))</f>
        <v>0</v>
      </c>
      <c r="M6">
        <f>IF(B6/$C$2&lt;4,0,IF(AND(B6/$C$2&gt;=4,B6/$C$2&lt;16),$E$2,IF(AND(B6/$C$2&gt;=16,B6/$C$2&lt;17),$F$2,IF(AND(B6/$C$2&gt;=17,B6/$C$2&lt;18),$G$2,IF(AND(B6/$C$2&gt;=18,B6/$C$2&lt;19),$H$2,IF(AND(B6/$C$2&gt;=19,B6/$C$2&lt;20),$I$2,$J$2))))))</f>
        <v>0.01</v>
      </c>
      <c r="N6">
        <f>(K6/C6)/$D$2</f>
        <v>84.470808727324169</v>
      </c>
      <c r="O6">
        <f>H6 * C6-(L6/C6)</f>
        <v>3185000</v>
      </c>
    </row>
    <row r="7" spans="1:15">
      <c r="B7">
        <f>5 * C4</f>
        <v>3221750</v>
      </c>
      <c r="C7">
        <v>1</v>
      </c>
      <c r="D7">
        <f t="shared" ref="D7:D12" si="0">0.04*B7 *C7</f>
        <v>128870</v>
      </c>
      <c r="E7">
        <f t="shared" ref="E7:E12" si="1">0.045*B7*C7</f>
        <v>144978.75</v>
      </c>
      <c r="F7">
        <f t="shared" ref="F7:F12" si="2">0.04*B7*C7</f>
        <v>128870</v>
      </c>
      <c r="G7">
        <f t="shared" ref="G7:G12" si="3">0.08*B7*C7</f>
        <v>257740</v>
      </c>
      <c r="H7">
        <f t="shared" ref="H7:H12" si="4">B7-D7/C7-F7/C7-I7/C7+IF(B7/$C$2 &lt;= 2, $B$2, 0)</f>
        <v>2931792.5</v>
      </c>
      <c r="I7">
        <f t="shared" ref="I7:I12" si="5">B7*M7*C7</f>
        <v>32217.5</v>
      </c>
      <c r="J7" s="1">
        <f t="shared" ref="J7:J12" si="6">B7-D7/C7-F7/C7-I7/C7</f>
        <v>2931792.5</v>
      </c>
      <c r="K7">
        <f t="shared" ref="K7:K12" si="7">(J7-J7*0.25)*C7</f>
        <v>2198844.375</v>
      </c>
      <c r="L7">
        <f t="shared" ref="L7:L12" si="8">C7 * IF(AND(N7 &gt; 0, N7 &lt;= 95),0,IF(AND(N7 &gt; 95, N7 &lt;= 150),((N7 - 95)*$D$2)*0.19,IF(AND(N7 &gt; 150, N7 &lt;= 360),((N7 - 150)*$D$2)*0.28 + 10*$D$2,((N7 - 360)*$D$2)*0.33 + 69*$D$2)))</f>
        <v>0</v>
      </c>
      <c r="M7">
        <f t="shared" ref="M7:M12" si="9">IF(B7/$C$2&lt;4,0,IF(AND(B7/$C$2&gt;=4,B7/$C$2&lt;16),$E$2,IF(AND(B7/$C$2&gt;=16,B7/$C$2&lt;17),$F$2,IF(AND(B7/$C$2&gt;=17,B7/$C$2&lt;18),$G$2,IF(AND(B7/$C$2&gt;=18,B7/$C$2&lt;19),$H$2,IF(AND(B7/$C$2&gt;=19,B7/$C$2&lt;20),$I$2,$J$2))))))</f>
        <v>0.01</v>
      </c>
      <c r="N7">
        <f t="shared" ref="N7:N12" si="10">(K7/C7)/$D$2</f>
        <v>77.755379433501886</v>
      </c>
      <c r="O7">
        <f t="shared" ref="O7:O12" si="11">H7 * C7-(L7/C7)</f>
        <v>2931792.5</v>
      </c>
    </row>
    <row r="8" spans="1:15">
      <c r="B8">
        <f>16.5*C4</f>
        <v>10631775</v>
      </c>
      <c r="C8">
        <v>1</v>
      </c>
      <c r="D8">
        <f t="shared" si="0"/>
        <v>425271</v>
      </c>
      <c r="E8">
        <f t="shared" si="1"/>
        <v>478429.875</v>
      </c>
      <c r="F8">
        <f t="shared" si="2"/>
        <v>425271</v>
      </c>
      <c r="G8">
        <f t="shared" si="3"/>
        <v>850542</v>
      </c>
      <c r="H8">
        <f t="shared" si="4"/>
        <v>9653651.6999999993</v>
      </c>
      <c r="I8">
        <f t="shared" si="5"/>
        <v>127581.3</v>
      </c>
      <c r="J8" s="1">
        <f t="shared" si="6"/>
        <v>9653651.6999999993</v>
      </c>
      <c r="K8">
        <f t="shared" si="7"/>
        <v>7240238.7749999994</v>
      </c>
      <c r="L8">
        <f t="shared" si="8"/>
        <v>1122338.8570000001</v>
      </c>
      <c r="M8">
        <f t="shared" si="9"/>
        <v>1.2E-2</v>
      </c>
      <c r="N8">
        <f t="shared" si="10"/>
        <v>256.02881201598359</v>
      </c>
      <c r="O8">
        <f t="shared" si="11"/>
        <v>8531312.8429999985</v>
      </c>
    </row>
    <row r="9" spans="1:15">
      <c r="B9">
        <f>17.5*C4</f>
        <v>11276125</v>
      </c>
      <c r="C9">
        <v>1</v>
      </c>
      <c r="D9">
        <f t="shared" si="0"/>
        <v>451045</v>
      </c>
      <c r="E9">
        <f t="shared" si="1"/>
        <v>507425.625</v>
      </c>
      <c r="F9">
        <f t="shared" si="2"/>
        <v>451045</v>
      </c>
      <c r="G9">
        <f t="shared" si="3"/>
        <v>902090</v>
      </c>
      <c r="H9">
        <f t="shared" si="4"/>
        <v>10216169.25</v>
      </c>
      <c r="I9">
        <f t="shared" si="5"/>
        <v>157865.75</v>
      </c>
      <c r="J9" s="1">
        <f t="shared" si="6"/>
        <v>10216169.25</v>
      </c>
      <c r="K9">
        <f t="shared" si="7"/>
        <v>7662126.9375</v>
      </c>
      <c r="L9">
        <f t="shared" si="8"/>
        <v>1240467.5425</v>
      </c>
      <c r="M9">
        <f t="shared" si="9"/>
        <v>1.4E-2</v>
      </c>
      <c r="N9">
        <f t="shared" si="10"/>
        <v>270.94759141058734</v>
      </c>
      <c r="O9">
        <f t="shared" si="11"/>
        <v>8975701.7074999996</v>
      </c>
    </row>
    <row r="10" spans="1:15">
      <c r="B10">
        <f>18.5*C4</f>
        <v>11920475</v>
      </c>
      <c r="C10">
        <v>1</v>
      </c>
      <c r="D10">
        <f t="shared" si="0"/>
        <v>476819</v>
      </c>
      <c r="E10">
        <f t="shared" si="1"/>
        <v>536421.375</v>
      </c>
      <c r="F10">
        <f t="shared" si="2"/>
        <v>476819</v>
      </c>
      <c r="G10">
        <f t="shared" si="3"/>
        <v>953638</v>
      </c>
      <c r="H10">
        <f t="shared" si="4"/>
        <v>10776109.4</v>
      </c>
      <c r="I10">
        <f t="shared" si="5"/>
        <v>190727.6</v>
      </c>
      <c r="J10" s="1">
        <f t="shared" si="6"/>
        <v>10776109.4</v>
      </c>
      <c r="K10">
        <f t="shared" si="7"/>
        <v>8082082.0500000007</v>
      </c>
      <c r="L10">
        <f t="shared" si="8"/>
        <v>1358054.9740000006</v>
      </c>
      <c r="M10">
        <f t="shared" si="9"/>
        <v>1.6E-2</v>
      </c>
      <c r="N10">
        <f t="shared" si="10"/>
        <v>285.79801442766723</v>
      </c>
      <c r="O10">
        <f t="shared" si="11"/>
        <v>9418054.425999999</v>
      </c>
    </row>
    <row r="11" spans="1:15">
      <c r="B11">
        <f>19.5*C4</f>
        <v>12564825</v>
      </c>
      <c r="C11">
        <v>1</v>
      </c>
      <c r="D11">
        <f t="shared" si="0"/>
        <v>502593</v>
      </c>
      <c r="E11">
        <f t="shared" si="1"/>
        <v>565417.125</v>
      </c>
      <c r="F11">
        <f t="shared" si="2"/>
        <v>502593</v>
      </c>
      <c r="G11">
        <f t="shared" si="3"/>
        <v>1005186</v>
      </c>
      <c r="H11">
        <f t="shared" si="4"/>
        <v>11333472.15</v>
      </c>
      <c r="I11">
        <f t="shared" si="5"/>
        <v>226166.84999999998</v>
      </c>
      <c r="J11" s="1">
        <f t="shared" si="6"/>
        <v>11333472.15</v>
      </c>
      <c r="K11">
        <f t="shared" si="7"/>
        <v>8500104.1125000007</v>
      </c>
      <c r="L11">
        <f t="shared" si="8"/>
        <v>1475101.1515000002</v>
      </c>
      <c r="M11">
        <f t="shared" si="9"/>
        <v>1.7999999999999999E-2</v>
      </c>
      <c r="N11">
        <f t="shared" si="10"/>
        <v>300.58008106722303</v>
      </c>
      <c r="O11">
        <f t="shared" si="11"/>
        <v>9858370.9985000007</v>
      </c>
    </row>
    <row r="12" spans="1:15">
      <c r="B12">
        <f>21*C4</f>
        <v>13531350</v>
      </c>
      <c r="C12">
        <v>1</v>
      </c>
      <c r="D12">
        <f t="shared" si="0"/>
        <v>541254</v>
      </c>
      <c r="E12">
        <f t="shared" si="1"/>
        <v>608910.75</v>
      </c>
      <c r="F12">
        <f t="shared" si="2"/>
        <v>541254</v>
      </c>
      <c r="G12">
        <f t="shared" si="3"/>
        <v>1082508</v>
      </c>
      <c r="H12">
        <f t="shared" si="4"/>
        <v>12178215</v>
      </c>
      <c r="I12">
        <f t="shared" si="5"/>
        <v>270627</v>
      </c>
      <c r="J12" s="1">
        <f t="shared" si="6"/>
        <v>12178215</v>
      </c>
      <c r="K12">
        <f t="shared" si="7"/>
        <v>9133661.25</v>
      </c>
      <c r="L12">
        <f t="shared" si="8"/>
        <v>1652497.15</v>
      </c>
      <c r="M12">
        <f t="shared" si="9"/>
        <v>0.02</v>
      </c>
      <c r="N12">
        <f t="shared" si="10"/>
        <v>322.98388380070014</v>
      </c>
      <c r="O12">
        <f t="shared" si="11"/>
        <v>10525717.85</v>
      </c>
    </row>
    <row r="13" spans="1:15">
      <c r="B13">
        <v>20000000</v>
      </c>
      <c r="C13">
        <v>1</v>
      </c>
      <c r="D13">
        <f t="shared" ref="D13" si="12">0.04*B13 *C13</f>
        <v>800000</v>
      </c>
      <c r="E13">
        <f t="shared" ref="E13" si="13">0.045*B13*C13</f>
        <v>900000</v>
      </c>
      <c r="F13">
        <f t="shared" ref="F13" si="14">0.04*B13*C13</f>
        <v>800000</v>
      </c>
      <c r="G13">
        <f t="shared" ref="G13" si="15">0.08*B13*C13</f>
        <v>1600000</v>
      </c>
      <c r="H13">
        <f t="shared" ref="H13" si="16">B13-D13/C13-F13/C13-I13/C13+IF(B13/$C$2 &lt;= 2, $B$2, 0)</f>
        <v>18000000</v>
      </c>
      <c r="I13">
        <f t="shared" ref="I13" si="17">B13*M13*C13</f>
        <v>400000</v>
      </c>
      <c r="J13" s="1">
        <f t="shared" ref="J13" si="18">B13-D13/C13-F13/C13-I13/C13</f>
        <v>18000000</v>
      </c>
      <c r="K13">
        <f t="shared" ref="K13" si="19">(J13-J13*0.25)*C13</f>
        <v>13500000</v>
      </c>
      <c r="L13">
        <f t="shared" ref="L13" si="20">C13 * IF(AND(N13 &gt; 0, N13 &lt;= 95),0,IF(AND(N13 &gt; 95, N13 &lt;= 150),((N13 - 95)*$D$2)*0.19,IF(AND(N13 &gt; 150, N13 &lt;= 360),((N13 - 150)*$D$2)*0.28 + 10*$D$2,((N13 - 360)*$D$2)*0.33 + 69*$D$2)))</f>
        <v>3046705.8</v>
      </c>
      <c r="M13">
        <f t="shared" ref="M13" si="21">IF(B13/$C$2&lt;4,0,IF(AND(B13/$C$2&gt;=4,B13/$C$2&lt;16),$E$2,IF(AND(B13/$C$2&gt;=16,B13/$C$2&lt;17),$F$2,IF(AND(B13/$C$2&gt;=17,B13/$C$2&lt;18),$G$2,IF(AND(B13/$C$2&gt;=18,B13/$C$2&lt;19),$H$2,IF(AND(B13/$C$2&gt;=19,B13/$C$2&lt;20),$I$2,$J$2))))))</f>
        <v>0.02</v>
      </c>
      <c r="N13">
        <f t="shared" ref="N13" si="22">(K13/C13)/$D$2</f>
        <v>477.38604618267971</v>
      </c>
      <c r="O13">
        <f t="shared" ref="O13" si="23">H13 * C13-(L13/C13)</f>
        <v>14953294.199999999</v>
      </c>
    </row>
    <row r="14" spans="1:15">
      <c r="B14">
        <f>2.5*C4</f>
        <v>1610875</v>
      </c>
      <c r="C14">
        <v>1</v>
      </c>
      <c r="D14">
        <f t="shared" ref="D14" si="24">0.04*B14 *C14</f>
        <v>64435</v>
      </c>
      <c r="E14">
        <f t="shared" ref="E14" si="25">0.045*B14*C14</f>
        <v>72489.375</v>
      </c>
      <c r="F14">
        <f t="shared" ref="F14" si="26">0.04*B14*C14</f>
        <v>64435</v>
      </c>
      <c r="G14">
        <f t="shared" ref="G14" si="27">0.08*B14*C14</f>
        <v>128870</v>
      </c>
      <c r="H14">
        <f t="shared" ref="H14" si="28">B14-D14/C14-F14/C14-I14/C14+IF(B14/$C$2 &lt;= 2, $B$2, 0)</f>
        <v>1482005</v>
      </c>
      <c r="I14">
        <f t="shared" ref="I14" si="29">B14*M14*C14</f>
        <v>0</v>
      </c>
      <c r="J14" s="1">
        <f t="shared" ref="J14" si="30">B14-D14/C14-F14/C14-I14/C14</f>
        <v>1482005</v>
      </c>
      <c r="K14">
        <f t="shared" ref="K14" si="31">(J14-J14*0.25)*C14</f>
        <v>1111503.75</v>
      </c>
      <c r="L14">
        <f t="shared" ref="L14" si="32">C14 * IF(AND(N14 &gt; 0, N14 &lt;= 95),0,IF(AND(N14 &gt; 95, N14 &lt;= 150),((N14 - 95)*$D$2)*0.19,IF(AND(N14 &gt; 150, N14 &lt;= 360),((N14 - 150)*$D$2)*0.28 + 10*$D$2,((N14 - 360)*$D$2)*0.33 + 69*$D$2)))</f>
        <v>0</v>
      </c>
      <c r="M14">
        <f t="shared" ref="M14" si="33">IF(B14/$C$2&lt;4,0,IF(AND(B14/$C$2&gt;=4,B14/$C$2&lt;16),$E$2,IF(AND(B14/$C$2&gt;=16,B14/$C$2&lt;17),$F$2,IF(AND(B14/$C$2&gt;=17,B14/$C$2&lt;18),$G$2,IF(AND(B14/$C$2&gt;=18,B14/$C$2&lt;19),$H$2,IF(AND(B14/$C$2&gt;=19,B14/$C$2&lt;20),$I$2,$J$2))))))</f>
        <v>0</v>
      </c>
      <c r="N14">
        <f t="shared" ref="N14" si="34">(K14/C14)/$D$2</f>
        <v>39.304917076275679</v>
      </c>
      <c r="O14">
        <f t="shared" ref="O14" si="35">H14 * C14-(L14/C14)</f>
        <v>1482005</v>
      </c>
    </row>
    <row r="15" spans="1:15">
      <c r="A15" t="s">
        <v>17</v>
      </c>
      <c r="B15">
        <f>2*C4</f>
        <v>1288700</v>
      </c>
      <c r="C15">
        <v>1</v>
      </c>
      <c r="D15">
        <f t="shared" ref="D15:D35" si="36">0.04*B15 *C15</f>
        <v>51548</v>
      </c>
      <c r="E15">
        <f t="shared" ref="E15:E35" si="37">0.045*B15*C15</f>
        <v>57991.5</v>
      </c>
      <c r="F15">
        <f t="shared" ref="F15:F35" si="38">0.04*B15*C15</f>
        <v>51548</v>
      </c>
      <c r="G15">
        <f t="shared" ref="G15:G35" si="39">0.08*B15*C15</f>
        <v>103096</v>
      </c>
      <c r="H15">
        <f t="shared" ref="H15:H35" si="40">B15-D15/C15-F15/C15-I15/C15+IF(B15/$C$2 &lt;= 2, $B$2, 0)</f>
        <v>1259604</v>
      </c>
      <c r="I15">
        <f t="shared" ref="I15:I35" si="41">B15*M15*C15</f>
        <v>0</v>
      </c>
      <c r="J15" s="1">
        <f t="shared" ref="J15:J35" si="42">B15-D15/C15-F15/C15-I15/C15</f>
        <v>1185604</v>
      </c>
      <c r="K15">
        <f t="shared" ref="K15:K35" si="43">(J15-J15*0.25)*C15</f>
        <v>889203</v>
      </c>
      <c r="L15">
        <f t="shared" ref="L15:L35" si="44">C15 * IF(AND(N15 &gt; 0, N15 &lt;= 95),0,IF(AND(N15 &gt; 95, N15 &lt;= 150),((N15 - 95)*$D$2)*0.19,IF(AND(N15 &gt; 150, N15 &lt;= 360),((N15 - 150)*$D$2)*0.28 + 10*$D$2,((N15 - 360)*$D$2)*0.33 + 69*$D$2)))</f>
        <v>0</v>
      </c>
      <c r="M15">
        <f t="shared" ref="M15:M35" si="45">IF(B15/$C$2&lt;4,0,IF(AND(B15/$C$2&gt;=4,B15/$C$2&lt;16),$E$2,IF(AND(B15/$C$2&gt;=16,B15/$C$2&lt;17),$F$2,IF(AND(B15/$C$2&gt;=17,B15/$C$2&lt;18),$G$2,IF(AND(B15/$C$2&gt;=18,B15/$C$2&lt;19),$H$2,IF(AND(B15/$C$2&gt;=19,B15/$C$2&lt;20),$I$2,$J$2))))))</f>
        <v>0</v>
      </c>
      <c r="N15">
        <f t="shared" ref="N15:N35" si="46">(K15/C15)/$D$2</f>
        <v>31.443933661020544</v>
      </c>
      <c r="O15">
        <f t="shared" ref="O15:O35" si="47">H15 * C15-(L15/C15)</f>
        <v>1259604</v>
      </c>
    </row>
    <row r="16" spans="1:15">
      <c r="A16" t="s">
        <v>18</v>
      </c>
      <c r="B16">
        <f>2*C4 - 1</f>
        <v>1288699</v>
      </c>
      <c r="C16">
        <v>1</v>
      </c>
      <c r="D16">
        <f t="shared" si="36"/>
        <v>51547.96</v>
      </c>
      <c r="E16">
        <f t="shared" si="37"/>
        <v>57991.454999999994</v>
      </c>
      <c r="F16">
        <f t="shared" si="38"/>
        <v>51547.96</v>
      </c>
      <c r="G16">
        <f t="shared" si="39"/>
        <v>103095.92</v>
      </c>
      <c r="H16">
        <f t="shared" si="40"/>
        <v>1259603.08</v>
      </c>
      <c r="I16">
        <f t="shared" si="41"/>
        <v>0</v>
      </c>
      <c r="J16" s="1">
        <f t="shared" si="42"/>
        <v>1185603.08</v>
      </c>
      <c r="K16">
        <f t="shared" si="43"/>
        <v>889202.31</v>
      </c>
      <c r="L16">
        <f t="shared" si="44"/>
        <v>0</v>
      </c>
      <c r="M16">
        <f t="shared" si="45"/>
        <v>0</v>
      </c>
      <c r="N16">
        <f t="shared" si="46"/>
        <v>31.443909261289299</v>
      </c>
      <c r="O16">
        <f t="shared" si="47"/>
        <v>1259603.08</v>
      </c>
    </row>
    <row r="17" spans="1:15">
      <c r="A17" t="s">
        <v>19</v>
      </c>
      <c r="B17">
        <f>2*C4 + 1</f>
        <v>1288701</v>
      </c>
      <c r="C17">
        <v>1</v>
      </c>
      <c r="D17">
        <f t="shared" si="36"/>
        <v>51548.04</v>
      </c>
      <c r="E17">
        <f t="shared" si="37"/>
        <v>57991.544999999998</v>
      </c>
      <c r="F17">
        <f t="shared" si="38"/>
        <v>51548.04</v>
      </c>
      <c r="G17">
        <f t="shared" si="39"/>
        <v>103096.08</v>
      </c>
      <c r="H17">
        <f t="shared" si="40"/>
        <v>1185604.92</v>
      </c>
      <c r="I17">
        <f t="shared" si="41"/>
        <v>0</v>
      </c>
      <c r="J17" s="1">
        <f t="shared" si="42"/>
        <v>1185604.92</v>
      </c>
      <c r="K17">
        <f t="shared" si="43"/>
        <v>889203.69</v>
      </c>
      <c r="L17">
        <f t="shared" si="44"/>
        <v>0</v>
      </c>
      <c r="M17">
        <f t="shared" si="45"/>
        <v>0</v>
      </c>
      <c r="N17">
        <f t="shared" si="46"/>
        <v>31.443958060751793</v>
      </c>
      <c r="O17">
        <f t="shared" si="47"/>
        <v>1185604.92</v>
      </c>
    </row>
    <row r="18" spans="1:15">
      <c r="A18" t="s">
        <v>20</v>
      </c>
      <c r="B18">
        <f>4*C4</f>
        <v>2577400</v>
      </c>
      <c r="C18">
        <v>1</v>
      </c>
      <c r="D18">
        <f t="shared" si="36"/>
        <v>103096</v>
      </c>
      <c r="E18">
        <f t="shared" si="37"/>
        <v>115983</v>
      </c>
      <c r="F18">
        <f t="shared" si="38"/>
        <v>103096</v>
      </c>
      <c r="G18">
        <f t="shared" si="39"/>
        <v>206192</v>
      </c>
      <c r="H18">
        <f t="shared" si="40"/>
        <v>2345434</v>
      </c>
      <c r="I18">
        <f t="shared" si="41"/>
        <v>25774</v>
      </c>
      <c r="J18" s="1">
        <f t="shared" si="42"/>
        <v>2345434</v>
      </c>
      <c r="K18">
        <f t="shared" si="43"/>
        <v>1759075.5</v>
      </c>
      <c r="L18">
        <f t="shared" si="44"/>
        <v>0</v>
      </c>
      <c r="M18">
        <f t="shared" si="45"/>
        <v>0.01</v>
      </c>
      <c r="N18">
        <f t="shared" si="46"/>
        <v>62.204303546801512</v>
      </c>
      <c r="O18">
        <f t="shared" si="47"/>
        <v>2345434</v>
      </c>
    </row>
    <row r="19" spans="1:15">
      <c r="A19" t="s">
        <v>21</v>
      </c>
      <c r="B19">
        <f>B18 - 1</f>
        <v>2577399</v>
      </c>
      <c r="C19">
        <v>1</v>
      </c>
      <c r="D19">
        <f t="shared" si="36"/>
        <v>103095.96</v>
      </c>
      <c r="E19">
        <f t="shared" si="37"/>
        <v>115982.955</v>
      </c>
      <c r="F19">
        <f t="shared" si="38"/>
        <v>103095.96</v>
      </c>
      <c r="G19">
        <f t="shared" si="39"/>
        <v>206191.92</v>
      </c>
      <c r="H19">
        <f t="shared" si="40"/>
        <v>2371207.08</v>
      </c>
      <c r="I19">
        <f t="shared" si="41"/>
        <v>0</v>
      </c>
      <c r="J19" s="1">
        <f t="shared" si="42"/>
        <v>2371207.08</v>
      </c>
      <c r="K19">
        <f t="shared" si="43"/>
        <v>1778405.31</v>
      </c>
      <c r="L19">
        <f t="shared" si="44"/>
        <v>0</v>
      </c>
      <c r="M19">
        <f t="shared" si="45"/>
        <v>0</v>
      </c>
      <c r="N19">
        <f t="shared" si="46"/>
        <v>62.887842922309844</v>
      </c>
      <c r="O19">
        <f t="shared" si="47"/>
        <v>2371207.08</v>
      </c>
    </row>
    <row r="20" spans="1:15">
      <c r="A20" t="s">
        <v>22</v>
      </c>
      <c r="B20">
        <f>B18 + 1</f>
        <v>2577401</v>
      </c>
      <c r="C20">
        <v>1</v>
      </c>
      <c r="D20">
        <f t="shared" si="36"/>
        <v>103096.04000000001</v>
      </c>
      <c r="E20">
        <f t="shared" si="37"/>
        <v>115983.045</v>
      </c>
      <c r="F20">
        <f t="shared" si="38"/>
        <v>103096.04000000001</v>
      </c>
      <c r="G20">
        <f t="shared" si="39"/>
        <v>206192.08000000002</v>
      </c>
      <c r="H20">
        <f t="shared" si="40"/>
        <v>2345434.91</v>
      </c>
      <c r="I20">
        <f t="shared" si="41"/>
        <v>25774.010000000002</v>
      </c>
      <c r="J20" s="1">
        <f t="shared" si="42"/>
        <v>2345434.91</v>
      </c>
      <c r="K20">
        <f t="shared" si="43"/>
        <v>1759076.1825000001</v>
      </c>
      <c r="L20">
        <f t="shared" si="44"/>
        <v>0</v>
      </c>
      <c r="M20">
        <f t="shared" si="45"/>
        <v>0.01</v>
      </c>
      <c r="N20">
        <f t="shared" si="46"/>
        <v>62.204327681318297</v>
      </c>
      <c r="O20">
        <f t="shared" si="47"/>
        <v>2345434.91</v>
      </c>
    </row>
    <row r="21" spans="1:15">
      <c r="A21" t="s">
        <v>23</v>
      </c>
      <c r="B21">
        <f>16*C4</f>
        <v>10309600</v>
      </c>
      <c r="C21">
        <v>1</v>
      </c>
      <c r="D21">
        <f t="shared" si="36"/>
        <v>412384</v>
      </c>
      <c r="E21">
        <f t="shared" si="37"/>
        <v>463932</v>
      </c>
      <c r="F21">
        <f t="shared" si="38"/>
        <v>412384</v>
      </c>
      <c r="G21">
        <f t="shared" si="39"/>
        <v>824768</v>
      </c>
      <c r="H21">
        <f t="shared" si="40"/>
        <v>9361116.8000000007</v>
      </c>
      <c r="I21">
        <f t="shared" si="41"/>
        <v>123715.2</v>
      </c>
      <c r="J21" s="1">
        <f t="shared" si="42"/>
        <v>9361116.8000000007</v>
      </c>
      <c r="K21">
        <f t="shared" si="43"/>
        <v>7020837.6000000006</v>
      </c>
      <c r="L21">
        <f t="shared" si="44"/>
        <v>1060906.5280000004</v>
      </c>
      <c r="M21">
        <f t="shared" si="45"/>
        <v>1.2E-2</v>
      </c>
      <c r="N21">
        <f t="shared" si="46"/>
        <v>248.27036316701441</v>
      </c>
      <c r="O21">
        <f t="shared" si="47"/>
        <v>8300210.2719999999</v>
      </c>
    </row>
    <row r="22" spans="1:15">
      <c r="A22" t="s">
        <v>24</v>
      </c>
      <c r="B22">
        <f>B21 - 1</f>
        <v>10309599</v>
      </c>
      <c r="C22">
        <v>1</v>
      </c>
      <c r="D22">
        <f t="shared" si="36"/>
        <v>412383.96</v>
      </c>
      <c r="E22">
        <f t="shared" si="37"/>
        <v>463931.95499999996</v>
      </c>
      <c r="F22">
        <f t="shared" si="38"/>
        <v>412383.96</v>
      </c>
      <c r="G22">
        <f t="shared" si="39"/>
        <v>824767.92</v>
      </c>
      <c r="H22">
        <f t="shared" si="40"/>
        <v>9381735.089999998</v>
      </c>
      <c r="I22">
        <f t="shared" si="41"/>
        <v>103095.99</v>
      </c>
      <c r="J22" s="1">
        <f t="shared" si="42"/>
        <v>9381735.089999998</v>
      </c>
      <c r="K22">
        <f t="shared" si="43"/>
        <v>7036301.317499999</v>
      </c>
      <c r="L22">
        <f t="shared" si="44"/>
        <v>1065236.3688999997</v>
      </c>
      <c r="M22">
        <f t="shared" si="45"/>
        <v>0.01</v>
      </c>
      <c r="N22">
        <f t="shared" si="46"/>
        <v>248.81719005268923</v>
      </c>
      <c r="O22">
        <f t="shared" si="47"/>
        <v>8316498.7210999988</v>
      </c>
    </row>
    <row r="23" spans="1:15">
      <c r="A23" t="s">
        <v>25</v>
      </c>
      <c r="B23">
        <f>B21+ 1</f>
        <v>10309601</v>
      </c>
      <c r="C23">
        <v>1</v>
      </c>
      <c r="D23">
        <f t="shared" si="36"/>
        <v>412384.04000000004</v>
      </c>
      <c r="E23">
        <f t="shared" si="37"/>
        <v>463932.04499999998</v>
      </c>
      <c r="F23">
        <f t="shared" si="38"/>
        <v>412384.04000000004</v>
      </c>
      <c r="G23">
        <f t="shared" si="39"/>
        <v>824768.08000000007</v>
      </c>
      <c r="H23">
        <f t="shared" si="40"/>
        <v>9361117.7080000024</v>
      </c>
      <c r="I23">
        <f t="shared" si="41"/>
        <v>123715.212</v>
      </c>
      <c r="J23" s="1">
        <f t="shared" si="42"/>
        <v>9361117.7080000024</v>
      </c>
      <c r="K23">
        <f t="shared" si="43"/>
        <v>7020838.2810000014</v>
      </c>
      <c r="L23">
        <f t="shared" si="44"/>
        <v>1060906.7186800004</v>
      </c>
      <c r="M23">
        <f t="shared" si="45"/>
        <v>1.2E-2</v>
      </c>
      <c r="N23">
        <f t="shared" si="46"/>
        <v>248.27038724848833</v>
      </c>
      <c r="O23">
        <f t="shared" si="47"/>
        <v>8300210.9893200025</v>
      </c>
    </row>
    <row r="24" spans="1:15">
      <c r="A24">
        <v>17</v>
      </c>
      <c r="B24">
        <f>17*C4</f>
        <v>10953950</v>
      </c>
      <c r="C24">
        <v>1</v>
      </c>
      <c r="D24">
        <f t="shared" si="36"/>
        <v>438158</v>
      </c>
      <c r="E24">
        <f t="shared" si="37"/>
        <v>492927.75</v>
      </c>
      <c r="F24">
        <f t="shared" si="38"/>
        <v>438158</v>
      </c>
      <c r="G24">
        <f t="shared" si="39"/>
        <v>876316</v>
      </c>
      <c r="H24">
        <f t="shared" si="40"/>
        <v>9924278.6999999993</v>
      </c>
      <c r="I24">
        <f t="shared" si="41"/>
        <v>153355.30000000002</v>
      </c>
      <c r="J24" s="1">
        <f t="shared" si="42"/>
        <v>9924278.6999999993</v>
      </c>
      <c r="K24">
        <f t="shared" si="43"/>
        <v>7443209.0249999994</v>
      </c>
      <c r="L24">
        <f t="shared" si="44"/>
        <v>1179170.527</v>
      </c>
      <c r="M24">
        <f t="shared" si="45"/>
        <v>1.4E-2</v>
      </c>
      <c r="N24">
        <f t="shared" si="46"/>
        <v>263.20623165599915</v>
      </c>
      <c r="O24">
        <f t="shared" si="47"/>
        <v>8745108.1729999986</v>
      </c>
    </row>
    <row r="25" spans="1:15">
      <c r="A25" t="s">
        <v>26</v>
      </c>
      <c r="B25">
        <f>B24-1</f>
        <v>10953949</v>
      </c>
      <c r="C25">
        <v>1</v>
      </c>
      <c r="D25">
        <f t="shared" si="36"/>
        <v>438157.96</v>
      </c>
      <c r="E25">
        <f t="shared" si="37"/>
        <v>492927.70499999996</v>
      </c>
      <c r="F25">
        <f t="shared" si="38"/>
        <v>438157.96</v>
      </c>
      <c r="G25">
        <f t="shared" si="39"/>
        <v>876315.92</v>
      </c>
      <c r="H25">
        <f t="shared" si="40"/>
        <v>9946185.6919999979</v>
      </c>
      <c r="I25">
        <f t="shared" si="41"/>
        <v>131447.38800000001</v>
      </c>
      <c r="J25" s="1">
        <f t="shared" si="42"/>
        <v>9946185.6919999979</v>
      </c>
      <c r="K25">
        <f t="shared" si="43"/>
        <v>7459639.2689999985</v>
      </c>
      <c r="L25">
        <f t="shared" si="44"/>
        <v>1183770.9953199998</v>
      </c>
      <c r="M25">
        <f t="shared" si="45"/>
        <v>1.2E-2</v>
      </c>
      <c r="N25">
        <f t="shared" si="46"/>
        <v>263.78723678347887</v>
      </c>
      <c r="O25">
        <f t="shared" si="47"/>
        <v>8762414.6966799982</v>
      </c>
    </row>
    <row r="26" spans="1:15">
      <c r="A26" t="s">
        <v>27</v>
      </c>
      <c r="B26">
        <f>B24+1</f>
        <v>10953951</v>
      </c>
      <c r="C26">
        <v>1</v>
      </c>
      <c r="D26">
        <f t="shared" si="36"/>
        <v>438158.04000000004</v>
      </c>
      <c r="E26">
        <f t="shared" si="37"/>
        <v>492927.79499999998</v>
      </c>
      <c r="F26">
        <f t="shared" si="38"/>
        <v>438158.04000000004</v>
      </c>
      <c r="G26">
        <f t="shared" si="39"/>
        <v>876316.08000000007</v>
      </c>
      <c r="H26">
        <f t="shared" si="40"/>
        <v>9924279.6060000025</v>
      </c>
      <c r="I26">
        <f t="shared" si="41"/>
        <v>153355.31400000001</v>
      </c>
      <c r="J26" s="1">
        <f t="shared" si="42"/>
        <v>9924279.6060000025</v>
      </c>
      <c r="K26">
        <f t="shared" si="43"/>
        <v>7443209.7045000019</v>
      </c>
      <c r="L26">
        <f t="shared" si="44"/>
        <v>1179170.7172600008</v>
      </c>
      <c r="M26">
        <f t="shared" si="45"/>
        <v>1.4E-2</v>
      </c>
      <c r="N26">
        <f t="shared" si="46"/>
        <v>263.20625568443023</v>
      </c>
      <c r="O26">
        <f t="shared" si="47"/>
        <v>8745108.8887400012</v>
      </c>
    </row>
    <row r="27" spans="1:15">
      <c r="A27">
        <v>18</v>
      </c>
      <c r="B27">
        <f xml:space="preserve"> 18*C4</f>
        <v>11598300</v>
      </c>
      <c r="C27">
        <v>1</v>
      </c>
      <c r="D27">
        <f t="shared" si="36"/>
        <v>463932</v>
      </c>
      <c r="E27">
        <f t="shared" si="37"/>
        <v>521923.5</v>
      </c>
      <c r="F27">
        <f t="shared" si="38"/>
        <v>463932</v>
      </c>
      <c r="G27">
        <f t="shared" si="39"/>
        <v>927864</v>
      </c>
      <c r="H27">
        <f t="shared" si="40"/>
        <v>10484863.199999999</v>
      </c>
      <c r="I27">
        <f t="shared" si="41"/>
        <v>185572.80000000002</v>
      </c>
      <c r="J27" s="1">
        <f t="shared" si="42"/>
        <v>10484863.199999999</v>
      </c>
      <c r="K27">
        <f t="shared" si="43"/>
        <v>7863647.3999999994</v>
      </c>
      <c r="L27">
        <f t="shared" si="44"/>
        <v>1296893.2719999999</v>
      </c>
      <c r="M27">
        <f t="shared" si="45"/>
        <v>1.6E-2</v>
      </c>
      <c r="N27">
        <f t="shared" si="46"/>
        <v>278.07374376745992</v>
      </c>
      <c r="O27">
        <f t="shared" si="47"/>
        <v>9187969.9279999994</v>
      </c>
    </row>
    <row r="28" spans="1:15">
      <c r="A28" t="s">
        <v>28</v>
      </c>
      <c r="B28">
        <f>B27+1</f>
        <v>11598301</v>
      </c>
      <c r="C28">
        <v>1</v>
      </c>
      <c r="D28">
        <f t="shared" si="36"/>
        <v>463932.04000000004</v>
      </c>
      <c r="E28">
        <f t="shared" si="37"/>
        <v>521923.54499999998</v>
      </c>
      <c r="F28">
        <f t="shared" si="38"/>
        <v>463932.04000000004</v>
      </c>
      <c r="G28">
        <f t="shared" si="39"/>
        <v>927864.08000000007</v>
      </c>
      <c r="H28">
        <f t="shared" si="40"/>
        <v>10484864.104000002</v>
      </c>
      <c r="I28">
        <f t="shared" si="41"/>
        <v>185572.81599999999</v>
      </c>
      <c r="J28" s="1">
        <f t="shared" si="42"/>
        <v>10484864.104000002</v>
      </c>
      <c r="K28">
        <f t="shared" si="43"/>
        <v>7863648.0780000016</v>
      </c>
      <c r="L28">
        <f t="shared" si="44"/>
        <v>1296893.4618400009</v>
      </c>
      <c r="M28">
        <f t="shared" si="45"/>
        <v>1.6E-2</v>
      </c>
      <c r="N28">
        <f t="shared" si="46"/>
        <v>278.07376774284813</v>
      </c>
      <c r="O28">
        <f t="shared" si="47"/>
        <v>9187970.6421600021</v>
      </c>
    </row>
    <row r="29" spans="1:15">
      <c r="A29" t="s">
        <v>29</v>
      </c>
      <c r="B29">
        <f>B27-1</f>
        <v>11598299</v>
      </c>
      <c r="C29">
        <v>1</v>
      </c>
      <c r="D29">
        <f t="shared" si="36"/>
        <v>463931.96</v>
      </c>
      <c r="E29">
        <f t="shared" si="37"/>
        <v>521923.45499999996</v>
      </c>
      <c r="F29">
        <f t="shared" si="38"/>
        <v>463931.96</v>
      </c>
      <c r="G29">
        <f t="shared" si="39"/>
        <v>927863.92</v>
      </c>
      <c r="H29">
        <f t="shared" si="40"/>
        <v>10508058.893999998</v>
      </c>
      <c r="I29">
        <f t="shared" si="41"/>
        <v>162376.18600000002</v>
      </c>
      <c r="J29" s="1">
        <f t="shared" si="42"/>
        <v>10508058.893999998</v>
      </c>
      <c r="K29">
        <f t="shared" si="43"/>
        <v>7881044.1704999981</v>
      </c>
      <c r="L29">
        <f t="shared" si="44"/>
        <v>1301764.3677399994</v>
      </c>
      <c r="M29">
        <f t="shared" si="45"/>
        <v>1.4E-2</v>
      </c>
      <c r="N29">
        <f t="shared" si="46"/>
        <v>278.6889271367445</v>
      </c>
      <c r="O29">
        <f t="shared" si="47"/>
        <v>9206294.5262599979</v>
      </c>
    </row>
    <row r="30" spans="1:15">
      <c r="A30">
        <v>19</v>
      </c>
      <c r="B30">
        <f>19*C4</f>
        <v>12242650</v>
      </c>
      <c r="C30">
        <v>1</v>
      </c>
      <c r="D30">
        <f t="shared" si="36"/>
        <v>489706</v>
      </c>
      <c r="E30">
        <f t="shared" si="37"/>
        <v>550919.25</v>
      </c>
      <c r="F30">
        <f t="shared" si="38"/>
        <v>489706</v>
      </c>
      <c r="G30">
        <f t="shared" si="39"/>
        <v>979412</v>
      </c>
      <c r="H30">
        <f t="shared" si="40"/>
        <v>11042870.300000001</v>
      </c>
      <c r="I30">
        <f t="shared" si="41"/>
        <v>220367.69999999998</v>
      </c>
      <c r="J30" s="1">
        <f t="shared" si="42"/>
        <v>11042870.300000001</v>
      </c>
      <c r="K30">
        <f t="shared" si="43"/>
        <v>8282152.7250000006</v>
      </c>
      <c r="L30">
        <f t="shared" si="44"/>
        <v>1414074.7630000005</v>
      </c>
      <c r="M30">
        <f t="shared" si="45"/>
        <v>1.7999999999999999E-2</v>
      </c>
      <c r="N30">
        <f t="shared" si="46"/>
        <v>292.87289950139683</v>
      </c>
      <c r="O30">
        <f t="shared" si="47"/>
        <v>9628795.5370000005</v>
      </c>
    </row>
    <row r="31" spans="1:15">
      <c r="A31" t="s">
        <v>30</v>
      </c>
      <c r="B31">
        <f>B30 + 1</f>
        <v>12242651</v>
      </c>
      <c r="C31">
        <v>1</v>
      </c>
      <c r="D31">
        <f t="shared" si="36"/>
        <v>489706.04000000004</v>
      </c>
      <c r="E31">
        <f t="shared" si="37"/>
        <v>550919.29499999993</v>
      </c>
      <c r="F31">
        <f t="shared" si="38"/>
        <v>489706.04000000004</v>
      </c>
      <c r="G31">
        <f t="shared" si="39"/>
        <v>979412.08000000007</v>
      </c>
      <c r="H31">
        <f t="shared" si="40"/>
        <v>11042871.202000001</v>
      </c>
      <c r="I31">
        <f t="shared" si="41"/>
        <v>220367.71799999999</v>
      </c>
      <c r="J31" s="1">
        <f t="shared" si="42"/>
        <v>11042871.202000001</v>
      </c>
      <c r="K31">
        <f t="shared" si="43"/>
        <v>8282153.4015000015</v>
      </c>
      <c r="L31">
        <f t="shared" si="44"/>
        <v>1414074.9524200007</v>
      </c>
      <c r="M31">
        <f t="shared" si="45"/>
        <v>1.7999999999999999E-2</v>
      </c>
      <c r="N31">
        <f t="shared" si="46"/>
        <v>292.87292342374207</v>
      </c>
      <c r="O31">
        <f t="shared" si="47"/>
        <v>9628796.2495800015</v>
      </c>
    </row>
    <row r="32" spans="1:15">
      <c r="A32" t="s">
        <v>31</v>
      </c>
      <c r="B32">
        <f>B30 - 1</f>
        <v>12242649</v>
      </c>
      <c r="C32">
        <v>1</v>
      </c>
      <c r="D32">
        <f t="shared" si="36"/>
        <v>489705.96</v>
      </c>
      <c r="E32">
        <f t="shared" si="37"/>
        <v>550919.20499999996</v>
      </c>
      <c r="F32">
        <f t="shared" si="38"/>
        <v>489705.96</v>
      </c>
      <c r="G32">
        <f t="shared" si="39"/>
        <v>979411.92</v>
      </c>
      <c r="H32">
        <f t="shared" si="40"/>
        <v>11067354.695999999</v>
      </c>
      <c r="I32">
        <f t="shared" si="41"/>
        <v>195882.38399999999</v>
      </c>
      <c r="J32" s="1">
        <f t="shared" si="42"/>
        <v>11067354.695999999</v>
      </c>
      <c r="K32">
        <f t="shared" si="43"/>
        <v>8300516.0219999989</v>
      </c>
      <c r="L32">
        <f t="shared" si="44"/>
        <v>1419216.4861599999</v>
      </c>
      <c r="M32">
        <f t="shared" si="45"/>
        <v>1.6E-2</v>
      </c>
      <c r="N32">
        <f t="shared" si="46"/>
        <v>293.52226111248626</v>
      </c>
      <c r="O32">
        <f t="shared" si="47"/>
        <v>9648138.2098399997</v>
      </c>
    </row>
    <row r="33" spans="1:15">
      <c r="A33">
        <v>20</v>
      </c>
      <c r="B33">
        <f>20*C4</f>
        <v>12887000</v>
      </c>
      <c r="C33">
        <v>1</v>
      </c>
      <c r="D33">
        <f t="shared" si="36"/>
        <v>515480</v>
      </c>
      <c r="E33">
        <f t="shared" si="37"/>
        <v>579915</v>
      </c>
      <c r="F33">
        <f t="shared" si="38"/>
        <v>515480</v>
      </c>
      <c r="G33">
        <f t="shared" si="39"/>
        <v>1030960</v>
      </c>
      <c r="H33">
        <f t="shared" si="40"/>
        <v>11598300</v>
      </c>
      <c r="I33">
        <f t="shared" si="41"/>
        <v>257740</v>
      </c>
      <c r="J33" s="1">
        <f t="shared" si="42"/>
        <v>11598300</v>
      </c>
      <c r="K33">
        <f t="shared" si="43"/>
        <v>8698725</v>
      </c>
      <c r="L33">
        <f t="shared" si="44"/>
        <v>1530714.9999999998</v>
      </c>
      <c r="M33">
        <f t="shared" si="45"/>
        <v>0.02</v>
      </c>
      <c r="N33">
        <f t="shared" si="46"/>
        <v>307.60369885780966</v>
      </c>
      <c r="O33">
        <f t="shared" si="47"/>
        <v>10067585</v>
      </c>
    </row>
    <row r="34" spans="1:15">
      <c r="A34" t="s">
        <v>32</v>
      </c>
      <c r="B34">
        <f>B33+1</f>
        <v>12887001</v>
      </c>
      <c r="C34">
        <v>1</v>
      </c>
      <c r="D34">
        <f t="shared" si="36"/>
        <v>515480.04000000004</v>
      </c>
      <c r="E34">
        <f t="shared" si="37"/>
        <v>579915.04499999993</v>
      </c>
      <c r="F34">
        <f t="shared" si="38"/>
        <v>515480.04000000004</v>
      </c>
      <c r="G34">
        <f t="shared" si="39"/>
        <v>1030960.0800000001</v>
      </c>
      <c r="H34">
        <f t="shared" si="40"/>
        <v>11598300.900000002</v>
      </c>
      <c r="I34">
        <f t="shared" si="41"/>
        <v>257740.02000000002</v>
      </c>
      <c r="J34" s="1">
        <f t="shared" si="42"/>
        <v>11598300.900000002</v>
      </c>
      <c r="K34">
        <f t="shared" si="43"/>
        <v>8698725.6750000007</v>
      </c>
      <c r="L34">
        <f t="shared" si="44"/>
        <v>1530715.1890000002</v>
      </c>
      <c r="M34">
        <f t="shared" si="45"/>
        <v>0.02</v>
      </c>
      <c r="N34">
        <f t="shared" si="46"/>
        <v>307.60372272711203</v>
      </c>
      <c r="O34">
        <f t="shared" si="47"/>
        <v>10067585.711000003</v>
      </c>
    </row>
    <row r="35" spans="1:15">
      <c r="A35" t="s">
        <v>33</v>
      </c>
      <c r="B35">
        <f>B33-1</f>
        <v>12886999</v>
      </c>
      <c r="C35">
        <v>1</v>
      </c>
      <c r="D35">
        <f t="shared" si="36"/>
        <v>515479.96</v>
      </c>
      <c r="E35">
        <f t="shared" si="37"/>
        <v>579914.95499999996</v>
      </c>
      <c r="F35">
        <f t="shared" si="38"/>
        <v>515479.96</v>
      </c>
      <c r="G35">
        <f t="shared" si="39"/>
        <v>1030959.92</v>
      </c>
      <c r="H35">
        <f t="shared" si="40"/>
        <v>11624073.097999997</v>
      </c>
      <c r="I35">
        <f t="shared" si="41"/>
        <v>231965.98199999999</v>
      </c>
      <c r="J35" s="1">
        <f t="shared" si="42"/>
        <v>11624073.097999997</v>
      </c>
      <c r="K35">
        <f t="shared" si="43"/>
        <v>8718054.8234999981</v>
      </c>
      <c r="L35">
        <f t="shared" si="44"/>
        <v>1536127.3505799996</v>
      </c>
      <c r="M35">
        <f t="shared" si="45"/>
        <v>1.7999999999999999E-2</v>
      </c>
      <c r="N35">
        <f t="shared" si="46"/>
        <v>308.287238710704</v>
      </c>
      <c r="O35">
        <f t="shared" si="47"/>
        <v>10087945.747419998</v>
      </c>
    </row>
    <row r="36" spans="1:15">
      <c r="A36" t="s">
        <v>34</v>
      </c>
      <c r="B36">
        <v>3936271</v>
      </c>
      <c r="C36">
        <v>1</v>
      </c>
      <c r="D36">
        <f t="shared" ref="D36" si="48">0.04*B36 *C36</f>
        <v>157450.84</v>
      </c>
      <c r="E36">
        <f t="shared" ref="E36" si="49">0.045*B36*C36</f>
        <v>177132.19500000001</v>
      </c>
      <c r="F36">
        <f t="shared" ref="F36" si="50">0.04*B36*C36</f>
        <v>157450.84</v>
      </c>
      <c r="G36">
        <f t="shared" ref="G36" si="51">0.08*B36*C36</f>
        <v>314901.68</v>
      </c>
      <c r="H36">
        <f t="shared" ref="H36" si="52">B36-D36/C36-F36/C36-I36/C36+IF(B36/$C$2 &lt;= 2, $B$2, 0)</f>
        <v>3582006.6100000003</v>
      </c>
      <c r="I36">
        <f t="shared" ref="I36" si="53">B36*M36*C36</f>
        <v>39362.71</v>
      </c>
      <c r="J36" s="1">
        <f t="shared" ref="J36" si="54">B36-D36/C36-F36/C36-I36/C36</f>
        <v>3582006.6100000003</v>
      </c>
      <c r="K36">
        <f t="shared" ref="K36" si="55">(J36-J36*0.25)*C36</f>
        <v>2686504.9575000005</v>
      </c>
      <c r="L36">
        <f t="shared" ref="L36" si="56">C36 * IF(AND(N36 &gt; 0, N36 &lt;= 95),0,IF(AND(N36 &gt; 95, N36 &lt;= 150),((N36 - 95)*$D$2)*0.19,IF(AND(N36 &gt; 150, N36 &lt;= 360),((N36 - 150)*$D$2)*0.28 + 10*$D$2,((N36 - 360)*$D$2)*0.33 + 69*$D$2)))</f>
        <v>0</v>
      </c>
      <c r="M36">
        <f t="shared" ref="M36" si="57">IF(B36/$C$2&lt;4,0,IF(AND(B36/$C$2&gt;=4,B36/$C$2&lt;16),$E$2,IF(AND(B36/$C$2&gt;=16,B36/$C$2&lt;17),$F$2,IF(AND(B36/$C$2&gt;=17,B36/$C$2&lt;18),$G$2,IF(AND(B36/$C$2&gt;=18,B36/$C$2&lt;19),$H$2,IF(AND(B36/$C$2&gt;=19,B36/$C$2&lt;20),$I$2,$J$2))))))</f>
        <v>0.01</v>
      </c>
      <c r="N36">
        <f t="shared" ref="N36" si="58">(K36/C36)/$D$2</f>
        <v>94.999998497118014</v>
      </c>
      <c r="O36">
        <f t="shared" ref="O36" si="59">H36 * C36-(L36/C36)</f>
        <v>3582006.6100000003</v>
      </c>
    </row>
    <row r="37" spans="1:15">
      <c r="A37" t="s">
        <v>35</v>
      </c>
      <c r="B37">
        <f>B36+1</f>
        <v>3936272</v>
      </c>
      <c r="C37">
        <v>1</v>
      </c>
      <c r="D37">
        <f t="shared" ref="D37" si="60">0.04*B37 *C37</f>
        <v>157450.88</v>
      </c>
      <c r="E37">
        <f t="shared" ref="E37" si="61">0.045*B37*C37</f>
        <v>177132.24</v>
      </c>
      <c r="F37">
        <f t="shared" ref="F37" si="62">0.04*B37*C37</f>
        <v>157450.88</v>
      </c>
      <c r="G37">
        <f t="shared" ref="G37" si="63">0.08*B37*C37</f>
        <v>314901.76000000001</v>
      </c>
      <c r="H37">
        <f t="shared" ref="H37" si="64">B37-D37/C37-F37/C37-I37/C37+IF(B37/$C$2 &lt;= 2, $B$2, 0)</f>
        <v>3582007.52</v>
      </c>
      <c r="I37">
        <f t="shared" ref="I37" si="65">B37*M37*C37</f>
        <v>39362.720000000001</v>
      </c>
      <c r="J37" s="1">
        <f t="shared" ref="J37" si="66">B37-D37/C37-F37/C37-I37/C37</f>
        <v>3582007.52</v>
      </c>
      <c r="K37">
        <f t="shared" ref="K37" si="67">(J37-J37*0.25)*C37</f>
        <v>2686505.64</v>
      </c>
      <c r="L37">
        <f t="shared" ref="L37" si="68">C37 * IF(AND(N37 &gt; 0, N37 &lt;= 95),0,IF(AND(N37 &gt; 95, N37 &lt;= 150),((N37 - 95)*$D$2)*0.19,IF(AND(N37 &gt; 150, N37 &lt;= 360),((N37 - 150)*$D$2)*0.28 + 10*$D$2,((N37 - 360)*$D$2)*0.33 + 69*$D$2)))</f>
        <v>0.12160000005372056</v>
      </c>
      <c r="M37">
        <f t="shared" ref="M37" si="69">IF(B37/$C$2&lt;4,0,IF(AND(B37/$C$2&gt;=4,B37/$C$2&lt;16),$E$2,IF(AND(B37/$C$2&gt;=16,B37/$C$2&lt;17),$F$2,IF(AND(B37/$C$2&gt;=17,B37/$C$2&lt;18),$G$2,IF(AND(B37/$C$2&gt;=18,B37/$C$2&lt;19),$H$2,IF(AND(B37/$C$2&gt;=19,B37/$C$2&lt;20),$I$2,$J$2))))))</f>
        <v>0.01</v>
      </c>
      <c r="N37">
        <f t="shared" ref="N37" si="70">(K37/C37)/$D$2</f>
        <v>95.000022631634792</v>
      </c>
      <c r="O37">
        <f t="shared" ref="O37" si="71">H37 * C37-(L37/C37)</f>
        <v>3582007.3983999998</v>
      </c>
    </row>
    <row r="38" spans="1:15">
      <c r="A38" s="2" t="s">
        <v>36</v>
      </c>
      <c r="B38" s="2">
        <v>3936271.0624000002</v>
      </c>
      <c r="C38" s="2">
        <v>1</v>
      </c>
      <c r="D38" s="2">
        <f t="shared" ref="D38" si="72">0.04*B38 *C38</f>
        <v>157450.842496</v>
      </c>
      <c r="E38" s="2">
        <f t="shared" ref="E38" si="73">0.045*B38*C38</f>
        <v>177132.197808</v>
      </c>
      <c r="F38" s="2">
        <f t="shared" ref="F38" si="74">0.04*B38*C38</f>
        <v>157450.842496</v>
      </c>
      <c r="G38" s="2">
        <f t="shared" ref="G38" si="75">0.08*B38*C38</f>
        <v>314901.68499199999</v>
      </c>
      <c r="H38" s="2">
        <f t="shared" ref="H38" si="76">B38-D38/C38-F38/C38-I38/C38+IF(B38/$C$2 &lt;= 2, $B$2, 0)</f>
        <v>3582006.6667839997</v>
      </c>
      <c r="I38" s="2">
        <f t="shared" ref="I38" si="77">B38*M38*C38</f>
        <v>39362.710623999999</v>
      </c>
      <c r="J38" s="3">
        <f t="shared" ref="J38" si="78">B38-D38/C38-F38/C38-I38/C38</f>
        <v>3582006.6667839997</v>
      </c>
      <c r="K38" s="2">
        <f t="shared" ref="K38" si="79">(J38-J38*0.25)*C38</f>
        <v>2686505.0000879997</v>
      </c>
      <c r="L38" s="2">
        <f t="shared" ref="L38" si="80">C38 * IF(AND(N38 &gt; 0, N38 &lt;= 95),0,IF(AND(N38 &gt; 95, N38 &lt;= 150),((N38 - 95)*$D$2)*0.19,IF(AND(N38 &gt; 150, N38 &lt;= 360),((N38 - 150)*$D$2)*0.28 + 10*$D$2,((N38 - 360)*$D$2)*0.33 + 69*$D$2)))</f>
        <v>1.6719926602490886E-5</v>
      </c>
      <c r="M38" s="2">
        <f t="shared" ref="M38" si="81">IF(B38/$C$2&lt;4,0,IF(AND(B38/$C$2&gt;=4,B38/$C$2&lt;16),$E$2,IF(AND(B38/$C$2&gt;=16,B38/$C$2&lt;17),$F$2,IF(AND(B38/$C$2&gt;=17,B38/$C$2&lt;18),$G$2,IF(AND(B38/$C$2&gt;=18,B38/$C$2&lt;19),$H$2,IF(AND(B38/$C$2&gt;=19,B38/$C$2&lt;20),$I$2,$J$2))))))</f>
        <v>0.01</v>
      </c>
      <c r="N38" s="2">
        <f t="shared" ref="N38" si="82">(K38/C38)/$D$2</f>
        <v>95.000000003111836</v>
      </c>
      <c r="O38" s="2">
        <f t="shared" ref="O38" si="83">H38 * C38-(L38/C38)</f>
        <v>3582006.6667672796</v>
      </c>
    </row>
    <row r="39" spans="1:15">
      <c r="B39">
        <v>5000000</v>
      </c>
      <c r="C39">
        <v>1</v>
      </c>
      <c r="D39">
        <f t="shared" ref="D39" si="84">0.04*B39 *C39</f>
        <v>200000</v>
      </c>
      <c r="E39">
        <f t="shared" ref="E39" si="85">0.045*B39*C39</f>
        <v>225000</v>
      </c>
      <c r="F39">
        <f t="shared" ref="F39" si="86">0.04*B39*C39</f>
        <v>200000</v>
      </c>
      <c r="G39">
        <f t="shared" ref="G39" si="87">0.08*B39*C39</f>
        <v>400000</v>
      </c>
      <c r="H39">
        <f t="shared" ref="H39" si="88">B39-D39/C39-F39/C39-I39/C39+IF(B39/$C$2 &lt;= 2, $B$2, 0)</f>
        <v>4550000</v>
      </c>
      <c r="I39">
        <f t="shared" ref="I39" si="89">B39*M39*C39</f>
        <v>50000</v>
      </c>
      <c r="J39" s="1">
        <f t="shared" ref="J39" si="90">B39-D39/C39-F39/C39-I39/C39</f>
        <v>4550000</v>
      </c>
      <c r="K39">
        <f t="shared" ref="K39" si="91">(J39-J39*0.25)*C39</f>
        <v>3412500</v>
      </c>
      <c r="L39">
        <f t="shared" ref="L39" si="92">C39 * IF(AND(N39 &gt; 0, N39 &lt;= 95),0,IF(AND(N39 &gt; 95, N39 &lt;= 150),((N39 - 95)*$D$2)*0.19,IF(AND(N39 &gt; 150, N39 &lt;= 360),((N39 - 150)*$D$2)*0.28 + 10*$D$2,((N39 - 360)*$D$2)*0.33 + 69*$D$2)))</f>
        <v>137939.04999999999</v>
      </c>
      <c r="M39">
        <f t="shared" ref="M39" si="93">IF(B39/$C$2&lt;4,0,IF(AND(B39/$C$2&gt;=4,B39/$C$2&lt;16),$E$2,IF(AND(B39/$C$2&gt;=16,B39/$C$2&lt;17),$F$2,IF(AND(B39/$C$2&gt;=17,B39/$C$2&lt;18),$G$2,IF(AND(B39/$C$2&gt;=18,B39/$C$2&lt;19),$H$2,IF(AND(B39/$C$2&gt;=19,B39/$C$2&lt;20),$I$2,$J$2))))))</f>
        <v>0.01</v>
      </c>
      <c r="N39">
        <f t="shared" ref="N39" si="94">(K39/C39)/$D$2</f>
        <v>120.67258389617737</v>
      </c>
      <c r="O39">
        <f t="shared" ref="O39" si="95">H39 * C39-(L39/C39)</f>
        <v>4412060.95</v>
      </c>
    </row>
    <row r="40" spans="1:15">
      <c r="A40" t="s">
        <v>37</v>
      </c>
      <c r="B40">
        <v>6215164.835</v>
      </c>
      <c r="C40">
        <v>1</v>
      </c>
      <c r="D40">
        <f t="shared" ref="D40" si="96">0.04*B40 *C40</f>
        <v>248606.59340000001</v>
      </c>
      <c r="E40">
        <f t="shared" ref="E40" si="97">0.045*B40*C40</f>
        <v>279682.41757499997</v>
      </c>
      <c r="F40">
        <f t="shared" ref="F40" si="98">0.04*B40*C40</f>
        <v>248606.59340000001</v>
      </c>
      <c r="G40">
        <f t="shared" ref="G40" si="99">0.08*B40*C40</f>
        <v>497213.18680000002</v>
      </c>
      <c r="H40">
        <f t="shared" ref="H40" si="100">B40-D40/C40-F40/C40-I40/C40+IF(B40/$C$2 &lt;= 2, $B$2, 0)</f>
        <v>5655799.9998500003</v>
      </c>
      <c r="I40">
        <f t="shared" ref="I40" si="101">B40*M40*C40</f>
        <v>62151.648350000003</v>
      </c>
      <c r="J40" s="1">
        <f t="shared" ref="J40" si="102">B40-D40/C40-F40/C40-I40/C40</f>
        <v>5655799.9998500003</v>
      </c>
      <c r="K40">
        <f t="shared" ref="K40" si="103">(J40-J40*0.25)*C40</f>
        <v>4241849.9998875</v>
      </c>
      <c r="L40">
        <f t="shared" ref="L40" si="104">C40 * IF(AND(N40 &gt; 0, N40 &lt;= 95),0,IF(AND(N40 &gt; 95, N40 &lt;= 150),((N40 - 95)*$D$2)*0.19,IF(AND(N40 &gt; 150, N40 &lt;= 360),((N40 - 150)*$D$2)*0.28 + 10*$D$2,((N40 - 360)*$D$2)*0.33 + 69*$D$2)))</f>
        <v>295515.54997862497</v>
      </c>
      <c r="M40">
        <f t="shared" ref="M40" si="105">IF(B40/$C$2&lt;4,0,IF(AND(B40/$C$2&gt;=4,B40/$C$2&lt;16),$E$2,IF(AND(B40/$C$2&gt;=16,B40/$C$2&lt;17),$F$2,IF(AND(B40/$C$2&gt;=17,B40/$C$2&lt;18),$G$2,IF(AND(B40/$C$2&gt;=18,B40/$C$2&lt;19),$H$2,IF(AND(B40/$C$2&gt;=19,B40/$C$2&lt;20),$I$2,$J$2))))))</f>
        <v>0.01</v>
      </c>
      <c r="N40">
        <f t="shared" ref="N40" si="106">(K40/C40)/$D$2</f>
        <v>149.99999999602178</v>
      </c>
      <c r="O40">
        <f t="shared" ref="O40" si="107">H40 * C40-(L40/C40)</f>
        <v>5360284.4498713752</v>
      </c>
    </row>
    <row r="41" spans="1:15">
      <c r="B41">
        <v>7000000</v>
      </c>
      <c r="C41">
        <v>1</v>
      </c>
      <c r="D41">
        <f t="shared" ref="D41" si="108">0.04*B41 *C41</f>
        <v>280000</v>
      </c>
      <c r="E41">
        <f t="shared" ref="E41" si="109">0.045*B41*C41</f>
        <v>315000</v>
      </c>
      <c r="F41">
        <f t="shared" ref="F41" si="110">0.04*B41*C41</f>
        <v>280000</v>
      </c>
      <c r="G41">
        <f t="shared" ref="G41" si="111">0.08*B41*C41</f>
        <v>560000</v>
      </c>
      <c r="H41">
        <f t="shared" ref="H41" si="112">B41-D41/C41-F41/C41-I41/C41+IF(B41/$C$2 &lt;= 2, $B$2, 0)</f>
        <v>6370000</v>
      </c>
      <c r="I41">
        <f t="shared" ref="I41" si="113">B41*M41*C41</f>
        <v>70000</v>
      </c>
      <c r="J41" s="1">
        <f t="shared" ref="J41" si="114">B41-D41/C41-F41/C41-I41/C41</f>
        <v>6370000</v>
      </c>
      <c r="K41">
        <f t="shared" ref="K41" si="115">(J41-J41*0.25)*C41</f>
        <v>4777500</v>
      </c>
      <c r="L41">
        <f t="shared" ref="L41" si="116">C41 * IF(AND(N41 &gt; 0, N41 &lt;= 95),0,IF(AND(N41 &gt; 95, N41 &lt;= 150),((N41 - 95)*$D$2)*0.19,IF(AND(N41 &gt; 150, N41 &lt;= 360),((N41 - 150)*$D$2)*0.28 + 10*$D$2,((N41 - 360)*$D$2)*0.33 + 69*$D$2)))</f>
        <v>432772.00000000012</v>
      </c>
      <c r="M41">
        <f t="shared" ref="M41" si="117">IF(B41/$C$2&lt;4,0,IF(AND(B41/$C$2&gt;=4,B41/$C$2&lt;16),$E$2,IF(AND(B41/$C$2&gt;=16,B41/$C$2&lt;17),$F$2,IF(AND(B41/$C$2&gt;=17,B41/$C$2&lt;18),$G$2,IF(AND(B41/$C$2&gt;=18,B41/$C$2&lt;19),$H$2,IF(AND(B41/$C$2&gt;=19,B41/$C$2&lt;20),$I$2,$J$2))))))</f>
        <v>0.01</v>
      </c>
      <c r="N41">
        <f t="shared" ref="N41" si="118">(K41/C41)/$D$2</f>
        <v>168.94161745464834</v>
      </c>
      <c r="O41">
        <f t="shared" ref="O41" si="119">H41 * C41-(L41/C41)</f>
        <v>5937228</v>
      </c>
    </row>
    <row r="42" spans="1:15">
      <c r="A42" s="2" t="s">
        <v>38</v>
      </c>
      <c r="B42" s="2">
        <v>15082134.001</v>
      </c>
      <c r="C42" s="2">
        <v>1</v>
      </c>
      <c r="D42" s="2">
        <f t="shared" ref="D42" si="120">0.04*B42 *C42</f>
        <v>603285.36004000006</v>
      </c>
      <c r="E42" s="2">
        <f t="shared" ref="E42" si="121">0.045*B42*C42</f>
        <v>678696.03004500002</v>
      </c>
      <c r="F42" s="2">
        <f t="shared" ref="F42" si="122">0.04*B42*C42</f>
        <v>603285.36004000006</v>
      </c>
      <c r="G42" s="2">
        <f t="shared" ref="G42" si="123">0.08*B42*C42</f>
        <v>1206570.7200800001</v>
      </c>
      <c r="H42" s="2">
        <f t="shared" ref="H42" si="124">B42-D42/C42-F42/C42-I42/C42+IF(B42/$C$2 &lt;= 2, $B$2, 0)</f>
        <v>13573920.6009</v>
      </c>
      <c r="I42" s="2">
        <f t="shared" ref="I42" si="125">B42*M42*C42</f>
        <v>301642.68002000003</v>
      </c>
      <c r="J42" s="3">
        <f t="shared" ref="J42" si="126">B42-D42/C42-F42/C42-I42/C42</f>
        <v>13573920.6009</v>
      </c>
      <c r="K42" s="2">
        <f t="shared" ref="K42" si="127">(J42-J42*0.25)*C42</f>
        <v>10180440.450675</v>
      </c>
      <c r="L42" s="2">
        <f t="shared" ref="L42" si="128">C42 * IF(AND(N42 &gt; 0, N42 &lt;= 95),0,IF(AND(N42 &gt; 95, N42 &lt;= 150),((N42 - 95)*$D$2)*0.19,IF(AND(N42 &gt; 150, N42 &lt;= 360),((N42 - 150)*$D$2)*0.28 + 10*$D$2,((N42 - 360)*$D$2)*0.33 + 69*$D$2)))</f>
        <v>1951251.1487227499</v>
      </c>
      <c r="M42" s="2">
        <f t="shared" ref="M42" si="129">IF(B42/$C$2&lt;4,0,IF(AND(B42/$C$2&gt;=4,B42/$C$2&lt;16),$E$2,IF(AND(B42/$C$2&gt;=16,B42/$C$2&lt;17),$F$2,IF(AND(B42/$C$2&gt;=17,B42/$C$2&lt;18),$G$2,IF(AND(B42/$C$2&gt;=18,B42/$C$2&lt;19),$H$2,IF(AND(B42/$C$2&gt;=19,B42/$C$2&lt;20),$I$2,$J$2))))))</f>
        <v>0.02</v>
      </c>
      <c r="N42" s="2">
        <f t="shared" ref="N42" si="130">(K42/C42)/$D$2</f>
        <v>360.0000159367375</v>
      </c>
      <c r="O42" s="2">
        <f t="shared" ref="O42" si="131">H42 * C42-(L42/C42)</f>
        <v>11622669.452177251</v>
      </c>
    </row>
    <row r="43" spans="1:15">
      <c r="B43">
        <v>20000000</v>
      </c>
      <c r="C43">
        <v>1</v>
      </c>
      <c r="D43">
        <f t="shared" ref="D43" si="132">0.04*B43 *C43</f>
        <v>800000</v>
      </c>
      <c r="E43">
        <f t="shared" ref="E43" si="133">0.045*B43*C43</f>
        <v>900000</v>
      </c>
      <c r="F43">
        <f t="shared" ref="F43" si="134">0.04*B43*C43</f>
        <v>800000</v>
      </c>
      <c r="G43">
        <f t="shared" ref="G43" si="135">0.08*B43*C43</f>
        <v>1600000</v>
      </c>
      <c r="H43">
        <f t="shared" ref="H43" si="136">B43-D43/C43-F43/C43-I43/C43+IF(B43/$C$2 &lt;= 2, $B$2, 0)</f>
        <v>18000000</v>
      </c>
      <c r="I43">
        <f t="shared" ref="I43" si="137">B43*M43*C43</f>
        <v>400000</v>
      </c>
      <c r="J43" s="1">
        <f t="shared" ref="J43" si="138">B43-D43/C43-F43/C43-I43/C43</f>
        <v>18000000</v>
      </c>
      <c r="K43">
        <f t="shared" ref="K43" si="139">(J43-J43*0.25)*C43</f>
        <v>13500000</v>
      </c>
      <c r="L43">
        <f t="shared" ref="L43" si="140">C43 * IF(AND(N43 &gt; 0, N43 &lt;= 95),0,IF(AND(N43 &gt; 95, N43 &lt;= 150),((N43 - 95)*$D$2)*0.19,IF(AND(N43 &gt; 150, N43 &lt;= 360),((N43 - 150)*$D$2)*0.28 + 10*$D$2,((N43 - 360)*$D$2)*0.33 + 69*$D$2)))</f>
        <v>3046705.8</v>
      </c>
      <c r="M43">
        <f t="shared" ref="M43" si="141">IF(B43/$C$2&lt;4,0,IF(AND(B43/$C$2&gt;=4,B43/$C$2&lt;16),$E$2,IF(AND(B43/$C$2&gt;=16,B43/$C$2&lt;17),$F$2,IF(AND(B43/$C$2&gt;=17,B43/$C$2&lt;18),$G$2,IF(AND(B43/$C$2&gt;=18,B43/$C$2&lt;19),$H$2,IF(AND(B43/$C$2&gt;=19,B43/$C$2&lt;20),$I$2,$J$2))))))</f>
        <v>0.02</v>
      </c>
      <c r="N43">
        <f t="shared" ref="N43" si="142">(K43/C43)/$D$2</f>
        <v>477.38604618267971</v>
      </c>
      <c r="O43">
        <f t="shared" ref="O43" si="143">H43 * C43-(L43/C43)</f>
        <v>14953294.199999999</v>
      </c>
    </row>
    <row r="44" spans="1:15">
      <c r="A44" s="2"/>
      <c r="B44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EAFIT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Eidelman</dc:creator>
  <cp:lastModifiedBy>Jonathan Eidelman</cp:lastModifiedBy>
  <dcterms:created xsi:type="dcterms:W3CDTF">2015-02-13T15:13:16Z</dcterms:created>
  <dcterms:modified xsi:type="dcterms:W3CDTF">2015-02-22T21:30:48Z</dcterms:modified>
</cp:coreProperties>
</file>