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l5\Documents\GitHub\SMAREACTcleaned\input\sample_2\analytical calibration\"/>
    </mc:Choice>
  </mc:AlternateContent>
  <xr:revisionPtr revIDLastSave="0" documentId="13_ncr:1_{6E0ADF8E-13E2-45E3-976E-11F4AB0A8921}" xr6:coauthVersionLast="47" xr6:coauthVersionMax="47" xr10:uidLastSave="{00000000-0000-0000-0000-000000000000}"/>
  <bookViews>
    <workbookView xWindow="10260" yWindow="0" windowWidth="10260" windowHeight="13080" firstSheet="1" activeTab="1" xr2:uid="{868CF7E1-07D3-4329-A985-3AC0D777E8EE}"/>
  </bookViews>
  <sheets>
    <sheet name="Properties" sheetId="2" r:id="rId1"/>
    <sheet name="E_A, C_A, and C_M" sheetId="1" r:id="rId2"/>
    <sheet name="E_M, alpha, H_cur" sheetId="3" r:id="rId3"/>
  </sheets>
  <definedNames>
    <definedName name="solver_adj" localSheetId="2" hidden="1">'E_M, alpha, H_cur'!$B$13,'E_M, alpha, H_cur'!$B$14,'E_M, alpha, H_cur'!$B$15,'E_M, alpha, H_cur'!$B$17,'E_M, alpha, H_cur'!$B$18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'E_M, alpha, H_cur'!$B$13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'E_M, alpha, H_cur'!$L$9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hs1" localSheetId="2" hidden="1">'E_M, alpha, H_cur'!$E$13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XFD1048550" i="3"/>
  <c r="XFD1048551" i="3"/>
  <c r="XFD1048552" i="3"/>
  <c r="XFD1048553" i="3"/>
  <c r="XFD1048554" i="3"/>
  <c r="XFD1048555" i="3"/>
  <c r="XFD1048556" i="3"/>
  <c r="XFD1048557" i="3"/>
  <c r="XFD1048558" i="3"/>
  <c r="XFD1048559" i="3"/>
  <c r="XFD1048560" i="3"/>
  <c r="XFD1048561" i="3"/>
  <c r="XFD1048562" i="3"/>
  <c r="XFD1048563" i="3"/>
  <c r="XFD1048564" i="3"/>
  <c r="XFD1048565" i="3"/>
  <c r="XFD1048566" i="3"/>
  <c r="XFD1048567" i="3"/>
  <c r="XFD1048568" i="3"/>
  <c r="XFD1048569" i="3"/>
  <c r="XFD1048570" i="3"/>
  <c r="XFD1048571" i="3"/>
  <c r="XFD1048572" i="3"/>
  <c r="XFD1048573" i="3"/>
  <c r="XFD1048574" i="3"/>
  <c r="XFD1048575" i="3"/>
  <c r="I3" i="3"/>
  <c r="I4" i="3"/>
  <c r="I5" i="3"/>
  <c r="I6" i="3"/>
  <c r="I7" i="3"/>
  <c r="G3" i="3"/>
  <c r="G4" i="3"/>
  <c r="G5" i="3"/>
  <c r="G6" i="3"/>
  <c r="G7" i="3"/>
  <c r="E3" i="3"/>
  <c r="J3" i="3" s="1"/>
  <c r="E4" i="3"/>
  <c r="E5" i="3"/>
  <c r="J5" i="3" s="1"/>
  <c r="E6" i="3"/>
  <c r="E7" i="3"/>
  <c r="J7" i="3" s="1"/>
  <c r="C3" i="3"/>
  <c r="K3" i="3" s="1"/>
  <c r="C4" i="3"/>
  <c r="K4" i="3" s="1"/>
  <c r="C5" i="3"/>
  <c r="C6" i="3"/>
  <c r="C7" i="3"/>
  <c r="K7" i="3" s="1"/>
  <c r="I2" i="3"/>
  <c r="J2" i="3" s="1"/>
  <c r="G2" i="3"/>
  <c r="E2" i="3"/>
  <c r="C2" i="3"/>
  <c r="K2" i="3" s="1"/>
  <c r="B8" i="2"/>
  <c r="B7" i="2"/>
  <c r="B6" i="2"/>
  <c r="B5" i="2"/>
  <c r="C3" i="1"/>
  <c r="C4" i="1"/>
  <c r="C5" i="1"/>
  <c r="C6" i="1"/>
  <c r="C7" i="1"/>
  <c r="C2" i="1"/>
  <c r="K5" i="3" l="1"/>
  <c r="L5" i="3" s="1"/>
  <c r="J6" i="3"/>
  <c r="K6" i="3"/>
  <c r="L6" i="3" s="1"/>
  <c r="J4" i="3"/>
  <c r="L3" i="3"/>
  <c r="L7" i="3"/>
  <c r="L4" i="3"/>
  <c r="L2" i="3"/>
  <c r="L9" i="3" l="1"/>
</calcChain>
</file>

<file path=xl/sharedStrings.xml><?xml version="1.0" encoding="utf-8"?>
<sst xmlns="http://schemas.openxmlformats.org/spreadsheetml/2006/main" count="137" uniqueCount="58">
  <si>
    <t>Stress [MPa]</t>
  </si>
  <si>
    <t>Strain [%]</t>
  </si>
  <si>
    <t>Strain [mm/mm]</t>
  </si>
  <si>
    <t>M_s</t>
  </si>
  <si>
    <t>M_f</t>
  </si>
  <si>
    <t>A_s</t>
  </si>
  <si>
    <t>A_f</t>
  </si>
  <si>
    <t>Stress</t>
  </si>
  <si>
    <t>Parameter</t>
  </si>
  <si>
    <t>Value</t>
  </si>
  <si>
    <t>Units</t>
  </si>
  <si>
    <t>Source/Rationale</t>
  </si>
  <si>
    <t>E_M</t>
  </si>
  <si>
    <t>E_A</t>
  </si>
  <si>
    <t>C_M</t>
  </si>
  <si>
    <t>C_A</t>
  </si>
  <si>
    <t>H_min</t>
  </si>
  <si>
    <t>H_max</t>
  </si>
  <si>
    <t>k</t>
  </si>
  <si>
    <t>sigma_crit</t>
  </si>
  <si>
    <t>n_1</t>
  </si>
  <si>
    <t>n_2</t>
  </si>
  <si>
    <t>n_3</t>
  </si>
  <si>
    <t>n_4</t>
  </si>
  <si>
    <t>alpha</t>
  </si>
  <si>
    <t>1/K</t>
  </si>
  <si>
    <t>Pa</t>
  </si>
  <si>
    <t>K</t>
  </si>
  <si>
    <t>Pa/K</t>
  </si>
  <si>
    <t>-</t>
  </si>
  <si>
    <t>mm/mm</t>
  </si>
  <si>
    <t>1/Pa</t>
  </si>
  <si>
    <t>Assumed, no way to analytically find optimal values.</t>
  </si>
  <si>
    <t>Hooke's law in Austenite (see next sheet)</t>
  </si>
  <si>
    <t>Hooke's law in Martensite (numerically solved)</t>
  </si>
  <si>
    <t>Approximated from reported transformation temperatures (see next sheet)</t>
  </si>
  <si>
    <t>Reported in Bigelow</t>
  </si>
  <si>
    <t>Parameters</t>
  </si>
  <si>
    <t>delta_eps (True) [mm/mm]</t>
  </si>
  <si>
    <t>delta_eps (calculated) [mm/mm]</t>
  </si>
  <si>
    <t>T_M [C]</t>
  </si>
  <si>
    <t>T_M [K]</t>
  </si>
  <si>
    <t>eps_M [%]</t>
  </si>
  <si>
    <t>eps_M [mm/mm]</t>
  </si>
  <si>
    <t>eps_A [%]</t>
  </si>
  <si>
    <t>eps_A [mm/mm]</t>
  </si>
  <si>
    <t>T_A [K]</t>
  </si>
  <si>
    <t>T_A [C]</t>
  </si>
  <si>
    <t>Squared error</t>
  </si>
  <si>
    <t>RMSE</t>
  </si>
  <si>
    <t>Optimized Parameter Values</t>
  </si>
  <si>
    <t>Analytical calibration</t>
  </si>
  <si>
    <t>Optimization calibration</t>
  </si>
  <si>
    <t>delta</t>
  </si>
  <si>
    <t>calibration stress</t>
  </si>
  <si>
    <t>MVF tol</t>
  </si>
  <si>
    <t>Stress [GPa]</t>
  </si>
  <si>
    <t xml:space="preserve">Assumed.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</si>
</sst>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/>
    <xf numFmtId="0" fontId="1" fillId="0" borderId="0" xfId="0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deformation (Austenite)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'E_A, C_A, and C_M'!$C$2:$C$7</c:f>
              <c:numCache>
                <c:formatCode>General</c:formatCode>
                <c:ptCount val="6"/>
                <c:pt idx="0">
                  <c:v>6.5469999999999999E-3</c:v>
                </c:pt>
                <c:pt idx="1">
                  <c:v>5.1380000000000002E-3</c:v>
                </c:pt>
                <c:pt idx="2">
                  <c:v>3.8369999999999997E-3</c:v>
                </c:pt>
                <c:pt idx="3">
                  <c:v>2.6210000000000001E-3</c:v>
                </c:pt>
                <c:pt idx="4">
                  <c:v>2.042E-3</c:v>
                </c:pt>
                <c:pt idx="5">
                  <c:v>1.4966999999999999E-3</c:v>
                </c:pt>
              </c:numCache>
            </c:numRef>
          </c:xVal>
          <c:yVal>
            <c:numRef>
              <c:f>'E_A, C_A, and C_M'!$A$2:$A$7</c:f>
              <c:numCache>
                <c:formatCode>General</c:formatCode>
                <c:ptCount val="6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9-48F9-A63D-FC2C8E7E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26184"/>
        <c:axId val="358922944"/>
      </c:scatterChart>
      <c:valAx>
        <c:axId val="35892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22944"/>
        <c:crosses val="autoZero"/>
        <c:crossBetween val="midCat"/>
      </c:valAx>
      <c:valAx>
        <c:axId val="3589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2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067572982967185E-2"/>
          <c:y val="0.17634259259259263"/>
          <c:w val="0.9186238879476882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427710726831035E-2"/>
                  <c:y val="0.10952755905511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'E_A, C_A, and C_M'!$A$12:$A$13</c:f>
              <c:numCache>
                <c:formatCode>General</c:formatCode>
                <c:ptCount val="2"/>
                <c:pt idx="0">
                  <c:v>180</c:v>
                </c:pt>
                <c:pt idx="1">
                  <c:v>210</c:v>
                </c:pt>
              </c:numCache>
            </c:numRef>
          </c:xVal>
          <c:yVal>
            <c:numRef>
              <c:f>'E_A, C_A, and C_M'!$E$12:$E$13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E-4130-B8A8-CE986050E4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481525905740532E-3"/>
                  <c:y val="0.15582385535141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'E_A, C_A, and C_M'!$B$12:$B$13</c:f>
              <c:numCache>
                <c:formatCode>General</c:formatCode>
                <c:ptCount val="2"/>
                <c:pt idx="0">
                  <c:v>175</c:v>
                </c:pt>
                <c:pt idx="1">
                  <c:v>188</c:v>
                </c:pt>
              </c:numCache>
            </c:numRef>
          </c:xVal>
          <c:yVal>
            <c:numRef>
              <c:f>'E_A, C_A, and C_M'!$E$12:$E$13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9E-4130-B8A8-CE986050E45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101633082848072E-2"/>
                  <c:y val="-9.88057742782152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'E_A, C_A, and C_M'!$C$12:$C$13</c:f>
              <c:numCache>
                <c:formatCode>General</c:formatCode>
                <c:ptCount val="2"/>
                <c:pt idx="0">
                  <c:v>208</c:v>
                </c:pt>
                <c:pt idx="1">
                  <c:v>223</c:v>
                </c:pt>
              </c:numCache>
            </c:numRef>
          </c:xVal>
          <c:yVal>
            <c:numRef>
              <c:f>'E_A, C_A, and C_M'!$E$12:$E$13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9E-4130-B8A8-CE986050E45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830006273647094E-2"/>
                  <c:y val="0.3086016331291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'E_A, C_A, and C_M'!$D$12:$D$13</c:f>
              <c:numCache>
                <c:formatCode>General</c:formatCode>
                <c:ptCount val="2"/>
                <c:pt idx="0">
                  <c:v>213</c:v>
                </c:pt>
                <c:pt idx="1">
                  <c:v>237</c:v>
                </c:pt>
              </c:numCache>
            </c:numRef>
          </c:xVal>
          <c:yVal>
            <c:numRef>
              <c:f>'E_A, C_A, and C_M'!$E$12:$E$13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9E-4130-B8A8-CE986050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34240"/>
        <c:axId val="525134960"/>
      </c:scatterChart>
      <c:valAx>
        <c:axId val="5251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34960"/>
        <c:crosses val="autoZero"/>
        <c:crossBetween val="midCat"/>
      </c:valAx>
      <c:valAx>
        <c:axId val="525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640555</xdr:colOff>
      <xdr:row>0</xdr:row>
      <xdr:rowOff>78581</xdr:rowOff>
    </xdr:from>
    <xdr:to>
      <xdr:col>14</xdr:col>
      <xdr:colOff>30955</xdr:colOff>
      <xdr:row>15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555C9-DF8A-90A2-6F17-747A80611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64293</xdr:colOff>
      <xdr:row>16</xdr:row>
      <xdr:rowOff>173831</xdr:rowOff>
    </xdr:from>
    <xdr:to>
      <xdr:col>11</xdr:col>
      <xdr:colOff>176213</xdr:colOff>
      <xdr:row>32</xdr:row>
      <xdr:rowOff>21431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4420C-6E10-EC5C-7677-F247F846D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409380B-CD52-4167-BC92-7DF0A1B1BC4E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41211708551438994&quot;"/>
    <we:property name="BipY" value="&quot;&quot;"/>
    <we:property name="DBd/WXkCXAUJFxpIEDgWDztpfRcz" value="&quot;bQQWTA==&quot;"/>
    <we:property name="DBd/WXkCXAUJFxpIEDgWDztpfxQhLlkb" value="&quot;ew==&quot;"/>
    <we:property name="DBd/WXkCXAUJFxpIEDgWDztpZBQrClEXDRNF" value="&quot;bQoWRG0=&quot;"/>
    <we:property name="DBd/WXkCXAUJFxpIEDgWDztpZBQrClEXDRNFWQ==" value="&quot;bQoWRGw=&quot;"/>
    <we:property name="DBd/WXkCXAUJFxpIEDgWDztpZBQrClEXDRNFWA==" value="&quot;&quot;"/>
    <we:property name="DBd/WXkCXAUJFxpIEDgWDztpZBQrClEXDRNFWg==" value="&quot;bQoWRG4=&quot;"/>
    <we:property name="DBd/WXkCXAUJFxpIEDgWDztpZBQrClEXDRNFWw==" value="&quot;bQoWRGE=&quot;"/>
    <we:property name="DBd/WXkCXAUJFxpIEDgWDztpZBQrClEXDRNFXA==" value="&quot;bQoWRGo=&quot;"/>
    <we:property name="DBd/WXkCXAUJFxpIEDgWDztpQRo1FVUHPhhDBQ==" value="&quot;fA==&quot;"/>
    <we:property name="DBd/WXkCXAUJFxpIEDgWDztpQRo1FVUHPhpeG2k=" value="&quot;bQoWRG0=&quot;"/>
    <we:property name="DBd/WXkCXAUJFxpIEDgWDztpQRo1FVUHPgRTBGk=" value="&quot;aXYPVQ==&quot;"/>
    <we:property name="DBd/WXkCXAUJFxpIEDgWDztpQRo1FVUHPgReG2k=" value="&quot;ew0DRQ==&quot;"/>
    <we:property name="DBd/WXkCXAUJFxpIEDgWDztpQRo1FVUHPhpeG2o=" value="&quot;bQoWRGw=&quot;"/>
    <we:property name="DBd/WXkCXAUJFxpIEDgWDztpQRo1FVUHPgRTBGo=" value="&quot;aXQPVQ==&quot;"/>
    <we:property name="DBd/WXkCXAUJFxpIEDgWDztpQRo1FVUHPgReG2o=" value="&quot;eA0fQA==&quot;"/>
    <we:property name="DBd/WXkCXAUJFxpIEDgWDztpQRo1FVUHPhpeG2s=" value="&quot;bQoWRG4=&quot;"/>
    <we:property name="DBd/WXkCXAUJFxpIEDgWDztpQRo1FVUHPgRTBGs=" value="&quot;aXQPVQ==&quot;"/>
    <we:property name="DBd/WXkCXAUJFxpIEDgWDztpQRo1FVUHPgReG2s=" value="&quot;eWYCQA==&quot;"/>
    <we:property name="DBd/WXkCXAUJFxpIEDgWDztpQRo1FVUHPhpeG2w=" value="&quot;bQoWRGE=&quot;"/>
    <we:property name="DBd/WXkCXAUJFxpIEDgWDztpQRo1FVUHPgRTBGw=" value="&quot;aXQPVQ==&quot;"/>
    <we:property name="DBd/WXkCXAUJFxpIEDgWDztpQRo1FVUHPgReG2w=" value="&quot;eA0fQg==&quot;"/>
    <we:property name="DBd/WXkCXAUJFxpIEDgWDztpQRo1FVUHPgZEDQ==" value="&quot;eWYCRWlTAEVRRw==&quot;"/>
    <we:property name="DBd/WXkCXAUJFxpIEDgWDztpQRo1FVUHPhVADw==" value="&quot;eWYCRWlTAEVRRw==&quot;"/>
    <we:property name="DBd/WXkCXAUJFxpIEDgWDztpQRo1FVUHPhNFHA==" value="&quot;eA==&quot;"/>
    <we:property name="DBd/WXkCXAUJFxpIEDgWDztpQRo1FVUHPhhBHA==" value="&quot;eA==&quot;"/>
    <we:property name="DBd/WXkCXAUJFxpIEDgWDztpQRo1FVUHPgVVBA==" value="&quot;eA==&quot;"/>
    <we:property name="DBd/WXkCXAUJFxpIEDgWDztpQRo1FVUHPhtFBA==" value="&quot;eA==&quot;"/>
    <we:property name="DBd/WXkCXAUJFxpIEDgWDztpQRo1FVUHPgJbGw==" value="&quot;eQ==&quot;"/>
    <we:property name="DBd/WXkCXAUJFxpIEDgWDztpQRo1FVUHPgRUHg==" value="&quot;eQ==&quot;"/>
    <we:property name="DBd/WXkCXAUJFxpIEDgWDztpQRo1FVUHPgVFEg==" value="&quot;eH0=&quot;"/>
    <we:property name="DBd/WXkCXAUJFxpIEDgWDztpQRo1FVUHPgRFDA==" value="&quot;&quot;"/>
    <we:property name="DBd/WXkCXAUJFxpIEDgWDztpQRo1FVUHPh1fHg==" value="&quot;&quot;"/>
    <we:property name="DBd/WXkCXAUJFxpIEDgWDztpQRo1FVUHPgJZBA==" value="&quot;eQ==&quot;"/>
    <we:property name="DBd/WXkCXAUJFxpIEDgWDztpQRo1FVUHPgRaEA==" value="&quot;eQ==&quot;"/>
    <we:property name="DBd/WXkCXAUJFxpIEDgWDztpQRo1FVUHPhNYDw==" value="&quot;DD5d&quot;"/>
    <we:property name="DBd/WXkCXAUJFxpIEDgWDztpURowDW8FEx9bCTQTGhY=" value="&quot;eWYCRWlTAEVQ&quot;"/>
    <we:property name="DBd/WXkCXAUJFxpIEDgWDztpURowDW8RFBdaHDcL" value="&quot;eWYCRWlTAEVQ&quot;"/>
    <we:property name="DBd/WXkCXAUJFxpIEDgWDztpURowDW8FExNFBzQREEs=" value="&quot;eA==&quot;"/>
    <we:property name="DBd/WXkCXAUJFxpIEDgWDztpURowDW8cDwJTDz0VBQgsO10ZLwY=" value="&quot;eA==&quot;"/>
    <we:property name="DBd/WXkCXAUJFxpIEDgWDztpURowDW8WFAJCESgC" value="&quot;eA==&quot;"/>
    <we:property name="DBd/WXkCXAUJFxpIEDgWDztpURowDW8dBANEGw==" value="&quot;eA==&quot;"/>
    <we:property name="GiBXEC1REQYOGkANKjgQFC4=" value="&quot;Dhp1&quot;"/>
    <we:property name="GiBXEC1RETgADnsBNg==" value="&quot;eA==&quot;"/>
    <we:property name="GiBXEC1REToDHA==" value="&quot;&quot;"/>
    <we:property name="GiBXEC1REQYOGkANKjgbHy4=" value="&quot;eA==&quot;"/>
    <we:property name="GiBXEC1REQYOGkANKjgFCCw=" value="&quot;eWYCRWlTAEQ=&quot;"/>
    <we:property name="GiBXEC1REQYOGkANKjgGGSU=" value="&quot;eA==&quot;"/>
    <we:property name="GiBXEC1REQYOGkANKjgHFjE=" value="&quot;eQ==&quot;"/>
    <we:property name="GiBXEC1REQYOGkANKjgBFSU=" value="&quot;eWYCRA==&quot;"/>
    <we:property name="GiBXEC1REQYOGkANKjgWDC4=" value="&quot;eWYCRWlS&quot;"/>
    <we:property name="GiBXEC1REQYOGkANKjgYCSU=" value="&quot;eQ==&quot;"/>
    <we:property name="GiBXEC1REQYOGkANKjgGCTM=" value="&quot;eHgC&quot;"/>
    <we:property name="GiBXEC1REQYOGkANKjgHCS0=" value="&quot;eQ==&quot;"/>
    <we:property name="GiBXEC1REQYOGkANKjgYCD0=" value="&quot;eWYCQmw=&quot;"/>
    <we:property name="GiBXEC1REQYOGkANKjgYFCA=" value="&quot;eng=&quot;"/>
    <we:property name="GiBXEC1REQYOGkANKjgHGD8=" value="&quot;eA==&quot;"/>
    <we:property name="GiBXEC1REQYOGkANKjgbDjs=" value="&quot;ew==&quot;"/>
    <we:property name="GiBXEC1REQYOGkANKjgUGSo=" value="&quot;eWYCRWg=&quot;"/>
    <we:property name="GiBXEC1REQYOGkANKjgHHzo=" value="&quot;fA==&quot;"/>
    <we:property name="GiBXEC1REQYOGkANKjgUCDo=" value="&quot;eA==&quot;"/>
    <we:property name="GiBXEC1REQYOGkANKjgGDig=" value="&quot;eQ==&quot;"/>
    <we:property name="GiBXEC1REQYOGkANKjgYHz0=" value="&quot;ew==&quot;"/>
    <we:property name="GiBXEC1REQYOGkANKjgGFSo=" value="&quot;eQ==&quot;"/>
    <we:property name="GiBXEC1REQYOGkANKjgZCj0=" value="&quot;eQ==&quot;"/>
    <we:property name="GiBXEC1REQYOGkANKjgZCjk=" value="&quot;eQ==&quot;"/>
    <we:property name="GiBXEC1REQYOGkANKjgSGzk=" value="&quot;eWYCRWlTAEQ=&quot;"/>
    <we:property name="GiBXEC1REQYOGkANKjgcCjo=" value="&quot;eWYLTA==&quot;"/>
    <we:property name="GiBXEC1REQYOGkANKjgTHyg=" value="&quot;eWYCRWlTAEQ=&quot;"/>
    <we:property name="GiBXEC1REQYOGkANKjgcCiA=" value="&quot;eA==&quot;"/>
    <we:property name="GiBXEC1REQYOGkANKjgcCi0=" value="&quot;eg==&quot;"/>
    <we:property name="GTpdESwARFUsH05JKwgZDCw6bRssDg==" value="&quot;ew==&quot;"/>
    <we:property name="GTpdESwARFUsH05JKwgZDCw6bQc8DwE=" value="&quot;aXQPVQ==&quot;"/>
    <we:property name="GTpdESwARFUsH05JKwgZDCw6bQc8DwI=" value="&quot;aXYPVQ==&quot;"/>
    <we:property name="GTpdESwARFUsH05JKwgZDCw6bRkxEAE=" value="&quot;bQsWRGhZFDZFRwM=&quot;"/>
    <we:property name="GTpdESwARFUsH05JKwgZDCw6bQcxEAE=" value="&quot;bQoWRGhZFDdFRwM=&quot;"/>
    <we:property name="GTpdESwARFUsH05JKwgZDCw6bRkxEAI=" value="&quot;bQwWTGNHdlFY&quot;"/>
    <we:property name="GTpdESwARFUsH05JKwgZDCw6bQcxEAI=" value="&quot;eQ==&quot;"/>
    <we:property name="GTpdESwARFUsH05JDgYHEygqXhAq" value="&quot;bQwWTGNHdlFY&quot;"/>
    <we:property name="GTpdESwARFUsH05JFwUf" value="&quot;bQwWRGE=&quot;"/>
    <we:property name="GTpdESwARFUsH05JFQYNNyAm" value="&quot;eA==&quot;"/>
    <we:property name="GTpdESwARFUsH05JKwgZDCw6bRA3BA==" value="&quot;eQ==&quot;"/>
    <we:property name="GTpdESwARFUsH05JKwgZDCw6bRs8BA==" value="&quot;eA==&quot;"/>
    <we:property name="DBd/WXkCXAUJFxpIEDgWDztpQRo1FVUHPhhTDw==" value="&quot;eA==&quot;"/>
    <we:property name="DBd/WXkCXAUJFxpIEDgWDztpQRo1FVUHPhtEHA==" value="&quot;eWYCQmw=&quot;"/>
    <we:property name="DBd/WXkCXAUJFxpIEDgWDztpQRo1FVUHPhtYAQ==" value="&quot;eng=&quot;"/>
    <we:property name="DBd/WXkCXAUJFxpIEDgWDztpQRo1FVUHPhpeG20=" value="&quot;bQoWRGo=&quot;"/>
    <we:property name="DBd/WXkCXAUJFxpIEDgWDztpQRo1FVUHPgRTBG0=" value="&quot;aXYPVQ==&quot;"/>
    <we:property name="DBd/WXkCXAUJFxpIEDgWDztpQRo1FVUHPgReG20=" value="&quot;bQoWRG0=&quot;"/>
  </we:properties>
  <we:bindings>
    <we:binding id="refEdit" type="matrix" appref="{D6FD3EC3-6EC8-4CCD-89DF-FFB2C9B12AA0}"/>
    <we:binding id="Worker" type="matrix" appref="{E7CED343-7F53-46D4-88D3-4227EF6EB757}"/>
    <we:binding id="Var$B$14" type="matrix" appref="{4331C9CF-6E06-449B-97AA-E4EEEABD8DE8}"/>
    <we:binding id="Var$B$17" type="matrix" appref="{056146B7-F384-447C-AA2E-6149885780AD}"/>
    <we:binding id="Var$B$15" type="matrix" appref="{4E1C0F94-B463-4968-94DC-A7C9527A5F30}"/>
    <we:binding id="Var$B$18" type="matrix" appref="{9F27B2B0-0069-4579-BF57-FEC2F23BE67C}"/>
    <we:binding id="Sheet2refEdit" type="matrix" appref="{738F4DB0-0990-4D9C-BB4E-609DCAB8882F}"/>
    <we:binding id="Sheet2Worker" type="matrix" appref="{0141DFA1-6BDF-4AE9-807C-9E2FE34201D9}"/>
    <we:binding id="Var$D$9:$F$9" type="matrix" appref="{8D9CD32A-E826-438C-98B1-83B8B9394E5D}"/>
    <we:binding id="Product MixrefEdit" type="matrix" appref="{998F7985-7866-41C8-A6F5-5C310B054A0B}"/>
    <we:binding id="Product MixWorker" type="matrix" appref="{BB5928C7-E468-448A-94BA-E85F6775093B}"/>
    <we:binding id="Var0" type="matrix" appref="{BD73BD8A-A7FE-40F0-B67A-FF86379BD1E4}"/>
    <we:binding id="1Var0" type="matrix" appref="{34023B5D-73A7-46EB-8C29-CFFAEA1EC154}"/>
    <we:binding id="2Var0" type="matrix" appref="{0F2AE789-1381-438D-83BB-E0C2BFDE06A9}"/>
    <we:binding id="Obj" type="matrix" appref="{99C3A037-A95F-48F0-9736-873EE667611F}"/>
    <we:binding id="E_M, alpha, H_currefEdit" type="matrix" appref="{A96B0EA8-4214-4FBA-A3AE-14B087C2DD13}"/>
    <we:binding id="E_M, alpha, H_curWorker" type="matrix" appref="{28AA69A5-DFFE-4B2C-822D-3001935522B2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58A8-8AD1-46D1-9135-1155AFE94C1D}">
  <dimension ref="A1:E45"/>
  <sheetViews>
    <sheetView topLeftCell="B1" workbookViewId="0">
      <selection activeCell="B11" sqref="B11"/>
    </sheetView>
  </sheetViews>
  <sheetFormatPr defaultRowHeight="14.25" x14ac:dyDescent="0.45"/>
  <cols>
    <col min="1" max="1" width="10.9296875" customWidth="1"/>
    <col min="3" max="3" width="12" customWidth="1"/>
    <col min="4" max="4" width="61.59765625" customWidth="1"/>
  </cols>
  <sheetData>
    <row r="1" spans="1:5" x14ac:dyDescent="0.45">
      <c r="A1" s="10" t="s">
        <v>51</v>
      </c>
      <c r="B1" s="10"/>
      <c r="C1" s="10"/>
    </row>
    <row r="2" spans="1:5" x14ac:dyDescent="0.45">
      <c r="A2" s="1" t="s">
        <v>8</v>
      </c>
      <c r="B2" s="1" t="s">
        <v>9</v>
      </c>
      <c r="C2" s="1" t="s">
        <v>10</v>
      </c>
      <c r="D2" s="1" t="s">
        <v>11</v>
      </c>
    </row>
    <row r="3" spans="1:5" x14ac:dyDescent="0.45">
      <c r="A3" t="s">
        <v>12</v>
      </c>
      <c r="B3" s="2">
        <v>17390000000</v>
      </c>
      <c r="C3" t="s">
        <v>26</v>
      </c>
      <c r="D3" t="s">
        <v>34</v>
      </c>
    </row>
    <row r="4" spans="1:5" x14ac:dyDescent="0.45">
      <c r="A4" t="s">
        <v>13</v>
      </c>
      <c r="B4" s="2">
        <v>54514000000</v>
      </c>
      <c r="C4" t="s">
        <v>26</v>
      </c>
      <c r="D4" t="s">
        <v>33</v>
      </c>
      <c r="E4" s="2"/>
    </row>
    <row r="5" spans="1:5" x14ac:dyDescent="0.45">
      <c r="A5" t="s">
        <v>3</v>
      </c>
      <c r="B5">
        <f>180+273.15</f>
        <v>453.15</v>
      </c>
      <c r="C5" t="s">
        <v>27</v>
      </c>
      <c r="D5" t="s">
        <v>36</v>
      </c>
    </row>
    <row r="6" spans="1:5" x14ac:dyDescent="0.45">
      <c r="A6" t="s">
        <v>4</v>
      </c>
      <c r="B6">
        <f>B5-5</f>
        <v>448.15</v>
      </c>
      <c r="C6" t="s">
        <v>27</v>
      </c>
      <c r="D6" t="s">
        <v>36</v>
      </c>
    </row>
    <row r="7" spans="1:5" x14ac:dyDescent="0.45">
      <c r="A7" t="s">
        <v>5</v>
      </c>
      <c r="B7">
        <f>208+273.15</f>
        <v>481.15</v>
      </c>
      <c r="C7" t="s">
        <v>27</v>
      </c>
      <c r="D7" t="s">
        <v>36</v>
      </c>
    </row>
    <row r="8" spans="1:5" x14ac:dyDescent="0.45">
      <c r="A8" t="s">
        <v>6</v>
      </c>
      <c r="B8">
        <f>B7+5</f>
        <v>486.15</v>
      </c>
      <c r="C8" t="s">
        <v>27</v>
      </c>
      <c r="D8" t="s">
        <v>36</v>
      </c>
    </row>
    <row r="9" spans="1:5" x14ac:dyDescent="0.45">
      <c r="A9" t="s">
        <v>14</v>
      </c>
      <c r="B9" s="2">
        <v>16540000</v>
      </c>
      <c r="C9" t="s">
        <v>28</v>
      </c>
      <c r="D9" t="s">
        <v>35</v>
      </c>
    </row>
    <row r="10" spans="1:5" x14ac:dyDescent="0.45">
      <c r="A10" t="s">
        <v>15</v>
      </c>
      <c r="B10" s="2">
        <v>16250000</v>
      </c>
      <c r="C10" t="s">
        <v>28</v>
      </c>
      <c r="D10" t="s">
        <v>35</v>
      </c>
    </row>
    <row r="11" spans="1:5" x14ac:dyDescent="0.45">
      <c r="A11" t="s">
        <v>16</v>
      </c>
      <c r="B11">
        <v>0</v>
      </c>
      <c r="C11" t="s">
        <v>30</v>
      </c>
      <c r="D11" t="s">
        <v>57</v>
      </c>
    </row>
    <row r="12" spans="1:5" x14ac:dyDescent="0.45">
      <c r="A12" t="s">
        <v>17</v>
      </c>
      <c r="B12">
        <v>1.6959999999999999E-2</v>
      </c>
      <c r="C12" t="s">
        <v>30</v>
      </c>
      <c r="D12" t="s">
        <v>34</v>
      </c>
    </row>
    <row r="13" spans="1:5" x14ac:dyDescent="0.45">
      <c r="A13" t="s">
        <v>18</v>
      </c>
      <c r="B13" s="2">
        <v>1.261E-8</v>
      </c>
      <c r="C13" t="s">
        <v>31</v>
      </c>
      <c r="D13" t="s">
        <v>34</v>
      </c>
    </row>
    <row r="14" spans="1:5" x14ac:dyDescent="0.45">
      <c r="A14" t="s">
        <v>19</v>
      </c>
      <c r="B14" s="2">
        <v>0</v>
      </c>
      <c r="C14" t="s">
        <v>26</v>
      </c>
      <c r="D14" t="s">
        <v>57</v>
      </c>
    </row>
    <row r="15" spans="1:5" x14ac:dyDescent="0.45">
      <c r="A15" t="s">
        <v>24</v>
      </c>
      <c r="B15" s="2">
        <v>8.8179999999999993E-6</v>
      </c>
      <c r="C15" t="s">
        <v>25</v>
      </c>
      <c r="D15" t="s">
        <v>34</v>
      </c>
    </row>
    <row r="16" spans="1:5" x14ac:dyDescent="0.45">
      <c r="A16" t="s">
        <v>20</v>
      </c>
      <c r="B16" s="2">
        <v>1</v>
      </c>
      <c r="C16" t="s">
        <v>29</v>
      </c>
      <c r="D16" t="s">
        <v>32</v>
      </c>
    </row>
    <row r="17" spans="1:4" x14ac:dyDescent="0.45">
      <c r="A17" t="s">
        <v>21</v>
      </c>
      <c r="B17" s="2">
        <v>1</v>
      </c>
      <c r="C17" t="s">
        <v>29</v>
      </c>
      <c r="D17" t="s">
        <v>32</v>
      </c>
    </row>
    <row r="18" spans="1:4" x14ac:dyDescent="0.45">
      <c r="A18" t="s">
        <v>22</v>
      </c>
      <c r="B18" s="2">
        <v>1</v>
      </c>
      <c r="C18" t="s">
        <v>29</v>
      </c>
      <c r="D18" t="s">
        <v>32</v>
      </c>
    </row>
    <row r="19" spans="1:4" x14ac:dyDescent="0.45">
      <c r="A19" t="s">
        <v>23</v>
      </c>
      <c r="B19" s="2">
        <v>1</v>
      </c>
      <c r="C19" t="s">
        <v>29</v>
      </c>
      <c r="D19" t="s">
        <v>32</v>
      </c>
    </row>
    <row r="22" spans="1:4" x14ac:dyDescent="0.45">
      <c r="A22" s="10" t="s">
        <v>52</v>
      </c>
      <c r="B22" s="10"/>
      <c r="C22" s="10"/>
    </row>
    <row r="23" spans="1:4" x14ac:dyDescent="0.45">
      <c r="A23" s="1" t="s">
        <v>8</v>
      </c>
      <c r="B23" s="1" t="s">
        <v>9</v>
      </c>
      <c r="C23" s="1" t="s">
        <v>10</v>
      </c>
      <c r="D23" s="1"/>
    </row>
    <row r="24" spans="1:4" x14ac:dyDescent="0.45">
      <c r="A24" t="s">
        <v>12</v>
      </c>
      <c r="B24" s="2">
        <v>18800000000</v>
      </c>
      <c r="C24" t="s">
        <v>26</v>
      </c>
    </row>
    <row r="25" spans="1:4" x14ac:dyDescent="0.45">
      <c r="A25" t="s">
        <v>13</v>
      </c>
      <c r="B25" s="2">
        <v>54500000000</v>
      </c>
      <c r="C25" t="s">
        <v>26</v>
      </c>
    </row>
    <row r="26" spans="1:4" x14ac:dyDescent="0.45">
      <c r="A26" t="s">
        <v>3</v>
      </c>
      <c r="B26">
        <v>452.18</v>
      </c>
      <c r="C26" t="s">
        <v>27</v>
      </c>
    </row>
    <row r="27" spans="1:4" x14ac:dyDescent="0.45">
      <c r="A27" t="s">
        <v>4</v>
      </c>
      <c r="B27">
        <v>430.86</v>
      </c>
      <c r="C27" t="s">
        <v>27</v>
      </c>
    </row>
    <row r="28" spans="1:4" x14ac:dyDescent="0.45">
      <c r="A28" t="s">
        <v>5</v>
      </c>
      <c r="B28">
        <v>467.22</v>
      </c>
      <c r="C28" t="s">
        <v>27</v>
      </c>
    </row>
    <row r="29" spans="1:4" x14ac:dyDescent="0.45">
      <c r="A29" t="s">
        <v>6</v>
      </c>
      <c r="B29">
        <v>494.29</v>
      </c>
      <c r="C29" t="s">
        <v>27</v>
      </c>
    </row>
    <row r="30" spans="1:4" x14ac:dyDescent="0.45">
      <c r="A30" t="s">
        <v>14</v>
      </c>
      <c r="B30" s="2">
        <v>11060000</v>
      </c>
      <c r="C30" t="s">
        <v>28</v>
      </c>
    </row>
    <row r="31" spans="1:4" x14ac:dyDescent="0.45">
      <c r="A31" t="s">
        <v>15</v>
      </c>
      <c r="B31" s="2">
        <v>14100000</v>
      </c>
      <c r="C31" t="s">
        <v>28</v>
      </c>
    </row>
    <row r="32" spans="1:4" x14ac:dyDescent="0.45">
      <c r="A32" t="s">
        <v>16</v>
      </c>
      <c r="B32">
        <v>0</v>
      </c>
      <c r="C32" t="s">
        <v>30</v>
      </c>
    </row>
    <row r="33" spans="1:3" x14ac:dyDescent="0.45">
      <c r="A33" t="s">
        <v>17</v>
      </c>
      <c r="B33">
        <v>1.5980000000000001E-2</v>
      </c>
      <c r="C33" t="s">
        <v>30</v>
      </c>
    </row>
    <row r="34" spans="1:3" x14ac:dyDescent="0.45">
      <c r="A34" t="s">
        <v>18</v>
      </c>
      <c r="B34" s="2">
        <v>1.4100000000000001E-8</v>
      </c>
      <c r="C34" t="s">
        <v>31</v>
      </c>
    </row>
    <row r="35" spans="1:3" x14ac:dyDescent="0.45">
      <c r="A35" t="s">
        <v>19</v>
      </c>
      <c r="B35" s="2">
        <v>0</v>
      </c>
      <c r="C35" t="s">
        <v>26</v>
      </c>
    </row>
    <row r="36" spans="1:3" x14ac:dyDescent="0.45">
      <c r="A36" t="s">
        <v>24</v>
      </c>
      <c r="B36" s="2">
        <v>4.4700000000000004E-6</v>
      </c>
      <c r="C36" t="s">
        <v>25</v>
      </c>
    </row>
    <row r="37" spans="1:3" x14ac:dyDescent="0.45">
      <c r="A37" t="s">
        <v>20</v>
      </c>
      <c r="B37" s="2">
        <v>1</v>
      </c>
      <c r="C37" t="s">
        <v>29</v>
      </c>
    </row>
    <row r="38" spans="1:3" x14ac:dyDescent="0.45">
      <c r="A38" t="s">
        <v>21</v>
      </c>
      <c r="B38" s="2">
        <v>0.34</v>
      </c>
      <c r="C38" t="s">
        <v>29</v>
      </c>
    </row>
    <row r="39" spans="1:3" x14ac:dyDescent="0.45">
      <c r="A39" t="s">
        <v>22</v>
      </c>
      <c r="B39" s="2">
        <v>0.36</v>
      </c>
      <c r="C39" t="s">
        <v>29</v>
      </c>
    </row>
    <row r="40" spans="1:3" x14ac:dyDescent="0.45">
      <c r="A40" t="s">
        <v>23</v>
      </c>
      <c r="B40" s="2">
        <v>0.5</v>
      </c>
      <c r="C40" t="s">
        <v>29</v>
      </c>
    </row>
    <row r="43" spans="1:3" x14ac:dyDescent="0.45">
      <c r="A43" t="s">
        <v>53</v>
      </c>
      <c r="B43" s="2">
        <v>9.9999999999999995E-7</v>
      </c>
    </row>
    <row r="44" spans="1:3" x14ac:dyDescent="0.45">
      <c r="A44" t="s">
        <v>54</v>
      </c>
      <c r="B44" s="2">
        <v>100000000</v>
      </c>
    </row>
    <row r="45" spans="1:3" x14ac:dyDescent="0.45">
      <c r="A45" t="s">
        <v>55</v>
      </c>
      <c r="B45" s="2">
        <v>1E-4</v>
      </c>
    </row>
  </sheetData>
  <mergeCells count="2">
    <mergeCell ref="A1:C1"/>
    <mergeCell ref="A22:C22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738F4DB0-0990-4D9C-BB4E-609DCAB8882F}">
          <xm:f>#REF!</xm:f>
        </x15:webExtension>
        <x15:webExtension appRef="{0141DFA1-6BDF-4AE9-807C-9E2FE34201D9}">
          <xm:f>#REF!</xm:f>
        </x15:webExtension>
        <x15:webExtension appRef="{8D9CD32A-E826-438C-98B1-83B8B9394E5D}">
          <xm:f>#REF!</xm:f>
        </x15:webExtension>
        <x15:webExtension appRef="{998F7985-7866-41C8-A6F5-5C310B054A0B}">
          <xm:f>#REF!</xm:f>
        </x15:webExtension>
        <x15:webExtension appRef="{BB5928C7-E468-448A-94BA-E85F6775093B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E00C-5529-4307-9FE7-F3D1BFCE156B}">
  <dimension ref="A1:E13"/>
  <sheetViews>
    <sheetView tabSelected="1" workbookViewId="0">
      <selection activeCell="E8" sqref="E8"/>
    </sheetView>
  </sheetViews>
  <sheetFormatPr defaultRowHeight="14.25" x14ac:dyDescent="0.45"/>
  <cols>
    <col min="4" max="4" width="9.730468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56</v>
      </c>
    </row>
    <row r="2" spans="1:5" x14ac:dyDescent="0.45">
      <c r="A2">
        <v>400</v>
      </c>
      <c r="B2">
        <v>0.65469999999999995</v>
      </c>
      <c r="C2">
        <f>B2/100</f>
        <v>6.5469999999999999E-3</v>
      </c>
      <c r="D2">
        <f>A2*1000000</f>
        <v>400000000</v>
      </c>
    </row>
    <row r="3" spans="1:5" x14ac:dyDescent="0.45">
      <c r="A3">
        <v>300</v>
      </c>
      <c r="B3">
        <v>0.51380000000000003</v>
      </c>
      <c r="C3">
        <f t="shared" ref="C3:C7" si="0">B3/100</f>
        <v>5.1380000000000002E-3</v>
      </c>
      <c r="D3">
        <f t="shared" ref="D3:D7" si="1">A3*1000000</f>
        <v>300000000</v>
      </c>
    </row>
    <row r="4" spans="1:5" x14ac:dyDescent="0.45">
      <c r="A4">
        <v>200</v>
      </c>
      <c r="B4">
        <v>0.38369999999999999</v>
      </c>
      <c r="C4">
        <f t="shared" si="0"/>
        <v>3.8369999999999997E-3</v>
      </c>
      <c r="D4">
        <f t="shared" si="1"/>
        <v>200000000</v>
      </c>
    </row>
    <row r="5" spans="1:5" x14ac:dyDescent="0.45">
      <c r="A5">
        <v>100</v>
      </c>
      <c r="B5">
        <v>0.2621</v>
      </c>
      <c r="C5">
        <f t="shared" si="0"/>
        <v>2.6210000000000001E-3</v>
      </c>
      <c r="D5">
        <f t="shared" si="1"/>
        <v>100000000</v>
      </c>
    </row>
    <row r="6" spans="1:5" x14ac:dyDescent="0.45">
      <c r="A6">
        <v>50</v>
      </c>
      <c r="B6">
        <v>0.20419999999999999</v>
      </c>
      <c r="C6">
        <f t="shared" si="0"/>
        <v>2.042E-3</v>
      </c>
      <c r="D6">
        <f t="shared" si="1"/>
        <v>50000000</v>
      </c>
    </row>
    <row r="7" spans="1:5" x14ac:dyDescent="0.45">
      <c r="A7">
        <v>7</v>
      </c>
      <c r="B7">
        <v>0.14967</v>
      </c>
      <c r="C7">
        <f t="shared" si="0"/>
        <v>1.4966999999999999E-3</v>
      </c>
      <c r="D7">
        <f t="shared" si="1"/>
        <v>7000000</v>
      </c>
    </row>
    <row r="11" spans="1:5" x14ac:dyDescent="0.45">
      <c r="A11" t="s">
        <v>3</v>
      </c>
      <c r="B11" t="s">
        <v>4</v>
      </c>
      <c r="C11" t="s">
        <v>5</v>
      </c>
      <c r="D11" t="s">
        <v>6</v>
      </c>
      <c r="E11" t="s">
        <v>7</v>
      </c>
    </row>
    <row r="12" spans="1:5" x14ac:dyDescent="0.45">
      <c r="A12">
        <v>180</v>
      </c>
      <c r="B12">
        <v>175</v>
      </c>
      <c r="C12">
        <v>208</v>
      </c>
      <c r="D12">
        <v>213</v>
      </c>
      <c r="E12">
        <v>0</v>
      </c>
    </row>
    <row r="13" spans="1:5" x14ac:dyDescent="0.45">
      <c r="A13">
        <v>210</v>
      </c>
      <c r="B13">
        <v>188</v>
      </c>
      <c r="C13">
        <v>223</v>
      </c>
      <c r="D13">
        <v>237</v>
      </c>
      <c r="E13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7A22-FC42-4238-A395-9AE3846A408C}">
  <dimension ref="A1:XFD1048575"/>
  <sheetViews>
    <sheetView workbookViewId="0">
      <selection activeCell="E11" sqref="E11"/>
    </sheetView>
  </sheetViews>
  <sheetFormatPr defaultRowHeight="14.25" x14ac:dyDescent="0.45"/>
  <cols>
    <col min="1" max="1" width="10.86328125" bestFit="1" customWidth="1"/>
    <col min="2" max="2" width="8.3984375" bestFit="1" customWidth="1"/>
    <col min="3" max="3" width="8.46484375" bestFit="1" customWidth="1"/>
    <col min="4" max="4" width="10.73046875" bestFit="1" customWidth="1"/>
    <col min="5" max="5" width="16.59765625" bestFit="1" customWidth="1"/>
    <col min="6" max="6" width="8.6640625" bestFit="1" customWidth="1"/>
    <col min="7" max="7" width="8.73046875" bestFit="1" customWidth="1"/>
    <col min="8" max="8" width="11" bestFit="1" customWidth="1"/>
    <col min="9" max="9" width="16.9296875" bestFit="1" customWidth="1"/>
    <col min="10" max="10" width="23.06640625" bestFit="1" customWidth="1"/>
    <col min="11" max="11" width="27.6640625" bestFit="1" customWidth="1"/>
    <col min="12" max="12" width="20.33203125" style="7" bestFit="1" customWidth="1"/>
  </cols>
  <sheetData>
    <row r="1" spans="1:14" s="3" customFormat="1" x14ac:dyDescent="0.45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47</v>
      </c>
      <c r="G1" s="3" t="s">
        <v>46</v>
      </c>
      <c r="H1" s="3" t="s">
        <v>44</v>
      </c>
      <c r="I1" s="3" t="s">
        <v>45</v>
      </c>
      <c r="J1" s="3" t="s">
        <v>38</v>
      </c>
      <c r="K1" s="3" t="s">
        <v>39</v>
      </c>
      <c r="L1" s="6" t="s">
        <v>48</v>
      </c>
    </row>
    <row r="2" spans="1:14" x14ac:dyDescent="0.45">
      <c r="A2" s="4">
        <v>400</v>
      </c>
      <c r="B2" s="4">
        <v>30.649000000000001</v>
      </c>
      <c r="C2" s="4">
        <f>B2+273.15</f>
        <v>303.79899999999998</v>
      </c>
      <c r="D2" s="4">
        <v>3.6116999999999999</v>
      </c>
      <c r="E2" s="4">
        <f>D2/100</f>
        <v>3.6116999999999996E-2</v>
      </c>
      <c r="F2" s="4">
        <v>349.87799999999999</v>
      </c>
      <c r="G2" s="4">
        <f>F2+273.15</f>
        <v>623.02800000000002</v>
      </c>
      <c r="H2" s="4">
        <v>0.65469999999999995</v>
      </c>
      <c r="I2" s="4">
        <f>H2/100</f>
        <v>6.5469999999999999E-3</v>
      </c>
      <c r="J2" s="5">
        <f>E2-I2</f>
        <v>2.9569999999999996E-2</v>
      </c>
      <c r="K2" s="5">
        <f>A2*1000000*(1/$B$14-1/$B$13)+$B$15*(C2-G2) + $B$16 + ($B$17-$B$16)*(1-EXP(-$B$18*(A2*1000000-$B$19)))</f>
        <v>2.9699842675515644E-2</v>
      </c>
      <c r="L2" s="7">
        <f>(J2-K2)^2</f>
        <v>1.6859120385061969E-8</v>
      </c>
    </row>
    <row r="3" spans="1:14" x14ac:dyDescent="0.45">
      <c r="A3" s="4">
        <v>300</v>
      </c>
      <c r="B3" s="4">
        <v>30.608000000000001</v>
      </c>
      <c r="C3" s="4">
        <f t="shared" ref="C3:C7" si="0">B3+273.15</f>
        <v>303.75799999999998</v>
      </c>
      <c r="D3" s="4">
        <v>3.0707</v>
      </c>
      <c r="E3" s="4">
        <f t="shared" ref="E3:E7" si="1">D3/100</f>
        <v>3.0706999999999998E-2</v>
      </c>
      <c r="F3" s="4">
        <v>349.83199999999999</v>
      </c>
      <c r="G3" s="4">
        <f t="shared" ref="G3:G7" si="2">F3+273.15</f>
        <v>622.98199999999997</v>
      </c>
      <c r="H3" s="4">
        <v>0.51380000000000003</v>
      </c>
      <c r="I3" s="4">
        <f t="shared" ref="I3:I7" si="3">H3/100</f>
        <v>5.1380000000000002E-3</v>
      </c>
      <c r="J3" s="5">
        <f t="shared" ref="J3:J7" si="4">E3-I3</f>
        <v>2.5568999999999998E-2</v>
      </c>
      <c r="K3" s="5">
        <f t="shared" ref="K3:K7" si="5">A3*1000000*(1/$B$14-1/$B$13)+$B$15*(C3-G3) + $B$16 + ($B$17-$B$16)*(1-EXP(-$B$18*(A3*1000000-$B$19)))</f>
        <v>2.5507289750204932E-2</v>
      </c>
      <c r="L3" s="7">
        <f t="shared" ref="L3:L7" si="6">(J3-K3)^2</f>
        <v>3.8081549297694583E-9</v>
      </c>
    </row>
    <row r="4" spans="1:14" x14ac:dyDescent="0.45">
      <c r="A4" s="4">
        <v>200</v>
      </c>
      <c r="B4" s="4">
        <v>30.65</v>
      </c>
      <c r="C4" s="4">
        <f t="shared" si="0"/>
        <v>303.79999999999995</v>
      </c>
      <c r="D4" s="4">
        <v>2.4472800000000001</v>
      </c>
      <c r="E4" s="4">
        <f t="shared" si="1"/>
        <v>2.4472800000000003E-2</v>
      </c>
      <c r="F4" s="4">
        <v>349.83199999999999</v>
      </c>
      <c r="G4" s="4">
        <f t="shared" si="2"/>
        <v>622.98199999999997</v>
      </c>
      <c r="H4" s="4">
        <v>0.38369999999999999</v>
      </c>
      <c r="I4" s="4">
        <f t="shared" si="3"/>
        <v>3.8369999999999997E-3</v>
      </c>
      <c r="J4" s="5">
        <f t="shared" si="4"/>
        <v>2.0635800000000003E-2</v>
      </c>
      <c r="K4" s="5">
        <f t="shared" si="5"/>
        <v>2.0615664889565621E-2</v>
      </c>
      <c r="L4" s="7">
        <f t="shared" si="6"/>
        <v>4.0542267220473374E-10</v>
      </c>
    </row>
    <row r="5" spans="1:14" x14ac:dyDescent="0.45">
      <c r="A5" s="4">
        <v>100</v>
      </c>
      <c r="B5" s="4">
        <v>30.608000000000001</v>
      </c>
      <c r="C5" s="4">
        <f t="shared" si="0"/>
        <v>303.75799999999998</v>
      </c>
      <c r="D5" s="4">
        <v>1.5951</v>
      </c>
      <c r="E5" s="4">
        <f t="shared" si="1"/>
        <v>1.5951E-2</v>
      </c>
      <c r="F5" s="4">
        <v>349.83199999999999</v>
      </c>
      <c r="G5" s="4">
        <f t="shared" si="2"/>
        <v>622.98199999999997</v>
      </c>
      <c r="H5" s="4">
        <v>0.2621</v>
      </c>
      <c r="I5" s="4">
        <f t="shared" si="3"/>
        <v>2.6210000000000001E-3</v>
      </c>
      <c r="J5" s="5">
        <f t="shared" si="4"/>
        <v>1.333E-2</v>
      </c>
      <c r="K5" s="5">
        <f t="shared" si="5"/>
        <v>1.3255158963042808E-2</v>
      </c>
      <c r="L5" s="7">
        <f t="shared" si="6"/>
        <v>5.6011808128277214E-9</v>
      </c>
    </row>
    <row r="6" spans="1:14" x14ac:dyDescent="0.45">
      <c r="A6" s="4">
        <v>50</v>
      </c>
      <c r="B6" s="4">
        <v>30.745000000000001</v>
      </c>
      <c r="C6" s="4">
        <f t="shared" si="0"/>
        <v>303.89499999999998</v>
      </c>
      <c r="D6" s="4">
        <v>0.91459999999999997</v>
      </c>
      <c r="E6" s="4">
        <f t="shared" si="1"/>
        <v>9.1459999999999996E-3</v>
      </c>
      <c r="F6" s="4">
        <v>349.87799999999999</v>
      </c>
      <c r="G6" s="4">
        <f t="shared" si="2"/>
        <v>623.02800000000002</v>
      </c>
      <c r="H6" s="4">
        <v>0.20419999999999999</v>
      </c>
      <c r="I6" s="4">
        <f t="shared" si="3"/>
        <v>2.042E-3</v>
      </c>
      <c r="J6" s="5">
        <f t="shared" si="4"/>
        <v>7.1039999999999992E-3</v>
      </c>
      <c r="K6" s="5">
        <f t="shared" si="5"/>
        <v>7.0756635688761157E-3</v>
      </c>
      <c r="L6" s="7">
        <f t="shared" si="6"/>
        <v>8.0295332883859091E-10</v>
      </c>
    </row>
    <row r="7" spans="1:14" x14ac:dyDescent="0.45">
      <c r="A7" s="4">
        <v>7</v>
      </c>
      <c r="B7" s="4">
        <v>30.714099999999998</v>
      </c>
      <c r="C7" s="4">
        <f t="shared" si="0"/>
        <v>303.86409999999995</v>
      </c>
      <c r="D7" s="4">
        <v>3.78E-2</v>
      </c>
      <c r="E7" s="4">
        <f t="shared" si="1"/>
        <v>3.7800000000000003E-4</v>
      </c>
      <c r="F7" s="4">
        <v>350.01600000000002</v>
      </c>
      <c r="G7" s="4">
        <f t="shared" si="2"/>
        <v>623.16599999999994</v>
      </c>
      <c r="H7" s="4">
        <v>0.1497</v>
      </c>
      <c r="I7" s="4">
        <f t="shared" si="3"/>
        <v>1.4970000000000001E-3</v>
      </c>
      <c r="J7" s="5">
        <f t="shared" si="4"/>
        <v>-1.119E-3</v>
      </c>
      <c r="K7" s="5">
        <f t="shared" si="5"/>
        <v>-1.1085929291118296E-3</v>
      </c>
      <c r="L7" s="7">
        <f t="shared" si="6"/>
        <v>1.0830712447140324E-10</v>
      </c>
    </row>
    <row r="9" spans="1:14" x14ac:dyDescent="0.45">
      <c r="K9" s="1" t="s">
        <v>49</v>
      </c>
      <c r="L9" s="7">
        <f>SQRT(AVERAGE(L2:L7))</f>
        <v>6.7805038226243276E-5</v>
      </c>
    </row>
    <row r="11" spans="1:14" s="1" customFormat="1" x14ac:dyDescent="0.45">
      <c r="A11" s="10" t="s">
        <v>50</v>
      </c>
      <c r="B11" s="10"/>
      <c r="C11" s="10"/>
      <c r="D11" s="8"/>
      <c r="E11" s="8"/>
      <c r="G11" s="10"/>
      <c r="H11" s="10"/>
      <c r="I11" s="10"/>
      <c r="N11" s="9"/>
    </row>
    <row r="12" spans="1:14" s="1" customFormat="1" x14ac:dyDescent="0.45">
      <c r="A12" s="1" t="s">
        <v>37</v>
      </c>
      <c r="B12" s="1" t="s">
        <v>9</v>
      </c>
      <c r="C12" s="1" t="s">
        <v>10</v>
      </c>
      <c r="N12" s="9"/>
    </row>
    <row r="13" spans="1:14" x14ac:dyDescent="0.45">
      <c r="A13" t="s">
        <v>13</v>
      </c>
      <c r="B13" s="2">
        <v>54514000000</v>
      </c>
      <c r="C13" t="s">
        <v>26</v>
      </c>
      <c r="D13" s="2"/>
      <c r="E13" s="2"/>
      <c r="H13" s="2"/>
      <c r="L13"/>
      <c r="N13" s="7"/>
    </row>
    <row r="14" spans="1:14" x14ac:dyDescent="0.45">
      <c r="A14" t="s">
        <v>12</v>
      </c>
      <c r="B14" s="2">
        <v>17390000000</v>
      </c>
      <c r="C14" t="s">
        <v>26</v>
      </c>
      <c r="D14" s="2"/>
      <c r="E14" s="2"/>
      <c r="H14" s="2"/>
      <c r="L14"/>
      <c r="N14" s="7"/>
    </row>
    <row r="15" spans="1:14" x14ac:dyDescent="0.45">
      <c r="A15" t="s">
        <v>24</v>
      </c>
      <c r="B15" s="2">
        <v>8.8179999999999993E-6</v>
      </c>
      <c r="C15" t="s">
        <v>25</v>
      </c>
      <c r="D15" s="2"/>
      <c r="E15" s="2"/>
      <c r="H15" s="2"/>
      <c r="L15"/>
      <c r="N15" s="7"/>
    </row>
    <row r="16" spans="1:14" x14ac:dyDescent="0.45">
      <c r="A16" t="s">
        <v>16</v>
      </c>
      <c r="B16" s="2">
        <v>0</v>
      </c>
      <c r="C16" t="s">
        <v>30</v>
      </c>
      <c r="D16" s="2"/>
      <c r="E16" s="2"/>
      <c r="H16" s="2"/>
      <c r="L16"/>
      <c r="N16" s="7"/>
    </row>
    <row r="17" spans="1:14" x14ac:dyDescent="0.45">
      <c r="A17" t="s">
        <v>17</v>
      </c>
      <c r="B17" s="2">
        <v>1.6959999999999999E-2</v>
      </c>
      <c r="C17" t="s">
        <v>30</v>
      </c>
      <c r="D17" s="2"/>
      <c r="E17" s="2"/>
      <c r="H17" s="2"/>
      <c r="L17"/>
      <c r="N17" s="7"/>
    </row>
    <row r="18" spans="1:14" x14ac:dyDescent="0.45">
      <c r="A18" t="s">
        <v>18</v>
      </c>
      <c r="B18" s="2">
        <v>1.261E-8</v>
      </c>
      <c r="C18" t="s">
        <v>31</v>
      </c>
      <c r="D18" s="2"/>
      <c r="E18" s="2"/>
      <c r="H18" s="2"/>
      <c r="L18"/>
      <c r="N18" s="7"/>
    </row>
    <row r="19" spans="1:14" x14ac:dyDescent="0.45">
      <c r="A19" t="s">
        <v>19</v>
      </c>
      <c r="B19" s="2">
        <v>0</v>
      </c>
      <c r="C19" t="s">
        <v>26</v>
      </c>
      <c r="D19" s="2"/>
      <c r="E19" s="2"/>
      <c r="H19" s="2"/>
      <c r="L19"/>
      <c r="N19" s="7"/>
    </row>
    <row r="1048550" spans="16384:16384" x14ac:dyDescent="0.45">
      <c r="XFD1048550">
        <f>solver_pre</f>
        <v>9.9999999999999995E-7</v>
      </c>
    </row>
    <row r="1048551" spans="16384:16384" x14ac:dyDescent="0.45">
      <c r="XFD1048551">
        <f>solver_scl</f>
        <v>1</v>
      </c>
    </row>
    <row r="1048552" spans="16384:16384" x14ac:dyDescent="0.45">
      <c r="XFD1048552">
        <f>solver_rlx</f>
        <v>2</v>
      </c>
    </row>
    <row r="1048553" spans="16384:16384" x14ac:dyDescent="0.45">
      <c r="XFD1048553">
        <f>solver_tol</f>
        <v>0.01</v>
      </c>
    </row>
    <row r="1048554" spans="16384:16384" x14ac:dyDescent="0.45">
      <c r="XFD1048554">
        <f>solver_cvg</f>
        <v>1E-4</v>
      </c>
    </row>
    <row r="1048555" spans="16384:16384" x14ac:dyDescent="0.45">
      <c r="XFD1048555" t="e">
        <f>AREAS(solver_adj1)</f>
        <v>#NAME?</v>
      </c>
    </row>
    <row r="1048556" spans="16384:16384" x14ac:dyDescent="0.45">
      <c r="XFD1048556">
        <f>solver_ssz</f>
        <v>100</v>
      </c>
    </row>
    <row r="1048557" spans="16384:16384" x14ac:dyDescent="0.45">
      <c r="XFD1048557">
        <f>solver_rsd</f>
        <v>0</v>
      </c>
    </row>
    <row r="1048558" spans="16384:16384" x14ac:dyDescent="0.45">
      <c r="XFD1048558">
        <f>solver_mrt</f>
        <v>7.4999999999999997E-2</v>
      </c>
    </row>
    <row r="1048559" spans="16384:16384" x14ac:dyDescent="0.45">
      <c r="XFD1048559">
        <f>solver_mni</f>
        <v>30</v>
      </c>
    </row>
    <row r="1048560" spans="16384:16384" x14ac:dyDescent="0.45">
      <c r="XFD1048560">
        <f>solver_rbv</f>
        <v>2</v>
      </c>
    </row>
    <row r="1048561" spans="16384:16384" x14ac:dyDescent="0.45">
      <c r="XFD1048561">
        <f>solver_neg</f>
        <v>1</v>
      </c>
    </row>
    <row r="1048562" spans="16384:16384" x14ac:dyDescent="0.45">
      <c r="XFD1048562" t="e">
        <f>solver_ntr</f>
        <v>#NAME?</v>
      </c>
    </row>
    <row r="1048563" spans="16384:16384" x14ac:dyDescent="0.45">
      <c r="XFD1048563" t="e">
        <f>solver_acc</f>
        <v>#NAME?</v>
      </c>
    </row>
    <row r="1048564" spans="16384:16384" x14ac:dyDescent="0.45">
      <c r="XFD1048564" t="e">
        <f>solver_res</f>
        <v>#NAME?</v>
      </c>
    </row>
    <row r="1048565" spans="16384:16384" x14ac:dyDescent="0.45">
      <c r="XFD1048565" t="e">
        <f>solver_ars</f>
        <v>#NAME?</v>
      </c>
    </row>
    <row r="1048566" spans="16384:16384" x14ac:dyDescent="0.45">
      <c r="XFD1048566" t="e">
        <f>solver_sta</f>
        <v>#NAME?</v>
      </c>
    </row>
    <row r="1048567" spans="16384:16384" x14ac:dyDescent="0.45">
      <c r="XFD1048567" t="e">
        <f>solver_met</f>
        <v>#NAME?</v>
      </c>
    </row>
    <row r="1048568" spans="16384:16384" x14ac:dyDescent="0.45">
      <c r="XFD1048568" t="e">
        <f>solver_soc</f>
        <v>#NAME?</v>
      </c>
    </row>
    <row r="1048569" spans="16384:16384" x14ac:dyDescent="0.45">
      <c r="XFD1048569" t="e">
        <f>solver_lpt</f>
        <v>#NAME?</v>
      </c>
    </row>
    <row r="1048570" spans="16384:16384" x14ac:dyDescent="0.45">
      <c r="XFD1048570" t="e">
        <f>solver_lpp</f>
        <v>#NAME?</v>
      </c>
    </row>
    <row r="1048571" spans="16384:16384" x14ac:dyDescent="0.45">
      <c r="XFD1048571" t="e">
        <f>solver_gap</f>
        <v>#NAME?</v>
      </c>
    </row>
    <row r="1048572" spans="16384:16384" x14ac:dyDescent="0.45">
      <c r="XFD1048572" t="e">
        <f>solver_ips</f>
        <v>#NAME?</v>
      </c>
    </row>
    <row r="1048573" spans="16384:16384" x14ac:dyDescent="0.45">
      <c r="XFD1048573" t="e">
        <f>solver_fea</f>
        <v>#NAME?</v>
      </c>
    </row>
    <row r="1048574" spans="16384:16384" x14ac:dyDescent="0.45">
      <c r="XFD1048574" t="e">
        <f>solver_ipi</f>
        <v>#NAME?</v>
      </c>
    </row>
    <row r="1048575" spans="16384:16384" x14ac:dyDescent="0.45">
      <c r="XFD1048575" t="e">
        <f>solver_ipd</f>
        <v>#NAME?</v>
      </c>
    </row>
  </sheetData>
  <mergeCells count="2">
    <mergeCell ref="G11:I11"/>
    <mergeCell ref="A11:C11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D6FD3EC3-6EC8-4CCD-89DF-FFB2C9B12AA0}">
          <xm:f>'E_M, alpha, H_cur'!1:1048576</xm:f>
        </x15:webExtension>
        <x15:webExtension appRef="{E7CED343-7F53-46D4-88D3-4227EF6EB757}">
          <xm:f>'E_M, alpha, H_cur'!XFD1048550:XFD1048575</xm:f>
        </x15:webExtension>
        <x15:webExtension appRef="{4331C9CF-6E06-449B-97AA-E4EEEABD8DE8}">
          <xm:f>'E_M, alpha, H_cur'!$B$14</xm:f>
        </x15:webExtension>
        <x15:webExtension appRef="{056146B7-F384-447C-AA2E-6149885780AD}">
          <xm:f>'E_M, alpha, H_cur'!$B$17</xm:f>
        </x15:webExtension>
        <x15:webExtension appRef="{4E1C0F94-B463-4968-94DC-A7C9527A5F30}">
          <xm:f>'E_M, alpha, H_cur'!$B$15</xm:f>
        </x15:webExtension>
        <x15:webExtension appRef="{9F27B2B0-0069-4579-BF57-FEC2F23BE67C}">
          <xm:f>'E_M, alpha, H_cur'!$B$18</xm:f>
        </x15:webExtension>
        <x15:webExtension appRef="{BD73BD8A-A7FE-40F0-B67A-FF86379BD1E4}">
          <xm:f>'E_M, alpha, H_cur'!$B$14</xm:f>
        </x15:webExtension>
        <x15:webExtension appRef="{34023B5D-73A7-46EB-8C29-CFFAEA1EC154}">
          <xm:f>'E_M, alpha, H_cur'!$B$15</xm:f>
        </x15:webExtension>
        <x15:webExtension appRef="{0F2AE789-1381-438D-83BB-E0C2BFDE06A9}">
          <xm:f>'E_M, alpha, H_cur'!$B$17</xm:f>
        </x15:webExtension>
        <x15:webExtension appRef="{99C3A037-A95F-48F0-9736-873EE667611F}">
          <xm:f>'E_M, alpha, H_cur'!$L$9</xm:f>
        </x15:webExtension>
        <x15:webExtension appRef="{A96B0EA8-4214-4FBA-A3AE-14B087C2DD13}">
          <xm:f>'E_M, alpha, H_cur'!1:1048576</xm:f>
        </x15:webExtension>
        <x15:webExtension appRef="{28AA69A5-DFFE-4B2C-822D-3001935522B2}">
          <xm:f>'E_M, alpha, H_cur'!XFD1048550:XFD1048575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Properties</vt:lpstr>
      <vt:lpstr>E_A, C_A, and C_M</vt:lpstr>
      <vt:lpstr>E_M, alpha, H_cur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Walgren, Patrick</dc:creator>
  <cp:lastModifiedBy>Walgren, Patrick</cp:lastModifiedBy>
  <dcterms:created xsi:type="dcterms:W3CDTF">2024-02-19T17:02:48Z</dcterms:created>
  <dcterms:modified xsi:type="dcterms:W3CDTF">2024-10-22T16:15:14Z</dcterms:modified>
</cp:coreProperties>
</file>